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<sst xmlns="http://schemas.openxmlformats.org/spreadsheetml/2006/main" count="22326" uniqueCount="10769">
  <si>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</si>
  <si>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</si>
  <si>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</si>
  <si>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</si>
  <si>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</si>
  <si>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</si>
  <si>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</si>
  <si>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</si>
  <si>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</si>
  <si>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</si>
  <si>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</si>
  <si>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</si>
  <si>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PNGAY</t>
  </si>
  <si>
    <t>WBA</t>
  </si>
  <si>
    <t>AMP</t>
  </si>
  <si>
    <t>ABBV</t>
  </si>
  <si>
    <t>CDUAF</t>
  </si>
  <si>
    <t>BMY</t>
  </si>
  <si>
    <t>CTBI</t>
  </si>
  <si>
    <t>TDS</t>
  </si>
  <si>
    <t>BEN</t>
  </si>
  <si>
    <t>EFSI</t>
  </si>
  <si>
    <t>PRGO</t>
  </si>
  <si>
    <t>NFG</t>
  </si>
  <si>
    <t>LOW</t>
  </si>
  <si>
    <t>FMS</t>
  </si>
  <si>
    <t>PSBQ</t>
  </si>
  <si>
    <t>LHX</t>
  </si>
  <si>
    <t>NOC</t>
  </si>
  <si>
    <t>TNC</t>
  </si>
  <si>
    <t>MCK</t>
  </si>
  <si>
    <t>CSL</t>
  </si>
  <si>
    <t>GD</t>
  </si>
  <si>
    <t>PII</t>
  </si>
  <si>
    <t>FDX</t>
  </si>
  <si>
    <t>BKH</t>
  </si>
  <si>
    <t>FMCB</t>
  </si>
  <si>
    <t>DCI</t>
  </si>
  <si>
    <t>BRC</t>
  </si>
  <si>
    <t>CB</t>
  </si>
  <si>
    <t>AMAT</t>
  </si>
  <si>
    <t>CAH</t>
  </si>
  <si>
    <t>AFL</t>
  </si>
  <si>
    <t>EV</t>
  </si>
  <si>
    <t>ORCL</t>
  </si>
  <si>
    <t>AIZ</t>
  </si>
  <si>
    <t>BANF</t>
  </si>
  <si>
    <t>UNH</t>
  </si>
  <si>
    <t>SEIC</t>
  </si>
  <si>
    <t>SON</t>
  </si>
  <si>
    <t>KR</t>
  </si>
  <si>
    <t>FUL</t>
  </si>
  <si>
    <t>ATO</t>
  </si>
  <si>
    <t>NWN</t>
  </si>
  <si>
    <t>AROW</t>
  </si>
  <si>
    <t>PH</t>
  </si>
  <si>
    <t>PNR</t>
  </si>
  <si>
    <t>BDX</t>
  </si>
  <si>
    <t>ABM</t>
  </si>
  <si>
    <t>ADM</t>
  </si>
  <si>
    <t>ABC</t>
  </si>
  <si>
    <t>EMR</t>
  </si>
  <si>
    <t>COST</t>
  </si>
  <si>
    <t>SYK</t>
  </si>
  <si>
    <t>THFF</t>
  </si>
  <si>
    <t>KMB</t>
  </si>
  <si>
    <t>TROW</t>
  </si>
  <si>
    <t>JNJ</t>
  </si>
  <si>
    <t>SPGI</t>
  </si>
  <si>
    <t>GRC</t>
  </si>
  <si>
    <t>CPKF</t>
  </si>
  <si>
    <t>DG</t>
  </si>
  <si>
    <t>MMM</t>
  </si>
  <si>
    <t>GPC</t>
  </si>
  <si>
    <t>DPZ</t>
  </si>
  <si>
    <t>ROP</t>
  </si>
  <si>
    <t>DOV</t>
  </si>
  <si>
    <t>CL</t>
  </si>
  <si>
    <t>BRO</t>
  </si>
  <si>
    <t>AAP</t>
  </si>
  <si>
    <t>WMT</t>
  </si>
  <si>
    <t>MCO</t>
  </si>
  <si>
    <t>TSCO</t>
  </si>
  <si>
    <t>MDT</t>
  </si>
  <si>
    <t>CP</t>
  </si>
  <si>
    <t>TMP</t>
  </si>
  <si>
    <t>TGT</t>
  </si>
  <si>
    <t>TR</t>
  </si>
  <si>
    <t>SJW</t>
  </si>
  <si>
    <t>FELE</t>
  </si>
  <si>
    <t>CLX</t>
  </si>
  <si>
    <t>BBY</t>
  </si>
  <si>
    <t>GWW</t>
  </si>
  <si>
    <t>LANC</t>
  </si>
  <si>
    <t>CHD</t>
  </si>
  <si>
    <t>CSX</t>
  </si>
  <si>
    <t>MSA</t>
  </si>
  <si>
    <t>MSFT</t>
  </si>
  <si>
    <t>HRL</t>
  </si>
  <si>
    <t>CINF</t>
  </si>
  <si>
    <t>SWK</t>
  </si>
  <si>
    <t>PG</t>
  </si>
  <si>
    <t>EBAY</t>
  </si>
  <si>
    <t>PPG</t>
  </si>
  <si>
    <t>ABT</t>
  </si>
  <si>
    <t>SHW</t>
  </si>
  <si>
    <t>EXPD</t>
  </si>
  <si>
    <t>MGEE</t>
  </si>
  <si>
    <t>ECL</t>
  </si>
  <si>
    <t>SCL</t>
  </si>
  <si>
    <t>CNI</t>
  </si>
  <si>
    <t>AWR</t>
  </si>
  <si>
    <t>JKHY</t>
  </si>
  <si>
    <t>TXT</t>
  </si>
  <si>
    <t>NKE</t>
  </si>
  <si>
    <t>MKC</t>
  </si>
  <si>
    <t>BAM</t>
  </si>
  <si>
    <t>NDSN</t>
  </si>
  <si>
    <t>OTIS</t>
  </si>
  <si>
    <t>MSEX</t>
  </si>
  <si>
    <t>CSVI</t>
  </si>
  <si>
    <t>CWT</t>
  </si>
  <si>
    <t>BF.B</t>
  </si>
  <si>
    <t>CARR</t>
  </si>
  <si>
    <t>RPM</t>
  </si>
  <si>
    <t>AAPL</t>
  </si>
  <si>
    <t>ATR</t>
  </si>
  <si>
    <t>CTAS</t>
  </si>
  <si>
    <t>RLI</t>
  </si>
  <si>
    <t>WST</t>
  </si>
  <si>
    <t>SUN</t>
  </si>
  <si>
    <t>EPD</t>
  </si>
  <si>
    <t>PB</t>
  </si>
  <si>
    <t>MTB</t>
  </si>
  <si>
    <t>HII</t>
  </si>
  <si>
    <t>PBCT</t>
  </si>
  <si>
    <t>T</t>
  </si>
  <si>
    <t>FRT</t>
  </si>
  <si>
    <t>CVS</t>
  </si>
  <si>
    <t>OZK</t>
  </si>
  <si>
    <t>JW.A</t>
  </si>
  <si>
    <t>MO</t>
  </si>
  <si>
    <t>BAYRY</t>
  </si>
  <si>
    <t>CSCO</t>
  </si>
  <si>
    <t>CFR</t>
  </si>
  <si>
    <t>SRE</t>
  </si>
  <si>
    <t>GILD</t>
  </si>
  <si>
    <t>SLF</t>
  </si>
  <si>
    <t>AMX</t>
  </si>
  <si>
    <t>RTX</t>
  </si>
  <si>
    <t>INTC</t>
  </si>
  <si>
    <t>MSM</t>
  </si>
  <si>
    <t>LMT</t>
  </si>
  <si>
    <t>AXP</t>
  </si>
  <si>
    <t>EIX</t>
  </si>
  <si>
    <t>MET</t>
  </si>
  <si>
    <t>HRB</t>
  </si>
  <si>
    <t>UBSI</t>
  </si>
  <si>
    <t>INTU</t>
  </si>
  <si>
    <t>UGI</t>
  </si>
  <si>
    <t>CONE</t>
  </si>
  <si>
    <t>TSN</t>
  </si>
  <si>
    <t>MDU</t>
  </si>
  <si>
    <t>IBM</t>
  </si>
  <si>
    <t>RY</t>
  </si>
  <si>
    <t>RDEIY</t>
  </si>
  <si>
    <t>KDP</t>
  </si>
  <si>
    <t>ICE</t>
  </si>
  <si>
    <t>CMCSA</t>
  </si>
  <si>
    <t>VZ</t>
  </si>
  <si>
    <t>DTE</t>
  </si>
  <si>
    <t>CPB</t>
  </si>
  <si>
    <t>HBI</t>
  </si>
  <si>
    <t>MRK</t>
  </si>
  <si>
    <t>UHT</t>
  </si>
  <si>
    <t>FLO</t>
  </si>
  <si>
    <t>NVS</t>
  </si>
  <si>
    <t>RE</t>
  </si>
  <si>
    <t>NUE</t>
  </si>
  <si>
    <t>NTIOF</t>
  </si>
  <si>
    <t>AMGN</t>
  </si>
  <si>
    <t>SJM</t>
  </si>
  <si>
    <t>LNT</t>
  </si>
  <si>
    <t>LEG</t>
  </si>
  <si>
    <t>TRV</t>
  </si>
  <si>
    <t>MDLZ</t>
  </si>
  <si>
    <t>PPL</t>
  </si>
  <si>
    <t>ADP</t>
  </si>
  <si>
    <t>ARTNA</t>
  </si>
  <si>
    <t>BLK</t>
  </si>
  <si>
    <t>TTC</t>
  </si>
  <si>
    <t>HD</t>
  </si>
  <si>
    <t>FTS</t>
  </si>
  <si>
    <t>NEP</t>
  </si>
  <si>
    <t>KO</t>
  </si>
  <si>
    <t>CTSH</t>
  </si>
  <si>
    <t>UVV</t>
  </si>
  <si>
    <t>AEP</t>
  </si>
  <si>
    <t>K</t>
  </si>
  <si>
    <t>SAP</t>
  </si>
  <si>
    <t>SNA</t>
  </si>
  <si>
    <t>SYY</t>
  </si>
  <si>
    <t>RSG</t>
  </si>
  <si>
    <t>PEG</t>
  </si>
  <si>
    <t>ED</t>
  </si>
  <si>
    <t>ETR</t>
  </si>
  <si>
    <t>AJG</t>
  </si>
  <si>
    <t>MGRC</t>
  </si>
  <si>
    <t>HON</t>
  </si>
  <si>
    <t>HSY</t>
  </si>
  <si>
    <t>IFF</t>
  </si>
  <si>
    <t>NVO</t>
  </si>
  <si>
    <t>RMD</t>
  </si>
  <si>
    <t>BAH</t>
  </si>
  <si>
    <t>XYL</t>
  </si>
  <si>
    <t>FOXA</t>
  </si>
  <si>
    <t>CBSH</t>
  </si>
  <si>
    <t>WSM</t>
  </si>
  <si>
    <t>WHR</t>
  </si>
  <si>
    <t>PEP</t>
  </si>
  <si>
    <t>AOS</t>
  </si>
  <si>
    <t>WABC</t>
  </si>
  <si>
    <t>WTRG</t>
  </si>
  <si>
    <t>WU</t>
  </si>
  <si>
    <t>AMT</t>
  </si>
  <si>
    <t>NSC</t>
  </si>
  <si>
    <t>ROK</t>
  </si>
  <si>
    <t>UPS</t>
  </si>
  <si>
    <t>SWKS</t>
  </si>
  <si>
    <t>CBU</t>
  </si>
  <si>
    <t>LIN</t>
  </si>
  <si>
    <t>LLY</t>
  </si>
  <si>
    <t>MCD</t>
  </si>
  <si>
    <t>WEC</t>
  </si>
  <si>
    <t>INFY</t>
  </si>
  <si>
    <t>FAST</t>
  </si>
  <si>
    <t>ITW</t>
  </si>
  <si>
    <t>WM</t>
  </si>
  <si>
    <t>UNP</t>
  </si>
  <si>
    <t>NEE</t>
  </si>
  <si>
    <t>XEL</t>
  </si>
  <si>
    <t>CHRW</t>
  </si>
  <si>
    <t>NVDA</t>
  </si>
  <si>
    <t>QCOM</t>
  </si>
  <si>
    <t>MORN</t>
  </si>
  <si>
    <t>ALB</t>
  </si>
  <si>
    <t>DE</t>
  </si>
  <si>
    <t>ERIE</t>
  </si>
  <si>
    <t>APD</t>
  </si>
  <si>
    <t>BMI</t>
  </si>
  <si>
    <t>AUY</t>
  </si>
  <si>
    <t>ET</t>
  </si>
  <si>
    <t>OKE</t>
  </si>
  <si>
    <t>SLG</t>
  </si>
  <si>
    <t>MMP</t>
  </si>
  <si>
    <t>FTI</t>
  </si>
  <si>
    <t>ERF</t>
  </si>
  <si>
    <t>MPLX</t>
  </si>
  <si>
    <t>NC</t>
  </si>
  <si>
    <t>PFG</t>
  </si>
  <si>
    <t>NAVI</t>
  </si>
  <si>
    <t>KMI</t>
  </si>
  <si>
    <t>LRCX</t>
  </si>
  <si>
    <t>MDP</t>
  </si>
  <si>
    <t>OPI</t>
  </si>
  <si>
    <t>NTAP</t>
  </si>
  <si>
    <t>ENB</t>
  </si>
  <si>
    <t>OMC</t>
  </si>
  <si>
    <t>BNS</t>
  </si>
  <si>
    <t>MCY</t>
  </si>
  <si>
    <t>TAP</t>
  </si>
  <si>
    <t>PRU</t>
  </si>
  <si>
    <t>AEG</t>
  </si>
  <si>
    <t>ORI</t>
  </si>
  <si>
    <t>GWLIF</t>
  </si>
  <si>
    <t>BAC</t>
  </si>
  <si>
    <t>SYF</t>
  </si>
  <si>
    <t>BK</t>
  </si>
  <si>
    <t>BTI</t>
  </si>
  <si>
    <t>VIAC</t>
  </si>
  <si>
    <t>DD</t>
  </si>
  <si>
    <t>SAXPY</t>
  </si>
  <si>
    <t>HPQ</t>
  </si>
  <si>
    <t>OTTR</t>
  </si>
  <si>
    <t>BMO</t>
  </si>
  <si>
    <t>NLSN</t>
  </si>
  <si>
    <t>ALL</t>
  </si>
  <si>
    <t>ALLY</t>
  </si>
  <si>
    <t>TD</t>
  </si>
  <si>
    <t>YUM</t>
  </si>
  <si>
    <t>SRCE</t>
  </si>
  <si>
    <t>TYCB</t>
  </si>
  <si>
    <t>SAN</t>
  </si>
  <si>
    <t>AON</t>
  </si>
  <si>
    <t>SNY</t>
  </si>
  <si>
    <t>BIP</t>
  </si>
  <si>
    <t>HPE</t>
  </si>
  <si>
    <t>VALE</t>
  </si>
  <si>
    <t>NNN</t>
  </si>
  <si>
    <t>PM</t>
  </si>
  <si>
    <t>CM</t>
  </si>
  <si>
    <t>SUUIF</t>
  </si>
  <si>
    <t>O</t>
  </si>
  <si>
    <t>ESS</t>
  </si>
  <si>
    <t>GS</t>
  </si>
  <si>
    <t>OSK</t>
  </si>
  <si>
    <t>RCI</t>
  </si>
  <si>
    <t>AVB</t>
  </si>
  <si>
    <t>KLAC</t>
  </si>
  <si>
    <t>WPC</t>
  </si>
  <si>
    <t>LAZ</t>
  </si>
  <si>
    <t>GE</t>
  </si>
  <si>
    <t>JACK</t>
  </si>
  <si>
    <t>EXC</t>
  </si>
  <si>
    <t>UMBF</t>
  </si>
  <si>
    <t>BUD</t>
  </si>
  <si>
    <t>ASML</t>
  </si>
  <si>
    <t>GEF</t>
  </si>
  <si>
    <t>WEYS</t>
  </si>
  <si>
    <t>TU</t>
  </si>
  <si>
    <t>SO</t>
  </si>
  <si>
    <t>DUK</t>
  </si>
  <si>
    <t>PDCO</t>
  </si>
  <si>
    <t>DEO</t>
  </si>
  <si>
    <t>GIS</t>
  </si>
  <si>
    <t>RELX</t>
  </si>
  <si>
    <t>CAT</t>
  </si>
  <si>
    <t>TPR</t>
  </si>
  <si>
    <t>COR</t>
  </si>
  <si>
    <t>PSA</t>
  </si>
  <si>
    <t>DEA</t>
  </si>
  <si>
    <t>TRSWF</t>
  </si>
  <si>
    <t>DOC</t>
  </si>
  <si>
    <t>MAR</t>
  </si>
  <si>
    <t>CAG</t>
  </si>
  <si>
    <t>WDC</t>
  </si>
  <si>
    <t>TXN</t>
  </si>
  <si>
    <t>UL</t>
  </si>
  <si>
    <t>CCI</t>
  </si>
  <si>
    <t>ERIC</t>
  </si>
  <si>
    <t>BEP</t>
  </si>
  <si>
    <t>STZ</t>
  </si>
  <si>
    <t>SIEGY</t>
  </si>
  <si>
    <t>PAYX</t>
  </si>
  <si>
    <t>CME</t>
  </si>
  <si>
    <t>CMI</t>
  </si>
  <si>
    <t>NEM</t>
  </si>
  <si>
    <t>DLR</t>
  </si>
  <si>
    <t>ABB</t>
  </si>
  <si>
    <t>V</t>
  </si>
  <si>
    <t>KSU</t>
  </si>
  <si>
    <t>EMN</t>
  </si>
  <si>
    <t>SKM</t>
  </si>
  <si>
    <t>NSRGY</t>
  </si>
  <si>
    <t>DNKN</t>
  </si>
  <si>
    <t>MRVL</t>
  </si>
  <si>
    <t>PCAR</t>
  </si>
  <si>
    <t>APTV</t>
  </si>
  <si>
    <t>HNI</t>
  </si>
  <si>
    <t>ACN</t>
  </si>
  <si>
    <t>TSM</t>
  </si>
  <si>
    <t>MA</t>
  </si>
  <si>
    <t>TT</t>
  </si>
  <si>
    <t>GOLD</t>
  </si>
  <si>
    <t>LOGI</t>
  </si>
  <si>
    <t>SNE</t>
  </si>
  <si>
    <t>TRI</t>
  </si>
  <si>
    <t>GPS</t>
  </si>
  <si>
    <t>RACE</t>
  </si>
  <si>
    <t>WPM</t>
  </si>
  <si>
    <t>OMI</t>
  </si>
  <si>
    <t>MFGP</t>
  </si>
  <si>
    <t>C</t>
  </si>
  <si>
    <t>IIPR</t>
  </si>
  <si>
    <t>DFS</t>
  </si>
  <si>
    <t>TRGP</t>
  </si>
  <si>
    <t>CHRRF</t>
  </si>
  <si>
    <t>BRX</t>
  </si>
  <si>
    <t>KEY</t>
  </si>
  <si>
    <t>TEF</t>
  </si>
  <si>
    <t>TFC</t>
  </si>
  <si>
    <t>CHL</t>
  </si>
  <si>
    <t>IMBBY</t>
  </si>
  <si>
    <t>NYCB</t>
  </si>
  <si>
    <t>GEO</t>
  </si>
  <si>
    <t>EPR</t>
  </si>
  <si>
    <t>IVZ</t>
  </si>
  <si>
    <t>SVC</t>
  </si>
  <si>
    <t>PFE</t>
  </si>
  <si>
    <t>SPG</t>
  </si>
  <si>
    <t>IPPLF</t>
  </si>
  <si>
    <t>TCP</t>
  </si>
  <si>
    <t>FE</t>
  </si>
  <si>
    <t>SPH</t>
  </si>
  <si>
    <t>NRZ</t>
  </si>
  <si>
    <t>LTC</t>
  </si>
  <si>
    <t>BXP</t>
  </si>
  <si>
    <t>IRM</t>
  </si>
  <si>
    <t>OHI</t>
  </si>
  <si>
    <t>CNA</t>
  </si>
  <si>
    <t>UBA</t>
  </si>
  <si>
    <t>CWCO</t>
  </si>
  <si>
    <t>HAS</t>
  </si>
  <si>
    <t>MGP</t>
  </si>
  <si>
    <t>USB</t>
  </si>
  <si>
    <t>JPM</t>
  </si>
  <si>
    <t>SKT</t>
  </si>
  <si>
    <t>WMB</t>
  </si>
  <si>
    <t>GSK</t>
  </si>
  <si>
    <t>TRP</t>
  </si>
  <si>
    <t>OGZPY</t>
  </si>
  <si>
    <t>UBS</t>
  </si>
  <si>
    <t>MGA</t>
  </si>
  <si>
    <t>MPW</t>
  </si>
  <si>
    <t>CTL</t>
  </si>
  <si>
    <t>KHC</t>
  </si>
  <si>
    <t>OUT</t>
  </si>
  <si>
    <t>AM</t>
  </si>
  <si>
    <t>HTA</t>
  </si>
  <si>
    <t>GNL</t>
  </si>
  <si>
    <t>STX</t>
  </si>
  <si>
    <t>HTGC</t>
  </si>
  <si>
    <t>STOR</t>
  </si>
  <si>
    <t>AGNC</t>
  </si>
  <si>
    <t>APAM</t>
  </si>
  <si>
    <t>CAE</t>
  </si>
  <si>
    <t>STAG</t>
  </si>
  <si>
    <t>EQR</t>
  </si>
  <si>
    <t>BCE</t>
  </si>
  <si>
    <t>WPP</t>
  </si>
  <si>
    <t>PHG</t>
  </si>
  <si>
    <t>VER</t>
  </si>
  <si>
    <t>CPT</t>
  </si>
  <si>
    <t>MIC</t>
  </si>
  <si>
    <t>ARCC</t>
  </si>
  <si>
    <t>LAMR</t>
  </si>
  <si>
    <t>JCI</t>
  </si>
  <si>
    <t>DIN</t>
  </si>
  <si>
    <t>AQN</t>
  </si>
  <si>
    <t>CF</t>
  </si>
  <si>
    <t>DHC</t>
  </si>
  <si>
    <t>GOOD</t>
  </si>
  <si>
    <t>DRETF</t>
  </si>
  <si>
    <t>AMCR</t>
  </si>
  <si>
    <t>XRX</t>
  </si>
  <si>
    <t>LAND</t>
  </si>
  <si>
    <t>D</t>
  </si>
  <si>
    <t>QSR</t>
  </si>
  <si>
    <t>BGS</t>
  </si>
  <si>
    <t>LYB</t>
  </si>
  <si>
    <t>BMWYY</t>
  </si>
  <si>
    <t>CNP</t>
  </si>
  <si>
    <t>AVGO</t>
  </si>
  <si>
    <t>RIO</t>
  </si>
  <si>
    <t>PEAK</t>
  </si>
  <si>
    <t>BRMK</t>
  </si>
  <si>
    <t>APO</t>
  </si>
  <si>
    <t>IDEXY</t>
  </si>
  <si>
    <t>DREUF</t>
  </si>
  <si>
    <t>GRMN</t>
  </si>
  <si>
    <t>BHP</t>
  </si>
  <si>
    <t>TJX</t>
  </si>
  <si>
    <t>ROST</t>
  </si>
  <si>
    <t>ARE</t>
  </si>
  <si>
    <t>NWL</t>
  </si>
  <si>
    <t>IP</t>
  </si>
  <si>
    <t>DDAIF</t>
  </si>
  <si>
    <t>WRK</t>
  </si>
  <si>
    <t>BX</t>
  </si>
  <si>
    <t>ALV</t>
  </si>
  <si>
    <t>VTR</t>
  </si>
  <si>
    <t>ABR</t>
  </si>
  <si>
    <t>FL</t>
  </si>
  <si>
    <t>VFC</t>
  </si>
  <si>
    <t>FLR</t>
  </si>
  <si>
    <t>CC</t>
  </si>
  <si>
    <t>GLW</t>
  </si>
  <si>
    <t>PKX</t>
  </si>
  <si>
    <t>WEN</t>
  </si>
  <si>
    <t>WDR</t>
  </si>
  <si>
    <t>PPRQF</t>
  </si>
  <si>
    <t>TIF</t>
  </si>
  <si>
    <t>GLPI</t>
  </si>
  <si>
    <t>DIS</t>
  </si>
  <si>
    <t>DRI</t>
  </si>
  <si>
    <t>TM</t>
  </si>
  <si>
    <t>GM</t>
  </si>
  <si>
    <t>FCX</t>
  </si>
  <si>
    <t>ETN</t>
  </si>
  <si>
    <t>AZN</t>
  </si>
  <si>
    <t>HMC</t>
  </si>
  <si>
    <t>KLIC</t>
  </si>
  <si>
    <t>GEL</t>
  </si>
  <si>
    <t>CVA</t>
  </si>
  <si>
    <t>HFC</t>
  </si>
  <si>
    <t>SU</t>
  </si>
  <si>
    <t>RDS.B</t>
  </si>
  <si>
    <t>HEP</t>
  </si>
  <si>
    <t>BP</t>
  </si>
  <si>
    <t>SFL</t>
  </si>
  <si>
    <t>SNP</t>
  </si>
  <si>
    <t>VET</t>
  </si>
  <si>
    <t>TOT</t>
  </si>
  <si>
    <t>USAC</t>
  </si>
  <si>
    <t>PSX</t>
  </si>
  <si>
    <t>XOM</t>
  </si>
  <si>
    <t>NYMT</t>
  </si>
  <si>
    <t>MPC</t>
  </si>
  <si>
    <t>VLO</t>
  </si>
  <si>
    <t>CEO</t>
  </si>
  <si>
    <t>IMO</t>
  </si>
  <si>
    <t>CVX</t>
  </si>
  <si>
    <t>CMA</t>
  </si>
  <si>
    <t>MAC</t>
  </si>
  <si>
    <t>HBAN</t>
  </si>
  <si>
    <t>OXY</t>
  </si>
  <si>
    <t>APLE</t>
  </si>
  <si>
    <t>BKR</t>
  </si>
  <si>
    <t>CIM</t>
  </si>
  <si>
    <t>LMRK</t>
  </si>
  <si>
    <t>CRT</t>
  </si>
  <si>
    <t>PACW</t>
  </si>
  <si>
    <t>OLN</t>
  </si>
  <si>
    <t>INN</t>
  </si>
  <si>
    <t>COP</t>
  </si>
  <si>
    <t>PBT</t>
  </si>
  <si>
    <t>CNQ</t>
  </si>
  <si>
    <t>WSR</t>
  </si>
  <si>
    <t>PTR</t>
  </si>
  <si>
    <t>LUV</t>
  </si>
  <si>
    <t>SLB</t>
  </si>
  <si>
    <t>WFC</t>
  </si>
  <si>
    <t>AXS</t>
  </si>
  <si>
    <t>STWD</t>
  </si>
  <si>
    <t>HP</t>
  </si>
  <si>
    <t>PBR</t>
  </si>
  <si>
    <t>HST</t>
  </si>
  <si>
    <t>BPY</t>
  </si>
  <si>
    <t>SBRA</t>
  </si>
  <si>
    <t>BA</t>
  </si>
  <si>
    <t>GLAD</t>
  </si>
  <si>
    <t>BXMT</t>
  </si>
  <si>
    <t>NLY</t>
  </si>
  <si>
    <t>SSREY</t>
  </si>
  <si>
    <t>GAIN</t>
  </si>
  <si>
    <t>E</t>
  </si>
  <si>
    <t>LADR</t>
  </si>
  <si>
    <t>HAL</t>
  </si>
  <si>
    <t>NOV</t>
  </si>
  <si>
    <t>DTEGY</t>
  </si>
  <si>
    <t>ALARF</t>
  </si>
  <si>
    <t>JWN</t>
  </si>
  <si>
    <t>SCM</t>
  </si>
  <si>
    <t>SBR</t>
  </si>
  <si>
    <t>PSEC</t>
  </si>
  <si>
    <t>M</t>
  </si>
  <si>
    <t>HOG</t>
  </si>
  <si>
    <t>LVS</t>
  </si>
  <si>
    <t>ARI</t>
  </si>
  <si>
    <t>SIX</t>
  </si>
  <si>
    <t>SPKE</t>
  </si>
  <si>
    <t>PSO</t>
  </si>
  <si>
    <t>FUN</t>
  </si>
  <si>
    <t>CAKE</t>
  </si>
  <si>
    <t>EADSY</t>
  </si>
  <si>
    <t>MAIN</t>
  </si>
  <si>
    <t>PBA</t>
  </si>
  <si>
    <t>TWO</t>
  </si>
  <si>
    <t>KIM</t>
  </si>
  <si>
    <t>SJR</t>
  </si>
  <si>
    <t>KTB</t>
  </si>
  <si>
    <t>SCHL</t>
  </si>
  <si>
    <t>R</t>
  </si>
  <si>
    <t>AB</t>
  </si>
  <si>
    <t>CODI</t>
  </si>
  <si>
    <t>VGR</t>
  </si>
  <si>
    <t>PTEN</t>
  </si>
  <si>
    <t>DX</t>
  </si>
  <si>
    <t>SBUX</t>
  </si>
  <si>
    <t>VOD</t>
  </si>
  <si>
    <t>ALK</t>
  </si>
  <si>
    <t>EQNR</t>
  </si>
  <si>
    <t>RRD</t>
  </si>
  <si>
    <t>ORC</t>
  </si>
  <si>
    <t>NTR</t>
  </si>
  <si>
    <t>ABEV</t>
  </si>
  <si>
    <t>F</t>
  </si>
  <si>
    <t>UFS</t>
  </si>
  <si>
    <t>CAJ</t>
  </si>
  <si>
    <t>CORR</t>
  </si>
  <si>
    <t>CCL</t>
  </si>
  <si>
    <t>CBRL</t>
  </si>
  <si>
    <t>HSBC</t>
  </si>
  <si>
    <t>AAL</t>
  </si>
  <si>
    <t>DAL</t>
  </si>
  <si>
    <t>DDS</t>
  </si>
  <si>
    <t>WELL</t>
  </si>
  <si>
    <t>APA</t>
  </si>
  <si>
    <t>KSS</t>
  </si>
  <si>
    <t>RCL</t>
  </si>
  <si>
    <t>TCO</t>
  </si>
  <si>
    <t>PRT</t>
  </si>
  <si>
    <t>DOW</t>
  </si>
  <si>
    <t>NBR</t>
  </si>
  <si>
    <t>WY</t>
  </si>
  <si>
    <t>HA</t>
  </si>
  <si>
    <t>ANF</t>
  </si>
  <si>
    <t>MGM</t>
  </si>
  <si>
    <t>WYNN</t>
  </si>
  <si>
    <t>ARR</t>
  </si>
  <si>
    <t>BBBY</t>
  </si>
  <si>
    <t>CLDT</t>
  </si>
  <si>
    <t>CPTA</t>
  </si>
  <si>
    <t>TKGBY</t>
  </si>
  <si>
    <t>NCLH</t>
  </si>
  <si>
    <t>FRFHF</t>
  </si>
  <si>
    <t>NFLX</t>
  </si>
  <si>
    <t>TSLA</t>
  </si>
  <si>
    <t>NSANY</t>
  </si>
  <si>
    <t>BABA</t>
  </si>
  <si>
    <t>NOK</t>
  </si>
  <si>
    <t>MT</t>
  </si>
  <si>
    <t>UAL</t>
  </si>
  <si>
    <t>BRK.B</t>
  </si>
  <si>
    <t>ING</t>
  </si>
  <si>
    <t>FCAU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</si>
  <si>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</si>
  <si>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</si>
  <si>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</si>
  <si>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</si>
  <si>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</si>
  <si>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</si>
  <si>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</si>
  <si>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</si>
  <si>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</si>
  <si>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</si>
  <si>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</si>
  <si>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</si>
  <si>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</si>
  <si>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</si>
  <si>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</si>
  <si>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</si>
  <si>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</si>
  <si>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</si>
  <si>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</si>
  <si>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</si>
  <si>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</si>
  <si>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</si>
  <si>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</si>
  <si>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</si>
  <si>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</si>
  <si>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</si>
  <si>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</si>
  <si>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</si>
  <si>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</si>
  <si>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</si>
  <si>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</si>
  <si>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</si>
  <si>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</si>
  <si>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</si>
  <si>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</si>
  <si>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</si>
  <si>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</si>
  <si>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</si>
  <si>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</si>
  <si>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Quinn Mohammed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</si>
  <si>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</si>
  <si>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</si>
  <si>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</si>
  <si>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</si>
  <si>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</si>
  <si>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</si>
  <si>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</si>
  <si>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</si>
  <si>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</si>
  <si>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</si>
  <si>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</si>
  <si>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</si>
  <si>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</si>
  <si>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</si>
  <si>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</si>
  <si>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</si>
  <si>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</si>
  <si>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</si>
  <si>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</si>
  <si>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</si>
  <si>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</si>
  <si>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</si>
  <si>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</si>
  <si>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</si>
  <si>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</si>
  <si>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</si>
  <si>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</si>
  <si>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</si>
  <si>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</si>
  <si>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</si>
  <si>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</si>
  <si>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</si>
  <si>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</si>
  <si>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</si>
  <si>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</si>
  <si>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</si>
  <si>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</si>
  <si>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</si>
  <si>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</si>
  <si>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</si>
  <si>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</si>
  <si>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Yong Lin Xie / Bo Yao / Sin Ying Tan</t>
  </si>
  <si>
    <t>Stefano Pessina</t>
  </si>
  <si>
    <t>James Michael Cracchiolo</t>
  </si>
  <si>
    <t>Richard A. Gonzalez</t>
  </si>
  <si>
    <t>Siegfried Willi Kiefer</t>
  </si>
  <si>
    <t>Giovanni Caforio</t>
  </si>
  <si>
    <t>Jean R. Hale</t>
  </si>
  <si>
    <t>LeRoy T. Carlson</t>
  </si>
  <si>
    <t>Jennifer M. Johnson</t>
  </si>
  <si>
    <t>Brandon Craig Lorey</t>
  </si>
  <si>
    <t>Murray S. Kessler</t>
  </si>
  <si>
    <t>David P. Bauer</t>
  </si>
  <si>
    <t>Marvin R. Ellison</t>
  </si>
  <si>
    <t>Rice Powell</t>
  </si>
  <si>
    <t>Scott M. Cattanach</t>
  </si>
  <si>
    <t>William M. Brown</t>
  </si>
  <si>
    <t>Kathy J. Warden</t>
  </si>
  <si>
    <t>H. Chris Killingstad</t>
  </si>
  <si>
    <t>Brian Scott Tyler</t>
  </si>
  <si>
    <t>D. Christian Koch</t>
  </si>
  <si>
    <t>Phebe N. Novakovic</t>
  </si>
  <si>
    <t>Scott Wellington Wine</t>
  </si>
  <si>
    <t>Frederick Wallace Smith</t>
  </si>
  <si>
    <t>Linden R. Evans</t>
  </si>
  <si>
    <t>Kent A. Steinwert</t>
  </si>
  <si>
    <t>Tod E. Carpenter</t>
  </si>
  <si>
    <t>J. Michael Nauman</t>
  </si>
  <si>
    <t>Evan G. Greenberg</t>
  </si>
  <si>
    <t>Gary E. Dickerson</t>
  </si>
  <si>
    <t>Michael C. Kaufmann</t>
  </si>
  <si>
    <t>Daniel Paul Amos</t>
  </si>
  <si>
    <t>Thomas Ewart Faust</t>
  </si>
  <si>
    <t>Safra Ada Catz</t>
  </si>
  <si>
    <t>Alan B. Colberg</t>
  </si>
  <si>
    <t>David R. Harlow</t>
  </si>
  <si>
    <t>David Scott Wichmann</t>
  </si>
  <si>
    <t>Alfred P. West</t>
  </si>
  <si>
    <t>Robert Howard Coker</t>
  </si>
  <si>
    <t>W. Rodney McMullen</t>
  </si>
  <si>
    <t>James J. Owens</t>
  </si>
  <si>
    <t>J. Kevin Akers</t>
  </si>
  <si>
    <t>David Hugo Anderson</t>
  </si>
  <si>
    <t>Thomas J. Murphy</t>
  </si>
  <si>
    <t>Thomas L. Williams</t>
  </si>
  <si>
    <t>John L. Stauch</t>
  </si>
  <si>
    <t>Thomas E. Polen</t>
  </si>
  <si>
    <t>Scott Salmirs</t>
  </si>
  <si>
    <t>Juan Ricardo Luciano</t>
  </si>
  <si>
    <t>Steven H. Collis</t>
  </si>
  <si>
    <t>David N. Farr</t>
  </si>
  <si>
    <t>Walter Craig Jelinek</t>
  </si>
  <si>
    <t>Kevin A. Lobo</t>
  </si>
  <si>
    <t>Norman L. Lowery</t>
  </si>
  <si>
    <t>Michael D. Hsu</t>
  </si>
  <si>
    <t>William Joseph Stromberg</t>
  </si>
  <si>
    <t>Alex Gorsky</t>
  </si>
  <si>
    <t>Douglas L. Peterson</t>
  </si>
  <si>
    <t>Jeffrey S. Gorman</t>
  </si>
  <si>
    <t>Jeffrey M. Szyperski</t>
  </si>
  <si>
    <t>Todd J. Vasos</t>
  </si>
  <si>
    <t>Michael F. Roman</t>
  </si>
  <si>
    <t>Paul D. Donahue</t>
  </si>
  <si>
    <t>Richard E. Allison</t>
  </si>
  <si>
    <t>Laurence Neil Hunn</t>
  </si>
  <si>
    <t>Richard Joseph Tobin</t>
  </si>
  <si>
    <t>Noel R. Wallace</t>
  </si>
  <si>
    <t>J. Powell Brown</t>
  </si>
  <si>
    <t>Thomas R. Greco</t>
  </si>
  <si>
    <t>C. Douglas McMillon</t>
  </si>
  <si>
    <t>Raymond W. McDaniel</t>
  </si>
  <si>
    <t>Harry A. Lawton</t>
  </si>
  <si>
    <t>Geoffrey Straub Martha</t>
  </si>
  <si>
    <t>Keith Edward Creel</t>
  </si>
  <si>
    <t>Stephen S. Romaine</t>
  </si>
  <si>
    <t>Brian C. Cornell</t>
  </si>
  <si>
    <t>Ellen R. Gordon</t>
  </si>
  <si>
    <t>Eric W. Thornburg</t>
  </si>
  <si>
    <t>Gregg C. Sengstack</t>
  </si>
  <si>
    <t>Linda Rendle</t>
  </si>
  <si>
    <t>Corie Sue Barry</t>
  </si>
  <si>
    <t>Donald G. Macpherson</t>
  </si>
  <si>
    <t>David Alan Ciesinski</t>
  </si>
  <si>
    <t>Matthew Thomas Farrell</t>
  </si>
  <si>
    <t>James M. Foote</t>
  </si>
  <si>
    <t>Nishan J. Vartanian</t>
  </si>
  <si>
    <t>Satya Nadella</t>
  </si>
  <si>
    <t>James P. Snee</t>
  </si>
  <si>
    <t>Steven J. Johnston</t>
  </si>
  <si>
    <t>James M. Loree</t>
  </si>
  <si>
    <t>David S. Taylor</t>
  </si>
  <si>
    <t>Jamie Iannone</t>
  </si>
  <si>
    <t>Michael H. McGarry</t>
  </si>
  <si>
    <t>Robert B. Ford</t>
  </si>
  <si>
    <t>John George Morikis</t>
  </si>
  <si>
    <t>Jeffrey S. Musser</t>
  </si>
  <si>
    <t>Jeffrey M. Keebler</t>
  </si>
  <si>
    <t>Douglas M. Baker</t>
  </si>
  <si>
    <t>F. Quinn Stepan</t>
  </si>
  <si>
    <t>Jean-Jacques Ruest</t>
  </si>
  <si>
    <t>Robert J. Sprowls</t>
  </si>
  <si>
    <t>David B. Foss</t>
  </si>
  <si>
    <t>Scott C. Donnelly</t>
  </si>
  <si>
    <t>John J. Donahoe</t>
  </si>
  <si>
    <t>Lawrence Erik Kurzius</t>
  </si>
  <si>
    <t>James Bruce Flatt</t>
  </si>
  <si>
    <t>Sundaram Nagarajan</t>
  </si>
  <si>
    <t>Judith F. Marks</t>
  </si>
  <si>
    <t>Dennis W. Doll</t>
  </si>
  <si>
    <t>Steven A. Powless</t>
  </si>
  <si>
    <t>Martin A. Kropelnicki</t>
  </si>
  <si>
    <t>Lawson E. Whiting</t>
  </si>
  <si>
    <t>David L. Gitlin</t>
  </si>
  <si>
    <t>Frank C. Sullivan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</si>
  <si>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</si>
  <si>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</si>
  <si>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</si>
  <si>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</si>
  <si>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</si>
  <si>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</si>
  <si>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W. Randall Fowler / A. James Teague</t>
  </si>
  <si>
    <t>David E. Zalman</t>
  </si>
  <si>
    <t>René F. Jones</t>
  </si>
  <si>
    <t>C. Michael Petters</t>
  </si>
  <si>
    <t>John P. Barnes</t>
  </si>
  <si>
    <t>John T. Stankey</t>
  </si>
  <si>
    <t>Donald C. Wood</t>
  </si>
  <si>
    <t>Larry J. Merlo</t>
  </si>
  <si>
    <t>George G. Gleason</t>
  </si>
  <si>
    <t>Brian A. Napack</t>
  </si>
  <si>
    <t>William F. Gifford</t>
  </si>
  <si>
    <t>Werner Baumann</t>
  </si>
  <si>
    <t>Charles H. Robbins</t>
  </si>
  <si>
    <t>Phillip D. Green</t>
  </si>
  <si>
    <t>Jeffrey Walker Martin</t>
  </si>
  <si>
    <t>Daniel P. O'Day</t>
  </si>
  <si>
    <t>Dean A. Connor</t>
  </si>
  <si>
    <t>Daniel Hajj Aboumrad</t>
  </si>
  <si>
    <t>Gregory J. Hayes</t>
  </si>
  <si>
    <t>Robert Holmes Swan</t>
  </si>
  <si>
    <t>Erik David Gershwind</t>
  </si>
  <si>
    <t>James D. Taiclet</t>
  </si>
  <si>
    <t>Stephen J. Squeri</t>
  </si>
  <si>
    <t>Pedro J. Pizarro</t>
  </si>
  <si>
    <t>Michel A. Khalaf</t>
  </si>
  <si>
    <t>Jeffrey J. Jones</t>
  </si>
  <si>
    <t>Richard M. Adams</t>
  </si>
  <si>
    <t>Sasan K. Goodarzi</t>
  </si>
  <si>
    <t>John L. Walsh</t>
  </si>
  <si>
    <t>Bruce W. Duncan</t>
  </si>
  <si>
    <t>Noel W. White</t>
  </si>
  <si>
    <t>David L. Goodin</t>
  </si>
  <si>
    <t>Arvind Krishna</t>
  </si>
  <si>
    <t>David Ian McKay</t>
  </si>
  <si>
    <t>Roberto Garcia Merino</t>
  </si>
  <si>
    <t>Robert James Gamgort</t>
  </si>
  <si>
    <t>Jeffrey Craig Sprecher</t>
  </si>
  <si>
    <t>Brian L. Roberts</t>
  </si>
  <si>
    <t>Hans Erik Vestberg</t>
  </si>
  <si>
    <t>Gerardo Norcia</t>
  </si>
  <si>
    <t>Mark A. Clouse</t>
  </si>
  <si>
    <t>Stephen B. Bratspies</t>
  </si>
  <si>
    <t>Kenneth C. Frazier</t>
  </si>
  <si>
    <t>Alan B. Miller</t>
  </si>
  <si>
    <t>Amos Ryals McMullian</t>
  </si>
  <si>
    <t>Vasant Narasimhan</t>
  </si>
  <si>
    <t>Juan C. Andrade</t>
  </si>
  <si>
    <t>Leon J. Topalian</t>
  </si>
  <si>
    <t>Louis Vachon</t>
  </si>
  <si>
    <t>Robert A. Bradway</t>
  </si>
  <si>
    <t>Mark T. Smucker</t>
  </si>
  <si>
    <t>John O. Larsen</t>
  </si>
  <si>
    <t>Karl G. Glassman</t>
  </si>
  <si>
    <t>Alan D. Schnitzer</t>
  </si>
  <si>
    <t>Dirk van de Put</t>
  </si>
  <si>
    <t>Vincent Sorgi</t>
  </si>
  <si>
    <t>Carlos A. Rodriguez</t>
  </si>
  <si>
    <t>Dian C. Taylor</t>
  </si>
  <si>
    <t>Laurence Douglas Fink</t>
  </si>
  <si>
    <t>Richard M. Olson</t>
  </si>
  <si>
    <t>Craig A. Menear</t>
  </si>
  <si>
    <t>Barry V. Perry</t>
  </si>
  <si>
    <t>James L. Robo</t>
  </si>
  <si>
    <t>James Quincey</t>
  </si>
  <si>
    <t>Brian J. Humphries</t>
  </si>
  <si>
    <t>George C. Freeman</t>
  </si>
  <si>
    <t>Nicholas K. Akins</t>
  </si>
  <si>
    <t>Steven A. Cahillane</t>
  </si>
  <si>
    <t>Christian Klein</t>
  </si>
  <si>
    <t>Nicholas T. Pinchuk</t>
  </si>
  <si>
    <t>Kevin Hourican</t>
  </si>
  <si>
    <t>Donald W. Slager</t>
  </si>
  <si>
    <t>Ralph Izzo</t>
  </si>
  <si>
    <t>John J. McAvoy</t>
  </si>
  <si>
    <t>Leo P. Denault</t>
  </si>
  <si>
    <t>Patrick J. Gallagher</t>
  </si>
  <si>
    <t>Joseph F. Hanna</t>
  </si>
  <si>
    <t>Darius Adamczyk</t>
  </si>
  <si>
    <t>Michele G. Buck</t>
  </si>
  <si>
    <t>Andreas Fibig</t>
  </si>
  <si>
    <t>Lars Fruergaard Jørgensen</t>
  </si>
  <si>
    <t>Michael J. Farrell</t>
  </si>
  <si>
    <t>Horacio D. Rozanski</t>
  </si>
  <si>
    <t>Patrick K. Decker</t>
  </si>
  <si>
    <t>Lachlan Keith Murdoch</t>
  </si>
  <si>
    <t>John W. Kemper</t>
  </si>
  <si>
    <t>Laura Jean Alber</t>
  </si>
  <si>
    <t>Marc Robert Bitzer</t>
  </si>
  <si>
    <t>Ramon Luis Laguarta</t>
  </si>
  <si>
    <t>Kevin J. Wheeler</t>
  </si>
  <si>
    <t>David L. Payne</t>
  </si>
  <si>
    <t>Christopher H. Franklin</t>
  </si>
  <si>
    <t>Hikmet Ersek</t>
  </si>
  <si>
    <t>Thomas A. Bartlett</t>
  </si>
  <si>
    <t>James A. Squires</t>
  </si>
  <si>
    <t>Blake D. Moret</t>
  </si>
  <si>
    <t>Carol B. Tomé</t>
  </si>
  <si>
    <t>Liam K. Griffin</t>
  </si>
  <si>
    <t>Mark E. Tryniski</t>
  </si>
  <si>
    <t>Stephen F. Angel</t>
  </si>
  <si>
    <t>David A. Ricks</t>
  </si>
  <si>
    <t>Christopher Kempczinski</t>
  </si>
  <si>
    <t>Joseph Kevin Fletcher</t>
  </si>
  <si>
    <t>Salil S. Parekh</t>
  </si>
  <si>
    <t>Daniel Lars Florness</t>
  </si>
  <si>
    <t>Ernest Scott Santi</t>
  </si>
  <si>
    <t>James C. Fish</t>
  </si>
  <si>
    <t>Lance M. Fritz</t>
  </si>
  <si>
    <t>Benjamin G. S. Fowke</t>
  </si>
  <si>
    <t>Robert C. Biesterfeld</t>
  </si>
  <si>
    <t>Jen-Hsun Huang</t>
  </si>
  <si>
    <t>Steven M. Mollenkopf</t>
  </si>
  <si>
    <t>Kunal Kapoor</t>
  </si>
  <si>
    <t>Jerry Kent Masters</t>
  </si>
  <si>
    <t>John C. May</t>
  </si>
  <si>
    <t>Timothy G. NeCastro</t>
  </si>
  <si>
    <t>Seifollah Ghasemi</t>
  </si>
  <si>
    <t>Kenneth C. Bockhorst</t>
  </si>
  <si>
    <t>Daniel Racine</t>
  </si>
  <si>
    <t>Kelcy L. Warren</t>
  </si>
  <si>
    <t>Terry K. Spencer</t>
  </si>
  <si>
    <t>Marc Holliday</t>
  </si>
  <si>
    <t>Michael N. Mears</t>
  </si>
  <si>
    <t>Douglas J. Pferdehirt</t>
  </si>
  <si>
    <t>Ian C. Dundas</t>
  </si>
  <si>
    <t>Michael J. Hennigan</t>
  </si>
  <si>
    <t>John C. Butler</t>
  </si>
  <si>
    <t>Daniel Joseph Houston</t>
  </si>
  <si>
    <t>John F. Remondi</t>
  </si>
  <si>
    <t>Steven J. Kean</t>
  </si>
  <si>
    <t>Timothy M. Archer</t>
  </si>
  <si>
    <t>Thomas H. Harty</t>
  </si>
  <si>
    <t>David M. Blackman</t>
  </si>
  <si>
    <t>George Kurian</t>
  </si>
  <si>
    <t>Albert Monaco</t>
  </si>
  <si>
    <t>John D. Wren</t>
  </si>
  <si>
    <t>Brian Johnston Porter</t>
  </si>
  <si>
    <t>Gabriel Tirador</t>
  </si>
  <si>
    <t>Gavin D. K. Hattersley</t>
  </si>
  <si>
    <t>Charlie F. Lowrey</t>
  </si>
  <si>
    <t>Eilard Friese</t>
  </si>
  <si>
    <t>Craig R. Smiddy</t>
  </si>
  <si>
    <t>Paul Anthony Mahon</t>
  </si>
  <si>
    <t>Brian T. Moynihan</t>
  </si>
  <si>
    <t>Margaret M. Keane</t>
  </si>
  <si>
    <t>Thomas P. Gibbons</t>
  </si>
  <si>
    <t>Jack Marie Henry David Bowles</t>
  </si>
  <si>
    <t>Robert Marc Bakish</t>
  </si>
  <si>
    <t>Edward D. Breen</t>
  </si>
  <si>
    <t>Torbjörn Magnusson</t>
  </si>
  <si>
    <t>Enrique Lores</t>
  </si>
  <si>
    <t>Charles S. MacFarlane</t>
  </si>
  <si>
    <t>Darryl White</t>
  </si>
  <si>
    <t>David W. Kenny</t>
  </si>
  <si>
    <t>Thomas Joseph Wilson</t>
  </si>
  <si>
    <t>Jeffrey Jonathan Brown</t>
  </si>
  <si>
    <t>Bharat B. Masrani</t>
  </si>
  <si>
    <t>David W. Gibbs</t>
  </si>
  <si>
    <t>Christopher J. Murphy</t>
  </si>
  <si>
    <t>Raymond M. Thompson</t>
  </si>
  <si>
    <t>José Antonio Álvarez Álvarez</t>
  </si>
  <si>
    <t>Gregory C. Case</t>
  </si>
  <si>
    <t>Paul Hudson</t>
  </si>
  <si>
    <t>Samuel J. B. Pollock</t>
  </si>
  <si>
    <t>Antonio Fabio Neri</t>
  </si>
  <si>
    <t>Eduardo Bartolomeo</t>
  </si>
  <si>
    <t>Julian E. Whitehurst</t>
  </si>
  <si>
    <t>André Calantzopoulos</t>
  </si>
  <si>
    <t>Victor Dodig</t>
  </si>
  <si>
    <t>Luc Desjardins</t>
  </si>
  <si>
    <t>Sumit Roy</t>
  </si>
  <si>
    <t>Michael J. Schall</t>
  </si>
  <si>
    <t>David Michael Solomon</t>
  </si>
  <si>
    <t>Wilson R. Jones</t>
  </si>
  <si>
    <t>Joseph M. Natale</t>
  </si>
  <si>
    <t>Timothy J. Naughton</t>
  </si>
  <si>
    <t>Richard P. Wallace</t>
  </si>
  <si>
    <t>Jason E. Fox</t>
  </si>
  <si>
    <t>Kenneth Marc Jacobs</t>
  </si>
  <si>
    <t>H. Lawrence Culp</t>
  </si>
  <si>
    <t>Darin S. Harris</t>
  </si>
  <si>
    <t>Christopher M. Crane</t>
  </si>
  <si>
    <t>Mariner Kemper</t>
  </si>
  <si>
    <t>Carlos Alves de Brito</t>
  </si>
  <si>
    <t>Peter T. F. M. Wennink</t>
  </si>
  <si>
    <t>Peter G. Watson</t>
  </si>
  <si>
    <t>Thomas W. Florsheim</t>
  </si>
  <si>
    <t>Darren Entwistle</t>
  </si>
  <si>
    <t>Thomas A. Fanning</t>
  </si>
  <si>
    <t>Lynn J. Good</t>
  </si>
  <si>
    <t>Mark Steven Walchirk</t>
  </si>
  <si>
    <t>Ivan M. Menezes</t>
  </si>
  <si>
    <t>Jeffrey L. Harmening</t>
  </si>
  <si>
    <t>Erik Niklas Engstrom</t>
  </si>
  <si>
    <t>Donald James Umpleby</t>
  </si>
  <si>
    <t>Leonard Todd Kahn / Joanne C. Crevoiserat</t>
  </si>
  <si>
    <t>Paul E. Szurek</t>
  </si>
  <si>
    <t>Joseph D. Russell</t>
  </si>
  <si>
    <t>William Cattell Trimble</t>
  </si>
  <si>
    <t>John T. Thomas</t>
  </si>
  <si>
    <t>Arne M. Sorenson</t>
  </si>
  <si>
    <t>Sean M. Connolly</t>
  </si>
  <si>
    <t>David V. Goeckeler</t>
  </si>
  <si>
    <t>Richard K. Templeton</t>
  </si>
  <si>
    <t>Alan Jope</t>
  </si>
  <si>
    <t>Jay A. Brown</t>
  </si>
  <si>
    <t>Erik Börje Ekholm</t>
  </si>
  <si>
    <t>Sachin G. Shah</t>
  </si>
  <si>
    <t>William A. Newlands</t>
  </si>
  <si>
    <t>Josef Kaeser</t>
  </si>
  <si>
    <t>Martin Mucci</t>
  </si>
  <si>
    <t>Terrence A. Duffy</t>
  </si>
  <si>
    <t>Norman Thomas Linebarger</t>
  </si>
  <si>
    <t>Thomas R. Palmer</t>
  </si>
  <si>
    <t>Arthur William Stein</t>
  </si>
  <si>
    <t>Björn Klas Otto Rosengren</t>
  </si>
  <si>
    <t>Alfred F. Kelly</t>
  </si>
  <si>
    <t>Patrick J. Ottensmeyer</t>
  </si>
  <si>
    <t>Mark J. Costa</t>
  </si>
  <si>
    <t>Jung-Ho Park</t>
  </si>
  <si>
    <t>Ulf Mark Schneider</t>
  </si>
  <si>
    <t>David L. Hoffmann</t>
  </si>
  <si>
    <t>Matthew J. Murphy</t>
  </si>
  <si>
    <t>Preston R. Feight</t>
  </si>
  <si>
    <t>Kevin P. Clark</t>
  </si>
  <si>
    <t>Jeffrey D. Lorenger</t>
  </si>
  <si>
    <t>Julie Spellman Sweet</t>
  </si>
  <si>
    <t>Che Chia Wei</t>
  </si>
  <si>
    <t>Ajaypal S. Banga / Michael E. Miebach</t>
  </si>
  <si>
    <t>Michael W. Lamach</t>
  </si>
  <si>
    <t>Dennis Mark Bristow</t>
  </si>
  <si>
    <t>Bracken P. Darrell</t>
  </si>
  <si>
    <t>Kenichiro Yoshida</t>
  </si>
  <si>
    <t>Stephen John Hasker</t>
  </si>
  <si>
    <t>Sonia Syngal</t>
  </si>
  <si>
    <t>Louis C. Camilleri</t>
  </si>
  <si>
    <t>Randy Vernon Joseph Smallwood</t>
  </si>
  <si>
    <t>Edward A. Pesicka</t>
  </si>
  <si>
    <t>Stephen Edward Murdoch</t>
  </si>
  <si>
    <t>Michael Louis Corbat</t>
  </si>
  <si>
    <t>Paul E. Smithers</t>
  </si>
  <si>
    <t>Roger C. Hochschild</t>
  </si>
  <si>
    <t>Matthew J. Meloy</t>
  </si>
  <si>
    <t>Joseph D. Randell</t>
  </si>
  <si>
    <t>James M. Taylor</t>
  </si>
  <si>
    <t>Christopher M. Gorman</t>
  </si>
  <si>
    <t>José María Álvarez-Pallete López</t>
  </si>
  <si>
    <t>Kelly S. King</t>
  </si>
  <si>
    <t>Xin Dong</t>
  </si>
  <si>
    <t>Stefan Bomhard</t>
  </si>
  <si>
    <t>Joseph R. Ficalora</t>
  </si>
  <si>
    <t>George Christopher Zoley</t>
  </si>
  <si>
    <t>Gregory K. Silvers</t>
  </si>
  <si>
    <t>Martin L. Flanagan</t>
  </si>
  <si>
    <t>John G. Murray</t>
  </si>
  <si>
    <t>Albert Bourla</t>
  </si>
  <si>
    <t>David E. Simon</t>
  </si>
  <si>
    <t>Christian P. Bayle</t>
  </si>
  <si>
    <t>Nathan A. Brown</t>
  </si>
  <si>
    <t>Charles E. Jones</t>
  </si>
  <si>
    <t>Michael A. Stivala</t>
  </si>
  <si>
    <t>Michael Nierenberg</t>
  </si>
  <si>
    <t>Wendy L. Simpson</t>
  </si>
  <si>
    <t>Owen D. Thomas</t>
  </si>
  <si>
    <t>William Leo Meaney</t>
  </si>
  <si>
    <t>Charles Taylor Pickett</t>
  </si>
  <si>
    <t>Dino E. Robusto</t>
  </si>
  <si>
    <t>Willing L. Biddle</t>
  </si>
  <si>
    <t>Frederick W. McTaggart</t>
  </si>
  <si>
    <t>Brian D. Goldner</t>
  </si>
  <si>
    <t>James C. Stewart</t>
  </si>
  <si>
    <t>Andrew J. Cecere</t>
  </si>
  <si>
    <t>James Dimon</t>
  </si>
  <si>
    <t>Steven B. Tanger</t>
  </si>
  <si>
    <t>Alan S. Armstrong</t>
  </si>
  <si>
    <t>Emma N. Walmsley</t>
  </si>
  <si>
    <t>Russell K. Girling</t>
  </si>
  <si>
    <t>Alexei Borisovich Miller</t>
  </si>
  <si>
    <t>Sergio P. Ermotti</t>
  </si>
  <si>
    <t>Donald J. Walker</t>
  </si>
  <si>
    <t>Edward K. Aldag</t>
  </si>
  <si>
    <t>Jeffrey K. Storey</t>
  </si>
  <si>
    <t>Miguel Patricio</t>
  </si>
  <si>
    <t>Jeremy John Male</t>
  </si>
  <si>
    <t>Paul M. Rady</t>
  </si>
  <si>
    <t>Scott D. Peters</t>
  </si>
  <si>
    <t>James Larry Nelson</t>
  </si>
  <si>
    <t>William David Mosley</t>
  </si>
  <si>
    <t>Scott Bluestein</t>
  </si>
  <si>
    <t>Christopher H. Volk</t>
  </si>
  <si>
    <t>Gary D. Kain</t>
  </si>
  <si>
    <t>Eric Richard Colson</t>
  </si>
  <si>
    <t>Marc Parent</t>
  </si>
  <si>
    <t>Benjamin S. Butcher</t>
  </si>
  <si>
    <t>Mark J. Parrell</t>
  </si>
  <si>
    <t>Mirko Bibic</t>
  </si>
  <si>
    <t>Mark Julian Read</t>
  </si>
  <si>
    <t>Frans van Houten</t>
  </si>
  <si>
    <t>Glenn J. Rufrano</t>
  </si>
  <si>
    <t>Richard J. Campo</t>
  </si>
  <si>
    <t>Christopher Timothy Frost</t>
  </si>
  <si>
    <t>R. Kipp deVeer</t>
  </si>
  <si>
    <t>Sean Eugene Reilly</t>
  </si>
  <si>
    <t>George R. Oliver</t>
  </si>
  <si>
    <t>Stephen P. Joyce</t>
  </si>
  <si>
    <t>Arun Banskota</t>
  </si>
  <si>
    <t>W. Anthony Will</t>
  </si>
  <si>
    <t>Adam David Portnoy</t>
  </si>
  <si>
    <t>David J. Gladstone</t>
  </si>
  <si>
    <t>Michael J. Cooper / P. Jane Gavan</t>
  </si>
  <si>
    <t>Ronald Stephen Delia</t>
  </si>
  <si>
    <t>John Visentin</t>
  </si>
  <si>
    <t>Thomas F. Farrell</t>
  </si>
  <si>
    <t>José Eduardo Cil</t>
  </si>
  <si>
    <t>Kenneth G. Romanzi</t>
  </si>
  <si>
    <t>Bhavesh Vaghjibhai Patel</t>
  </si>
  <si>
    <t>Oliver Zipse</t>
  </si>
  <si>
    <t>David J. Lesar</t>
  </si>
  <si>
    <t>Hock E. Tan</t>
  </si>
  <si>
    <t>Jean-Sébastien Jacques</t>
  </si>
  <si>
    <t>Thomas M. Herzog</t>
  </si>
  <si>
    <t>Jeffrey B. Pyatt</t>
  </si>
  <si>
    <t>Leon David Black</t>
  </si>
  <si>
    <t>Carlos Crespo González</t>
  </si>
  <si>
    <t>Brian Pauls</t>
  </si>
  <si>
    <t>Clifton Albert Pemble</t>
  </si>
  <si>
    <t>Mike Henry</t>
  </si>
  <si>
    <t>Ernie L. Herrman</t>
  </si>
  <si>
    <t>Barbara Rentler</t>
  </si>
  <si>
    <t>Peter M. Moglia / Stephen A. Richardson</t>
  </si>
  <si>
    <t>Ravichandra K. Saligram</t>
  </si>
  <si>
    <t>Mark S. Sutton</t>
  </si>
  <si>
    <t>Ola Kaellenius</t>
  </si>
  <si>
    <t>Steven C. Voorhees</t>
  </si>
  <si>
    <t>Stephen Allen Schwarzman</t>
  </si>
  <si>
    <t>Mikael Bratt</t>
  </si>
  <si>
    <t>Debra A. Cafaro</t>
  </si>
  <si>
    <t>Ivan Kaufman</t>
  </si>
  <si>
    <t>Richard A. Johnson</t>
  </si>
  <si>
    <t>Steven E. Rendle</t>
  </si>
  <si>
    <t>Carlos Manuel Hernandez</t>
  </si>
  <si>
    <t>Mark P. Vergnano</t>
  </si>
  <si>
    <t>Wendell P. Weeks</t>
  </si>
  <si>
    <t>In-Hwa Chang / Jeong-Woo Choi</t>
  </si>
  <si>
    <t>Todd A. Penegor</t>
  </si>
  <si>
    <t>Philip James Sanders</t>
  </si>
  <si>
    <t>Rael L. Diamond</t>
  </si>
  <si>
    <t>Alessandro Bogliolo</t>
  </si>
  <si>
    <t>Peter M. Carlino</t>
  </si>
  <si>
    <t>Robert Chapek</t>
  </si>
  <si>
    <t>Eugene I. Lee</t>
  </si>
  <si>
    <t>Akio Toyoda</t>
  </si>
  <si>
    <t>Mary Teresa Barra</t>
  </si>
  <si>
    <t>Richard C. Adkerson</t>
  </si>
  <si>
    <t>Craig Arnold</t>
  </si>
  <si>
    <t>Pascal Soriot</t>
  </si>
  <si>
    <t>Takahiro Hachigo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</si>
  <si>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</si>
  <si>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</si>
  <si>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</si>
  <si>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</si>
  <si>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</si>
  <si>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</si>
  <si>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</si>
  <si>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Ole Bjarte Bjarte Hjertaker</t>
  </si>
  <si>
    <t>Yong Sheng Ma</t>
  </si>
  <si>
    <t>Patrick Pouyanné</t>
  </si>
  <si>
    <t>Eric Dee Long</t>
  </si>
  <si>
    <t>Greg C. Garland</t>
  </si>
  <si>
    <t>Darren W. Woods</t>
  </si>
  <si>
    <t>Steven R. Mumma</t>
  </si>
  <si>
    <t>Joseph W. Gorder</t>
  </si>
  <si>
    <t>Ke Qiang Xu</t>
  </si>
  <si>
    <t>Bradley W. Corson</t>
  </si>
  <si>
    <t>Michael K. Wirth</t>
  </si>
  <si>
    <t>Curtis Chatman Farmer</t>
  </si>
  <si>
    <t>Thomas E. O'Hern</t>
  </si>
  <si>
    <t>Stephen D. Steinour</t>
  </si>
  <si>
    <t>Vicki A. Hollub</t>
  </si>
  <si>
    <t>Justin G. Knight</t>
  </si>
  <si>
    <t>Lorenzo Simonelli</t>
  </si>
  <si>
    <t>Matthew John Lambiase</t>
  </si>
  <si>
    <t>Arthur P. Brazy</t>
  </si>
  <si>
    <t>Matthew P. Wagner</t>
  </si>
  <si>
    <t>Scott McDougald Sutton</t>
  </si>
  <si>
    <t>Daniel P. Hansen</t>
  </si>
  <si>
    <t>Ryan M. Lance</t>
  </si>
  <si>
    <t>James C. Mastandrea</t>
  </si>
  <si>
    <t>Gary C. Kelly</t>
  </si>
  <si>
    <t>Olivier Le Peuch</t>
  </si>
  <si>
    <t>Charles William Scharf</t>
  </si>
  <si>
    <t>Albert A. Benchimol</t>
  </si>
  <si>
    <t>Barry Stuart Sternlicht</t>
  </si>
  <si>
    <t>John W. Lindsay</t>
  </si>
  <si>
    <t>Roberto da Cunha Castello Branco</t>
  </si>
  <si>
    <t>James F. Risoleo</t>
  </si>
  <si>
    <t>Brian William Kingston</t>
  </si>
  <si>
    <t>Richard K. Matros</t>
  </si>
  <si>
    <t>David L. Calhoun</t>
  </si>
  <si>
    <t>Stephen D. Plavin</t>
  </si>
  <si>
    <t>David L. Finkelstein</t>
  </si>
  <si>
    <t>Christian Mumenthaler</t>
  </si>
  <si>
    <t>Claudio Descalzi</t>
  </si>
  <si>
    <t>Brian Richard Harris</t>
  </si>
  <si>
    <t>Jeffrey Allen Miller</t>
  </si>
  <si>
    <t>Clay C. Williams</t>
  </si>
  <si>
    <t>Timotheus Höttges</t>
  </si>
  <si>
    <t>Stephen Walter King</t>
  </si>
  <si>
    <t>Erik B. Nordstrom</t>
  </si>
  <si>
    <t>Rob Thomsen Ladd</t>
  </si>
  <si>
    <t>John Francis Barry</t>
  </si>
  <si>
    <t>Jeffrey Gennette</t>
  </si>
  <si>
    <t>Jochen Zeitz</t>
  </si>
  <si>
    <t>Sheldon Gary Adelson</t>
  </si>
  <si>
    <t>Stuart A. Rothstein</t>
  </si>
  <si>
    <t>Michael Spanos</t>
  </si>
  <si>
    <t>William Keith Maxwell</t>
  </si>
  <si>
    <t>John Joseph Fallon</t>
  </si>
  <si>
    <t>Richard A. Zimmerman</t>
  </si>
  <si>
    <t>David M. Overton</t>
  </si>
  <si>
    <t>Guillaume Faury</t>
  </si>
  <si>
    <t>Dwayne Louis Hyzak</t>
  </si>
  <si>
    <t>Michael H. Dilger</t>
  </si>
  <si>
    <t>William Greenberg</t>
  </si>
  <si>
    <t>Conor C. Flynn</t>
  </si>
  <si>
    <t>Bradley S. Shaw</t>
  </si>
  <si>
    <t>Scott H. Baxter</t>
  </si>
  <si>
    <t>Richard Robinson</t>
  </si>
  <si>
    <t>Robert E. Sanchez</t>
  </si>
  <si>
    <t>Seth Perry Bernstein</t>
  </si>
  <si>
    <t>Elias J. Sabo</t>
  </si>
  <si>
    <t>Howard Mark Lorber</t>
  </si>
  <si>
    <t>William Andrew Hendricks</t>
  </si>
  <si>
    <t>Byron L. Boston</t>
  </si>
  <si>
    <t>Kevin R. Johnson</t>
  </si>
  <si>
    <t>Nicholas Jonathan Read</t>
  </si>
  <si>
    <t>Bradley D. Tilden</t>
  </si>
  <si>
    <t>Eldar Sætre</t>
  </si>
  <si>
    <t>Daniel L. Knotts</t>
  </si>
  <si>
    <t>Robert E. Cauley</t>
  </si>
  <si>
    <t>Charles V. Magro</t>
  </si>
  <si>
    <t>Jereissati Jean Neto</t>
  </si>
  <si>
    <t>James P. Hackett</t>
  </si>
  <si>
    <t>John David Williams</t>
  </si>
  <si>
    <t>Fujio Mitarai</t>
  </si>
  <si>
    <t>David John Schulte</t>
  </si>
  <si>
    <t>Arnold W. Donald</t>
  </si>
  <si>
    <t>Sandra B. Cochran</t>
  </si>
  <si>
    <t>Noel Paul Quinn</t>
  </si>
  <si>
    <t>William Douglas Parker</t>
  </si>
  <si>
    <t>Edward Herman Bastian</t>
  </si>
  <si>
    <t>William Thomas Dillard</t>
  </si>
  <si>
    <t>Thomas J. DeRosa</t>
  </si>
  <si>
    <t>John J. Christmann</t>
  </si>
  <si>
    <t>Michelle D. Gass</t>
  </si>
  <si>
    <t>Richard D. Fain</t>
  </si>
  <si>
    <t>Robert S. Taubman</t>
  </si>
  <si>
    <t>James R. Fitterling</t>
  </si>
  <si>
    <t>Anthony G. Petrello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</si>
  <si>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</si>
  <si>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</si>
  <si>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</si>
  <si>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</si>
  <si>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</si>
  <si>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</si>
  <si>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Mark J. Tritton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</si>
  <si>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</si>
  <si>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</si>
  <si>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</si>
  <si>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</si>
  <si>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</si>
  <si>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</si>
  <si>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</si>
  <si>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</si>
  <si>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Yong Zhang</t>
  </si>
  <si>
    <t>Pekka Ilmari Lundmark</t>
  </si>
  <si>
    <t>Lakshmi Niwas Mittal</t>
  </si>
  <si>
    <t>J. Scott Kirby</t>
  </si>
  <si>
    <t>Warren Edward Buffett</t>
  </si>
  <si>
    <t>Steven van Rijswijk</t>
  </si>
  <si>
    <t>Michael Mark Manley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</si>
  <si>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</si>
  <si>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</si>
  <si>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</si>
  <si>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</si>
  <si>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</si>
  <si>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</si>
  <si>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</si>
  <si>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</si>
  <si>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</si>
  <si>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</si>
  <si>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</si>
  <si>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Consumer Cyclical</t>
  </si>
  <si>
    <t>Industrials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</si>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</sst>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0.069300911854103</v>
      </c>
      <c r="E2">
        <v>0.1276934826278513</v>
      </c>
      <c r="F2">
        <v>0.02</v>
      </c>
      <c r="G2">
        <v>0.189527348812857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0.033037475345167</v>
      </c>
      <c r="E3">
        <v>0.0509476404473832</v>
      </c>
      <c r="F3">
        <v>0.09</v>
      </c>
      <c r="G3">
        <v>0.1678509099893382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0.00237023426734</v>
      </c>
      <c r="E4">
        <v>-0.02346084352598987</v>
      </c>
      <c r="F4">
        <v>0.18</v>
      </c>
      <c r="G4">
        <v>0.1550929918059039</v>
      </c>
      <c r="H4" t="s">
        <v>636</v>
      </c>
      <c r="I4" t="s">
        <v>446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0.019528674698795</v>
      </c>
      <c r="E5">
        <v>0.07651635127086265</v>
      </c>
      <c r="F5">
        <v>0.05</v>
      </c>
      <c r="G5">
        <v>0.1497295793254649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0.05165114309906801</v>
      </c>
      <c r="E6">
        <v>0.0581453824997693</v>
      </c>
      <c r="F6">
        <v>0.05</v>
      </c>
      <c r="G6">
        <v>0.1487385226573219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632</v>
      </c>
      <c r="D7">
        <v>0.026918359002317</v>
      </c>
      <c r="E7">
        <v>0.04286000497933218</v>
      </c>
      <c r="F7">
        <v>0.08</v>
      </c>
      <c r="G7">
        <v>0.1477726026619133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632</v>
      </c>
      <c r="D8">
        <v>0.053461672271831</v>
      </c>
      <c r="E8">
        <v>0.0479815150717533</v>
      </c>
      <c r="F8">
        <v>0.05</v>
      </c>
      <c r="G8">
        <v>0.1417791840530469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632</v>
      </c>
      <c r="D9">
        <v>0.053372726229625</v>
      </c>
      <c r="E9">
        <v>0.04607578117554278</v>
      </c>
      <c r="F9">
        <v>0.05</v>
      </c>
      <c r="G9">
        <v>0.1377318741878724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632</v>
      </c>
      <c r="D10">
        <v>0.029584804168767</v>
      </c>
      <c r="E10">
        <v>0.07143804508661367</v>
      </c>
      <c r="F10">
        <v>0.04</v>
      </c>
      <c r="G10">
        <v>0.136206698730498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HYPERLINK("https://www.suredividend.com/sure-analysis-CTBI/","Community Trust Bancorp, Inc. (Kentucky)")</f>
        <v>0</v>
      </c>
      <c r="C11" t="s">
        <v>632</v>
      </c>
      <c r="D11">
        <v>0.053805309734513</v>
      </c>
      <c r="E11">
        <v>0.05544754580762179</v>
      </c>
      <c r="F11">
        <v>0.04</v>
      </c>
      <c r="G11">
        <v>0.1356886579557885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HYPERLINK("https://www.suredividend.com/sure-analysis-TDS/","Telephone &amp; Data Systems, Inc.")</f>
        <v>0</v>
      </c>
      <c r="C12" t="s">
        <v>632</v>
      </c>
      <c r="D12">
        <v>0.03600214938205201</v>
      </c>
      <c r="E12">
        <v>0.09277392832366083</v>
      </c>
      <c r="F12">
        <v>0.015</v>
      </c>
      <c r="G12">
        <v>0.1344269645749974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632</v>
      </c>
      <c r="D13">
        <v>0.05448065173116001</v>
      </c>
      <c r="E13">
        <v>0.04944505393164955</v>
      </c>
      <c r="F13">
        <v>0.04</v>
      </c>
      <c r="G13">
        <v>0.1311753802926183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632</v>
      </c>
      <c r="D14">
        <v>0.040015390534821</v>
      </c>
      <c r="E14">
        <v>0.04248241957256749</v>
      </c>
      <c r="F14">
        <v>0.055</v>
      </c>
      <c r="G14">
        <v>0.129502313329773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0.019230769230769</v>
      </c>
      <c r="E15">
        <v>0.06160131484466369</v>
      </c>
      <c r="F15">
        <v>0.05</v>
      </c>
      <c r="G15">
        <v>0.1292586014382371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632</v>
      </c>
      <c r="D16">
        <v>0.04193625688952701</v>
      </c>
      <c r="E16">
        <v>0.03682228682480226</v>
      </c>
      <c r="F16">
        <v>0.06</v>
      </c>
      <c r="G16">
        <v>0.1282835862306473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HYPERLINK("https://www.suredividend.com/sure-analysis-LOW/","Lowe's Cos., Inc.")</f>
        <v>0</v>
      </c>
      <c r="C17" t="s">
        <v>632</v>
      </c>
      <c r="D17">
        <v>0.013788780946411</v>
      </c>
      <c r="E17">
        <v>0.01276905381927329</v>
      </c>
      <c r="F17">
        <v>0.1</v>
      </c>
      <c r="G17">
        <v>0.1266534925290606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HYPERLINK("https://www.suredividend.com/sure-analysis-FMS/","Fresenius Medical Care AG &amp; Co. KGaA")</f>
        <v>0</v>
      </c>
      <c r="C18" t="s">
        <v>632</v>
      </c>
      <c r="D18">
        <v>0.017183604985618</v>
      </c>
      <c r="E18">
        <v>0.04902614903187841</v>
      </c>
      <c r="F18">
        <v>0.06</v>
      </c>
      <c r="G18">
        <v>0.1238891153238506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HYPERLINK("https://www.suredividend.com/sure-analysis-PSBQ/","PSB Holdings, Inc. (Wisconsin)")</f>
        <v>0</v>
      </c>
      <c r="C19" t="s">
        <v>632</v>
      </c>
      <c r="D19">
        <v>0.022343324250681</v>
      </c>
      <c r="E19">
        <v>0.06380196457174514</v>
      </c>
      <c r="F19">
        <v>0.04</v>
      </c>
      <c r="G19">
        <v>0.1236151629486946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632</v>
      </c>
      <c r="D20">
        <v>0.016121784069205</v>
      </c>
      <c r="E20">
        <v>0.004431948873022673</v>
      </c>
      <c r="F20">
        <v>0.1</v>
      </c>
      <c r="G20">
        <v>0.1215842535630469</v>
      </c>
      <c r="H20" t="s">
        <v>636</v>
      </c>
      <c r="I20" t="s">
        <v>372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632</v>
      </c>
      <c r="D21">
        <v>0.016493902439024</v>
      </c>
      <c r="E21">
        <v>0.003030358600914607</v>
      </c>
      <c r="F21">
        <v>0.1</v>
      </c>
      <c r="G21">
        <v>0.1167692430316321</v>
      </c>
      <c r="H21" t="s">
        <v>636</v>
      </c>
      <c r="I21" t="s">
        <v>372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632</v>
      </c>
      <c r="D22">
        <v>0.014669111518586</v>
      </c>
      <c r="E22">
        <v>0.02234902737579447</v>
      </c>
      <c r="F22">
        <v>0.08</v>
      </c>
      <c r="G22">
        <v>0.115340350054441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0.011043027405561</v>
      </c>
      <c r="E23">
        <v>0.04150926573336267</v>
      </c>
      <c r="F23">
        <v>0.06</v>
      </c>
      <c r="G23">
        <v>0.1132252314339572</v>
      </c>
      <c r="H23" t="s">
        <v>636</v>
      </c>
      <c r="I23" t="s">
        <v>372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632</v>
      </c>
      <c r="D24">
        <v>0.016833599865331</v>
      </c>
      <c r="E24">
        <v>0.02739437233137254</v>
      </c>
      <c r="F24">
        <v>0.07000000000000001</v>
      </c>
      <c r="G24">
        <v>0.1127648137002086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632</v>
      </c>
      <c r="D25">
        <v>0.030677953838361</v>
      </c>
      <c r="E25">
        <v>0.02319508719697416</v>
      </c>
      <c r="F25">
        <v>0.06</v>
      </c>
      <c r="G25">
        <v>0.1123016824049285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HYPERLINK("https://www.suredividend.com/sure-analysis-PII/","Polaris Inc.")</f>
        <v>0</v>
      </c>
      <c r="C26" t="s">
        <v>632</v>
      </c>
      <c r="D26">
        <v>0.027080581241743</v>
      </c>
      <c r="E26">
        <v>0.02742763468825626</v>
      </c>
      <c r="F26">
        <v>0.06</v>
      </c>
      <c r="G26">
        <v>0.1113410602876626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HYPERLINK("https://www.suredividend.com/sure-analysis-FDX/","FedEx Corp.")</f>
        <v>0</v>
      </c>
      <c r="C27" t="s">
        <v>632</v>
      </c>
      <c r="D27">
        <v>0.010392932805692</v>
      </c>
      <c r="E27">
        <v>0.04043013393248951</v>
      </c>
      <c r="F27">
        <v>0.06</v>
      </c>
      <c r="G27">
        <v>0.1111274993478739</v>
      </c>
      <c r="H27" t="s">
        <v>636</v>
      </c>
      <c r="I27" t="s">
        <v>446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632</v>
      </c>
      <c r="D28">
        <v>0.039579816169574</v>
      </c>
      <c r="E28">
        <v>0.0372280626788577</v>
      </c>
      <c r="F28">
        <v>0.04</v>
      </c>
      <c r="G28">
        <v>0.1111047767778979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632</v>
      </c>
      <c r="D29">
        <v>0.019972260748959</v>
      </c>
      <c r="E29">
        <v>0.0397137040937372</v>
      </c>
      <c r="F29">
        <v>0.05</v>
      </c>
      <c r="G29">
        <v>0.1076929569036129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HYPERLINK("https://www.suredividend.com/sure-analysis-DCI/","Donaldson Co., Inc.")</f>
        <v>0</v>
      </c>
      <c r="C30" t="s">
        <v>632</v>
      </c>
      <c r="D30">
        <v>0.018276762402088</v>
      </c>
      <c r="E30">
        <v>-0.008678486444267497</v>
      </c>
      <c r="F30">
        <v>0.1</v>
      </c>
      <c r="G30">
        <v>0.1063290535546584</v>
      </c>
      <c r="H30" t="s">
        <v>636</v>
      </c>
      <c r="I30" t="s">
        <v>372</v>
      </c>
    </row>
    <row r="31" spans="1:9">
      <c r="A31" s="1" t="s">
        <v>38</v>
      </c>
      <c r="B31">
        <f>HYPERLINK("https://www.suredividend.com/sure-analysis-BRC/","Brady Corp.")</f>
        <v>0</v>
      </c>
      <c r="C31" t="s">
        <v>632</v>
      </c>
      <c r="D31">
        <v>0.022296258329062</v>
      </c>
      <c r="E31">
        <v>0.03791578898070291</v>
      </c>
      <c r="F31">
        <v>0.05</v>
      </c>
      <c r="G31">
        <v>0.1058607308990627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632</v>
      </c>
      <c r="D32">
        <v>0.0266139657444</v>
      </c>
      <c r="E32">
        <v>0.03158191839472324</v>
      </c>
      <c r="F32">
        <v>0.05</v>
      </c>
      <c r="G32">
        <v>0.1051303535319292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HYPERLINK("https://www.suredividend.com/sure-analysis-AMAT/","Applied Materials, Inc.")</f>
        <v>0</v>
      </c>
      <c r="C33" t="s">
        <v>632</v>
      </c>
      <c r="D33">
        <v>0.014769019405804</v>
      </c>
      <c r="E33">
        <v>0.009337964930129727</v>
      </c>
      <c r="F33">
        <v>0.08</v>
      </c>
      <c r="G33">
        <v>0.1041121898009008</v>
      </c>
      <c r="H33" t="s">
        <v>636</v>
      </c>
      <c r="I33" t="s">
        <v>372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632</v>
      </c>
      <c r="D34">
        <v>0.04067467847353901</v>
      </c>
      <c r="E34">
        <v>0.03005855389614909</v>
      </c>
      <c r="F34">
        <v>0.04</v>
      </c>
      <c r="G34">
        <v>0.103676036342313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632</v>
      </c>
      <c r="D35">
        <v>0.030786453960257</v>
      </c>
      <c r="E35">
        <v>0.04251888785851587</v>
      </c>
      <c r="F35">
        <v>0.03</v>
      </c>
      <c r="G35">
        <v>0.09844265579204503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632</v>
      </c>
      <c r="D36">
        <v>0.040727667662231</v>
      </c>
      <c r="E36">
        <v>0.0009214607217600257</v>
      </c>
      <c r="F36">
        <v>0.06</v>
      </c>
      <c r="G36">
        <v>0.09783533242898113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HYPERLINK("https://www.suredividend.com/sure-analysis-ORCL/","Oracle Corp.")</f>
        <v>0</v>
      </c>
      <c r="C37" t="s">
        <v>632</v>
      </c>
      <c r="D37">
        <v>0.016053511705685</v>
      </c>
      <c r="E37">
        <v>0.0006680032679751147</v>
      </c>
      <c r="F37">
        <v>0.08</v>
      </c>
      <c r="G37">
        <v>0.09485370468435095</v>
      </c>
      <c r="H37" t="s">
        <v>636</v>
      </c>
      <c r="I37" t="s">
        <v>372</v>
      </c>
    </row>
    <row r="38" spans="1:9">
      <c r="A38" s="1" t="s">
        <v>45</v>
      </c>
      <c r="B38">
        <f>HYPERLINK("https://www.suredividend.com/sure-analysis-AIZ/","Assurant, Inc.")</f>
        <v>0</v>
      </c>
      <c r="C38" t="s">
        <v>632</v>
      </c>
      <c r="D38">
        <v>0.021388558818536</v>
      </c>
      <c r="E38">
        <v>0.02298904406531266</v>
      </c>
      <c r="F38">
        <v>0.05</v>
      </c>
      <c r="G38">
        <v>0.09283327389781948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HYPERLINK("https://www.suredividend.com/sure-analysis-BANF/","BancFirst Corp. (Oklahoma)")</f>
        <v>0</v>
      </c>
      <c r="C39" t="s">
        <v>632</v>
      </c>
      <c r="D39">
        <v>0.031730292513634</v>
      </c>
      <c r="E39">
        <v>0.03103258918988683</v>
      </c>
      <c r="F39">
        <v>0.03</v>
      </c>
      <c r="G39">
        <v>0.09107621350295947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0.014842975206611</v>
      </c>
      <c r="E40">
        <v>-0.02685913644533278</v>
      </c>
      <c r="F40">
        <v>0.1</v>
      </c>
      <c r="G40">
        <v>0.08879169280394028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632</v>
      </c>
      <c r="D41">
        <v>0.013717421124828</v>
      </c>
      <c r="E41">
        <v>-0.00808581192247082</v>
      </c>
      <c r="F41">
        <v>0.08</v>
      </c>
      <c r="G41">
        <v>0.0841633739913672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0.034208432776451</v>
      </c>
      <c r="E42">
        <v>0.002847696807730893</v>
      </c>
      <c r="F42">
        <v>0.05</v>
      </c>
      <c r="G42">
        <v>0.08350132076794803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HYPERLINK("https://www.suredividend.com/sure-analysis-KR/","The Kroger Co.")</f>
        <v>0</v>
      </c>
      <c r="C43" t="s">
        <v>632</v>
      </c>
      <c r="D43">
        <v>0.019683865195347</v>
      </c>
      <c r="E43">
        <v>0.0306856054161484</v>
      </c>
      <c r="F43">
        <v>0.03</v>
      </c>
      <c r="G43">
        <v>0.0822383344104638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632</v>
      </c>
      <c r="D44">
        <v>0.014110697877926</v>
      </c>
      <c r="E44">
        <v>-0.03627200449246326</v>
      </c>
      <c r="F44">
        <v>0.11</v>
      </c>
      <c r="G44">
        <v>0.08205571355980479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632</v>
      </c>
      <c r="D45">
        <v>0.023622047244094</v>
      </c>
      <c r="E45">
        <v>-0.01348202120461006</v>
      </c>
      <c r="F45">
        <v>0.07000000000000001</v>
      </c>
      <c r="G45">
        <v>0.07914628661848799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632</v>
      </c>
      <c r="D46">
        <v>0.04309566787003601</v>
      </c>
      <c r="E46">
        <v>0.01181152343407366</v>
      </c>
      <c r="F46">
        <v>0.029</v>
      </c>
      <c r="G46">
        <v>0.0777712066451588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0.03987112171837701</v>
      </c>
      <c r="E47">
        <v>0.02897907911251507</v>
      </c>
      <c r="F47">
        <v>0.01</v>
      </c>
      <c r="G47">
        <v>0.07653965919037287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632</v>
      </c>
      <c r="D48">
        <v>0.017601760176017</v>
      </c>
      <c r="E48">
        <v>-0.03772439487113177</v>
      </c>
      <c r="F48">
        <v>0.1</v>
      </c>
      <c r="G48">
        <v>0.07507420904163897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HYPERLINK("https://www.suredividend.com/sure-analysis-PNR/","Pentair Plc")</f>
        <v>0</v>
      </c>
      <c r="C49" t="s">
        <v>632</v>
      </c>
      <c r="D49">
        <v>0.016681494661921</v>
      </c>
      <c r="E49">
        <v>-0.008875000583574932</v>
      </c>
      <c r="F49">
        <v>0.065</v>
      </c>
      <c r="G49">
        <v>0.0713690439628083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632</v>
      </c>
      <c r="D50">
        <v>0.014012852552659</v>
      </c>
      <c r="E50">
        <v>-0.0407459125502404</v>
      </c>
      <c r="F50">
        <v>0.1</v>
      </c>
      <c r="G50">
        <v>0.07003571362850547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632</v>
      </c>
      <c r="D51">
        <v>0.019945725915875</v>
      </c>
      <c r="E51">
        <v>0.000812788935828701</v>
      </c>
      <c r="F51">
        <v>0.05</v>
      </c>
      <c r="G51">
        <v>0.06830186402689775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HYPERLINK("https://www.suredividend.com/sure-analysis-ADM/","Archer-Daniels-Midland Co.")</f>
        <v>0</v>
      </c>
      <c r="C52" t="s">
        <v>632</v>
      </c>
      <c r="D52">
        <v>0.030815972222222</v>
      </c>
      <c r="E52">
        <v>-0.004732073616256827</v>
      </c>
      <c r="F52">
        <v>0.04</v>
      </c>
      <c r="G52">
        <v>0.06444393041036811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632</v>
      </c>
      <c r="D53">
        <v>0.01694214876033</v>
      </c>
      <c r="E53">
        <v>-0.005853245024034504</v>
      </c>
      <c r="F53">
        <v>0.05</v>
      </c>
      <c r="G53">
        <v>0.06127014725504254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HYPERLINK("https://www.suredividend.com/sure-analysis-EMR/","Emerson Electric Co.")</f>
        <v>0</v>
      </c>
      <c r="C54" t="s">
        <v>632</v>
      </c>
      <c r="D54">
        <v>0.030934245297683</v>
      </c>
      <c r="E54">
        <v>-0.01714898149669508</v>
      </c>
      <c r="F54">
        <v>0.05</v>
      </c>
      <c r="G54">
        <v>0.06037791180719121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HYPERLINK("https://www.suredividend.com/sure-analysis-COST/","Costco Wholesale Corp.")</f>
        <v>0</v>
      </c>
      <c r="C55" t="s">
        <v>632</v>
      </c>
      <c r="D55">
        <v>0.007881370774709</v>
      </c>
      <c r="E55">
        <v>-0.04439122644943339</v>
      </c>
      <c r="F55">
        <v>0.1</v>
      </c>
      <c r="G55">
        <v>0.06001162578619423</v>
      </c>
      <c r="H55" t="s">
        <v>636</v>
      </c>
      <c r="I55" t="s">
        <v>446</v>
      </c>
    </row>
    <row r="56" spans="1:9">
      <c r="A56" s="1" t="s">
        <v>63</v>
      </c>
      <c r="B56">
        <f>HYPERLINK("https://www.suredividend.com/sure-analysis-SYK/","Stryker Corp.")</f>
        <v>0</v>
      </c>
      <c r="C56" t="s">
        <v>632</v>
      </c>
      <c r="D56">
        <v>0.010950685332422</v>
      </c>
      <c r="E56">
        <v>-0.06563715141417481</v>
      </c>
      <c r="F56">
        <v>0.12</v>
      </c>
      <c r="G56">
        <v>0.05946501691974837</v>
      </c>
      <c r="H56" t="s">
        <v>636</v>
      </c>
      <c r="I56" t="s">
        <v>372</v>
      </c>
    </row>
    <row r="57" spans="1:9">
      <c r="A57" s="1" t="s">
        <v>64</v>
      </c>
      <c r="B57">
        <f>HYPERLINK("https://www.suredividend.com/sure-analysis-THFF/","First Financial Corp. (Indiana)")</f>
        <v>0</v>
      </c>
      <c r="C57" t="s">
        <v>632</v>
      </c>
      <c r="D57">
        <v>0.033986928104575</v>
      </c>
      <c r="E57">
        <v>0.02723385352873309</v>
      </c>
      <c r="F57">
        <v>0</v>
      </c>
      <c r="G57">
        <v>0.0568720213470173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632</v>
      </c>
      <c r="D58">
        <v>0.028684605928151</v>
      </c>
      <c r="E58">
        <v>-0.0117752267426019</v>
      </c>
      <c r="F58">
        <v>0.04</v>
      </c>
      <c r="G58">
        <v>0.05565291385082083</v>
      </c>
      <c r="H58" t="s">
        <v>636</v>
      </c>
      <c r="I58" t="s">
        <v>637</v>
      </c>
    </row>
    <row r="59" spans="1:9">
      <c r="A59" s="1" t="s">
        <v>66</v>
      </c>
      <c r="B59">
        <f>HYPERLINK("https://www.suredividend.com/sure-analysis-TROW/","T. Rowe Price Group, Inc.")</f>
        <v>0</v>
      </c>
      <c r="C59" t="s">
        <v>632</v>
      </c>
      <c r="D59">
        <v>0.026513336527711</v>
      </c>
      <c r="E59">
        <v>-0.02206753331845945</v>
      </c>
      <c r="F59">
        <v>0.05</v>
      </c>
      <c r="G59">
        <v>0.05520606801678229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632</v>
      </c>
      <c r="D60">
        <v>0.026500068653027</v>
      </c>
      <c r="E60">
        <v>-0.03168585523395184</v>
      </c>
      <c r="F60">
        <v>0.06</v>
      </c>
      <c r="G60">
        <v>0.05468769581609378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HYPERLINK("https://www.suredividend.com/sure-analysis-SPGI/","S&amp;P Global, Inc.")</f>
        <v>0</v>
      </c>
      <c r="C61" t="s">
        <v>632</v>
      </c>
      <c r="D61">
        <v>0.007028482357942001</v>
      </c>
      <c r="E61">
        <v>-0.04114004331010657</v>
      </c>
      <c r="F61">
        <v>0.09</v>
      </c>
      <c r="G61">
        <v>0.05405867356276794</v>
      </c>
      <c r="H61" t="s">
        <v>636</v>
      </c>
      <c r="I61" t="s">
        <v>372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632</v>
      </c>
      <c r="D62">
        <v>0.019127516778523</v>
      </c>
      <c r="E62">
        <v>-0.04236723792716368</v>
      </c>
      <c r="F62">
        <v>0.08</v>
      </c>
      <c r="G62">
        <v>0.05201614422539924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HYPERLINK("https://www.suredividend.com/sure-analysis-CPKF/","Chesapeake Financial Shares, Inc. (Maryland)")</f>
        <v>0</v>
      </c>
      <c r="C63" t="s">
        <v>632</v>
      </c>
      <c r="D63">
        <v>0.02344365627955</v>
      </c>
      <c r="E63">
        <v>0.007911642516189588</v>
      </c>
      <c r="F63">
        <v>0.02</v>
      </c>
      <c r="G63">
        <v>0.05091391548018276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HYPERLINK("https://www.suredividend.com/sure-analysis-DG/","Dollar General Corp.")</f>
        <v>0</v>
      </c>
      <c r="C64" t="s">
        <v>632</v>
      </c>
      <c r="D64">
        <v>0.006526224866836</v>
      </c>
      <c r="E64">
        <v>-0.05147535021608773</v>
      </c>
      <c r="F64">
        <v>0.1</v>
      </c>
      <c r="G64">
        <v>0.05066161923548318</v>
      </c>
      <c r="H64" t="s">
        <v>636</v>
      </c>
      <c r="I64" t="s">
        <v>446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632</v>
      </c>
      <c r="D65">
        <v>0.036313720596493</v>
      </c>
      <c r="E65">
        <v>-0.03373487211012294</v>
      </c>
      <c r="F65">
        <v>0.05</v>
      </c>
      <c r="G65">
        <v>0.04892421890133147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632</v>
      </c>
      <c r="D66">
        <v>0.032996811902231</v>
      </c>
      <c r="E66">
        <v>-0.01331480956873043</v>
      </c>
      <c r="F66">
        <v>0.03</v>
      </c>
      <c r="G66">
        <v>0.04857745888376086</v>
      </c>
      <c r="H66" t="s">
        <v>636</v>
      </c>
      <c r="I66" t="s">
        <v>636</v>
      </c>
    </row>
    <row r="67" spans="1:9">
      <c r="A67" s="1" t="s">
        <v>74</v>
      </c>
      <c r="B67">
        <f>HYPERLINK("https://www.suredividend.com/sure-analysis-DPZ/","Domino's Pizza, Inc.")</f>
        <v>0</v>
      </c>
      <c r="C67" t="s">
        <v>632</v>
      </c>
      <c r="D67">
        <v>0.006840796019900001</v>
      </c>
      <c r="E67">
        <v>-0.05206596378117012</v>
      </c>
      <c r="F67">
        <v>0.09</v>
      </c>
      <c r="G67">
        <v>0.04266569705930823</v>
      </c>
      <c r="H67" t="s">
        <v>636</v>
      </c>
      <c r="I67" t="s">
        <v>446</v>
      </c>
    </row>
    <row r="68" spans="1:9">
      <c r="A68" s="1" t="s">
        <v>75</v>
      </c>
      <c r="B68">
        <f>HYPERLINK("https://www.suredividend.com/sure-analysis-ROP/","Roper Technologies, Inc.")</f>
        <v>0</v>
      </c>
      <c r="C68" t="s">
        <v>632</v>
      </c>
      <c r="D68">
        <v>0.005023610971566001</v>
      </c>
      <c r="E68">
        <v>-0.04454760507114941</v>
      </c>
      <c r="F68">
        <v>0.08500000000000001</v>
      </c>
      <c r="G68">
        <v>0.04241366937857993</v>
      </c>
      <c r="H68" t="s">
        <v>636</v>
      </c>
      <c r="I68" t="s">
        <v>372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632</v>
      </c>
      <c r="D69">
        <v>0.018064516129032</v>
      </c>
      <c r="E69">
        <v>-0.05217170167039231</v>
      </c>
      <c r="F69">
        <v>0.08</v>
      </c>
      <c r="G69">
        <v>0.04206362145050924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632</v>
      </c>
      <c r="D70">
        <v>0.02277814351547</v>
      </c>
      <c r="E70">
        <v>-0.03977550106212946</v>
      </c>
      <c r="F70">
        <v>0.06</v>
      </c>
      <c r="G70">
        <v>0.0417657454548086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632</v>
      </c>
      <c r="D71">
        <v>0.007737824305871</v>
      </c>
      <c r="E71">
        <v>-0.04447600307254385</v>
      </c>
      <c r="F71">
        <v>0.08</v>
      </c>
      <c r="G71">
        <v>0.04068487786915442</v>
      </c>
      <c r="H71" t="s">
        <v>636</v>
      </c>
      <c r="I71" t="s">
        <v>372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632</v>
      </c>
      <c r="D72">
        <v>0.004149655310889001</v>
      </c>
      <c r="E72">
        <v>-0.03504720265908379</v>
      </c>
      <c r="F72">
        <v>0.07000000000000001</v>
      </c>
      <c r="G72">
        <v>0.04025902401271497</v>
      </c>
      <c r="H72" t="s">
        <v>636</v>
      </c>
      <c r="I72" t="s">
        <v>446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632</v>
      </c>
      <c r="D73">
        <v>0.015589713702921</v>
      </c>
      <c r="E73">
        <v>-0.02979999009286072</v>
      </c>
      <c r="F73">
        <v>0.055</v>
      </c>
      <c r="G73">
        <v>0.03969165757986848</v>
      </c>
      <c r="H73" t="s">
        <v>636</v>
      </c>
      <c r="I73" t="s">
        <v>372</v>
      </c>
    </row>
    <row r="74" spans="1:9">
      <c r="A74" s="1" t="s">
        <v>81</v>
      </c>
      <c r="B74">
        <f>HYPERLINK("https://www.suredividend.com/sure-analysis-MCO/","Moody's Corp.")</f>
        <v>0</v>
      </c>
      <c r="C74" t="s">
        <v>632</v>
      </c>
      <c r="D74">
        <v>0.007558201718421</v>
      </c>
      <c r="E74">
        <v>-0.04742087586195876</v>
      </c>
      <c r="F74">
        <v>0.08</v>
      </c>
      <c r="G74">
        <v>0.03845095127988096</v>
      </c>
      <c r="H74" t="s">
        <v>636</v>
      </c>
      <c r="I74" t="s">
        <v>446</v>
      </c>
    </row>
    <row r="75" spans="1:9">
      <c r="A75" s="1" t="s">
        <v>82</v>
      </c>
      <c r="B75">
        <f>HYPERLINK("https://www.suredividend.com/sure-analysis-TSCO/","Tractor Supply Co.")</f>
        <v>0</v>
      </c>
      <c r="C75" t="s">
        <v>632</v>
      </c>
      <c r="D75">
        <v>0.010056748796781</v>
      </c>
      <c r="E75">
        <v>-0.04774949227048975</v>
      </c>
      <c r="F75">
        <v>0.075</v>
      </c>
      <c r="G75">
        <v>0.03482512932833082</v>
      </c>
      <c r="H75" t="s">
        <v>636</v>
      </c>
      <c r="I75" t="s">
        <v>446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632</v>
      </c>
      <c r="D76">
        <v>0.021326095385808</v>
      </c>
      <c r="E76">
        <v>-0.05681718690258353</v>
      </c>
      <c r="F76">
        <v>0.07000000000000001</v>
      </c>
      <c r="G76">
        <v>0.0345597036987082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632</v>
      </c>
      <c r="D77">
        <v>0.008234106115381001</v>
      </c>
      <c r="E77">
        <v>-0.04872501337813517</v>
      </c>
      <c r="F77">
        <v>0.075</v>
      </c>
      <c r="G77">
        <v>0.0339703300625418</v>
      </c>
      <c r="H77" t="s">
        <v>636</v>
      </c>
      <c r="I77" t="s">
        <v>446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632</v>
      </c>
      <c r="D78">
        <v>0.037037037037037</v>
      </c>
      <c r="E78">
        <v>-0.005894320376609308</v>
      </c>
      <c r="F78">
        <v>0</v>
      </c>
      <c r="G78">
        <v>0.03391872732414392</v>
      </c>
      <c r="H78" t="s">
        <v>636</v>
      </c>
      <c r="I78" t="s">
        <v>636</v>
      </c>
    </row>
    <row r="79" spans="1:9">
      <c r="A79" s="1" t="s">
        <v>86</v>
      </c>
      <c r="B79">
        <f>HYPERLINK("https://www.suredividend.com/sure-analysis-TGT/","Target Corp.")</f>
        <v>0</v>
      </c>
      <c r="C79" t="s">
        <v>632</v>
      </c>
      <c r="D79">
        <v>0.017233560090702</v>
      </c>
      <c r="E79">
        <v>-0.04595109070482339</v>
      </c>
      <c r="F79">
        <v>0.06</v>
      </c>
      <c r="G79">
        <v>0.0306697471503834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632</v>
      </c>
      <c r="D80">
        <v>0.011553104956693</v>
      </c>
      <c r="E80">
        <v>-0.009905593368730869</v>
      </c>
      <c r="F80">
        <v>0.03</v>
      </c>
      <c r="G80">
        <v>0.03049084878574426</v>
      </c>
      <c r="H80" t="s">
        <v>636</v>
      </c>
      <c r="I80" t="s">
        <v>372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632</v>
      </c>
      <c r="D81">
        <v>0.020391382996217</v>
      </c>
      <c r="E81">
        <v>-0.06266348752942386</v>
      </c>
      <c r="F81">
        <v>0.076</v>
      </c>
      <c r="G81">
        <v>0.02944400222749977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632</v>
      </c>
      <c r="D82">
        <v>0.010567101091933</v>
      </c>
      <c r="E82">
        <v>-0.09223270649280579</v>
      </c>
      <c r="F82">
        <v>0.12</v>
      </c>
      <c r="G82">
        <v>0.02889295297488048</v>
      </c>
      <c r="H82" t="s">
        <v>636</v>
      </c>
      <c r="I82" t="s">
        <v>372</v>
      </c>
    </row>
    <row r="83" spans="1:9">
      <c r="A83" s="1" t="s">
        <v>90</v>
      </c>
      <c r="B83">
        <f>HYPERLINK("https://www.suredividend.com/sure-analysis-CLX/","The Clorox Co.")</f>
        <v>0</v>
      </c>
      <c r="C83" t="s">
        <v>632</v>
      </c>
      <c r="D83">
        <v>0.020282728948985</v>
      </c>
      <c r="E83">
        <v>-0.03718814581844143</v>
      </c>
      <c r="F83">
        <v>0.045</v>
      </c>
      <c r="G83">
        <v>0.02822004654825672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HYPERLINK("https://www.suredividend.com/sure-analysis-BBY/","Best Buy Co., Inc.")</f>
        <v>0</v>
      </c>
      <c r="C84" t="s">
        <v>632</v>
      </c>
      <c r="D84">
        <v>0.019816929319618</v>
      </c>
      <c r="E84">
        <v>-0.059449034295739</v>
      </c>
      <c r="F84">
        <v>0.06</v>
      </c>
      <c r="G84">
        <v>0.02228144696308432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632</v>
      </c>
      <c r="D85">
        <v>0.016580310880829</v>
      </c>
      <c r="E85">
        <v>-0.08320857873145326</v>
      </c>
      <c r="F85">
        <v>0.094</v>
      </c>
      <c r="G85">
        <v>0.02077268102136398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HYPERLINK("https://www.suredividend.com/sure-analysis-LANC/","Lancaster Colony Corp.")</f>
        <v>0</v>
      </c>
      <c r="C86" t="s">
        <v>632</v>
      </c>
      <c r="D86">
        <v>0.015280324498527</v>
      </c>
      <c r="E86">
        <v>-0.03836044291707907</v>
      </c>
      <c r="F86">
        <v>0.04</v>
      </c>
      <c r="G86">
        <v>0.01752240981360353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632</v>
      </c>
      <c r="D87">
        <v>0.010059171597633</v>
      </c>
      <c r="E87">
        <v>-0.06059708448211565</v>
      </c>
      <c r="F87">
        <v>0.07000000000000001</v>
      </c>
      <c r="G87">
        <v>0.0173345939417735</v>
      </c>
      <c r="H87" t="s">
        <v>636</v>
      </c>
      <c r="I87" t="s">
        <v>372</v>
      </c>
    </row>
    <row r="88" spans="1:9">
      <c r="A88" s="1" t="s">
        <v>95</v>
      </c>
      <c r="B88">
        <f>HYPERLINK("https://www.suredividend.com/sure-analysis-CSX/","CSX Corp.")</f>
        <v>0</v>
      </c>
      <c r="C88" t="s">
        <v>632</v>
      </c>
      <c r="D88">
        <v>0.01280737704918</v>
      </c>
      <c r="E88">
        <v>-0.07456224587236926</v>
      </c>
      <c r="F88">
        <v>0.08</v>
      </c>
      <c r="G88">
        <v>0.01726556221293918</v>
      </c>
      <c r="H88" t="s">
        <v>636</v>
      </c>
      <c r="I88" t="s">
        <v>372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632</v>
      </c>
      <c r="D89">
        <v>0.012777151446824</v>
      </c>
      <c r="E89">
        <v>-0.06712684662437784</v>
      </c>
      <c r="F89">
        <v>0.07000000000000001</v>
      </c>
      <c r="G89">
        <v>0.01462717617073617</v>
      </c>
      <c r="H89" t="s">
        <v>636</v>
      </c>
      <c r="I89" t="s">
        <v>372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632</v>
      </c>
      <c r="D90">
        <v>0.009816187084977</v>
      </c>
      <c r="E90">
        <v>-0.08130719820033283</v>
      </c>
      <c r="F90">
        <v>0.09</v>
      </c>
      <c r="G90">
        <v>0.01380260095230645</v>
      </c>
      <c r="H90" t="s">
        <v>636</v>
      </c>
      <c r="I90" t="s">
        <v>446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632</v>
      </c>
      <c r="D91">
        <v>0.018581081081081</v>
      </c>
      <c r="E91">
        <v>-0.06446836486151653</v>
      </c>
      <c r="F91">
        <v>0.06</v>
      </c>
      <c r="G91">
        <v>0.01355961897605007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632</v>
      </c>
      <c r="D92">
        <v>0.03018082476909</v>
      </c>
      <c r="E92">
        <v>-0.0359831641990368</v>
      </c>
      <c r="F92">
        <v>0.01</v>
      </c>
      <c r="G92">
        <v>0.01097180579629509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HYPERLINK("https://www.suredividend.com/sure-analysis-SWK/","Stanley Black &amp; Decker, Inc.")</f>
        <v>0</v>
      </c>
      <c r="C93" t="s">
        <v>632</v>
      </c>
      <c r="D93">
        <v>0.017257550178202</v>
      </c>
      <c r="E93">
        <v>-0.08602556761855085</v>
      </c>
      <c r="F93">
        <v>0.08</v>
      </c>
      <c r="G93">
        <v>0.009413857089977551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632</v>
      </c>
      <c r="D94">
        <v>0.022005522453131</v>
      </c>
      <c r="E94">
        <v>-0.04731694558194566</v>
      </c>
      <c r="F94">
        <v>0.03</v>
      </c>
      <c r="G94">
        <v>0.007320066757515509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0.011432926829268</v>
      </c>
      <c r="E95">
        <v>-0.04357461859809764</v>
      </c>
      <c r="F95">
        <v>0.038</v>
      </c>
      <c r="G95">
        <v>0.006960884069923789</v>
      </c>
      <c r="H95" t="s">
        <v>636</v>
      </c>
      <c r="I95" t="s">
        <v>446</v>
      </c>
    </row>
    <row r="96" spans="1:9">
      <c r="A96" s="1" t="s">
        <v>103</v>
      </c>
      <c r="B96">
        <f>HYPERLINK("https://www.suredividend.com/sure-analysis-PPG/","PPG Industries, Inc.")</f>
        <v>0</v>
      </c>
      <c r="C96" t="s">
        <v>632</v>
      </c>
      <c r="D96">
        <v>0.016964656964656</v>
      </c>
      <c r="E96">
        <v>-0.09009670931378477</v>
      </c>
      <c r="F96">
        <v>0.08</v>
      </c>
      <c r="G96">
        <v>0.005957719414654949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632</v>
      </c>
      <c r="D97">
        <v>0.013533107781536</v>
      </c>
      <c r="E97">
        <v>-0.08596529010415332</v>
      </c>
      <c r="F97">
        <v>0.08</v>
      </c>
      <c r="G97">
        <v>0.005091859258981923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632</v>
      </c>
      <c r="D98">
        <v>0.007082945013979</v>
      </c>
      <c r="E98">
        <v>-0.07472759007497531</v>
      </c>
      <c r="F98">
        <v>0.07000000000000001</v>
      </c>
      <c r="G98">
        <v>0.0005651450041976869</v>
      </c>
      <c r="H98" t="s">
        <v>636</v>
      </c>
      <c r="I98" t="s">
        <v>372</v>
      </c>
    </row>
    <row r="99" spans="1:9">
      <c r="A99" s="1" t="s">
        <v>106</v>
      </c>
      <c r="B99">
        <f>HYPERLINK("https://www.suredividend.com/sure-analysis-EXPD/","Expeditors International of Washington, Inc.")</f>
        <v>0</v>
      </c>
      <c r="C99" t="s">
        <v>632</v>
      </c>
      <c r="D99">
        <v>0.011293179805137</v>
      </c>
      <c r="E99">
        <v>-0.06081315401877041</v>
      </c>
      <c r="F99">
        <v>0.05</v>
      </c>
      <c r="G99">
        <v>-9.726904302620465e-05</v>
      </c>
      <c r="H99" t="s">
        <v>636</v>
      </c>
      <c r="I99" t="s">
        <v>372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632</v>
      </c>
      <c r="D100">
        <v>0.022723654886978</v>
      </c>
      <c r="E100">
        <v>-0.06454496615912431</v>
      </c>
      <c r="F100">
        <v>0.04</v>
      </c>
      <c r="G100">
        <v>-0.001335162299507697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632</v>
      </c>
      <c r="D101">
        <v>0.009539356220986001</v>
      </c>
      <c r="E101">
        <v>-0.1441769210589182</v>
      </c>
      <c r="F101">
        <v>0.15</v>
      </c>
      <c r="G101">
        <v>-0.002794870863922494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632</v>
      </c>
      <c r="D102">
        <v>0.01003641116609</v>
      </c>
      <c r="E102">
        <v>-0.06387866957656341</v>
      </c>
      <c r="F102">
        <v>0.05</v>
      </c>
      <c r="G102">
        <v>-0.003491065214489164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HYPERLINK("https://www.suredividend.com/sure-analysis-CNI/","Canadian National Railway Co.")</f>
        <v>0</v>
      </c>
      <c r="C103" t="s">
        <v>632</v>
      </c>
      <c r="D103">
        <v>0.015610338758476</v>
      </c>
      <c r="E103">
        <v>-0.08788976789583791</v>
      </c>
      <c r="F103">
        <v>0.07000000000000001</v>
      </c>
      <c r="G103">
        <v>-0.003928121160508113</v>
      </c>
      <c r="H103" t="s">
        <v>636</v>
      </c>
      <c r="I103" t="s">
        <v>372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632</v>
      </c>
      <c r="D104">
        <v>0.016522210184182</v>
      </c>
      <c r="E104">
        <v>-0.05045263371582498</v>
      </c>
      <c r="F104">
        <v>0.027</v>
      </c>
      <c r="G104">
        <v>-0.004060580828081028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HYPERLINK("https://www.suredividend.com/sure-analysis-JKHY/","Jack Henry &amp; Associates, Inc.")</f>
        <v>0</v>
      </c>
      <c r="C105" t="s">
        <v>632</v>
      </c>
      <c r="D105">
        <v>0.010310559006211</v>
      </c>
      <c r="E105">
        <v>-0.1039517117885415</v>
      </c>
      <c r="F105">
        <v>0.095</v>
      </c>
      <c r="G105">
        <v>-0.004216868031129528</v>
      </c>
      <c r="H105" t="s">
        <v>636</v>
      </c>
      <c r="I105" t="s">
        <v>446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632</v>
      </c>
      <c r="D106">
        <v>0.002268216614686</v>
      </c>
      <c r="E106">
        <v>-0.06651593272589607</v>
      </c>
      <c r="F106">
        <v>0.06</v>
      </c>
      <c r="G106">
        <v>-0.008152022149920501</v>
      </c>
      <c r="H106" t="s">
        <v>636</v>
      </c>
      <c r="I106" t="s">
        <v>446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632</v>
      </c>
      <c r="D107">
        <v>0.007888593737422001</v>
      </c>
      <c r="E107">
        <v>-0.1109534088294134</v>
      </c>
      <c r="F107">
        <v>0.1</v>
      </c>
      <c r="G107">
        <v>-0.01072252578428268</v>
      </c>
      <c r="H107" t="s">
        <v>636</v>
      </c>
      <c r="I107" t="s">
        <v>446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0.012423657148822</v>
      </c>
      <c r="E108">
        <v>-0.1050206040497557</v>
      </c>
      <c r="F108">
        <v>0.08</v>
      </c>
      <c r="G108">
        <v>-0.01479111706625857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HYPERLINK("https://www.suredividend.com/sure-analysis-BAM/","Brookfield Asset Management, Inc.")</f>
        <v>0</v>
      </c>
      <c r="C109" t="s">
        <v>632</v>
      </c>
      <c r="D109">
        <v>0.013947859206362</v>
      </c>
      <c r="E109">
        <v>-0.06675510072266344</v>
      </c>
      <c r="F109">
        <v>0.03</v>
      </c>
      <c r="G109">
        <v>-0.01895755194319493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632</v>
      </c>
      <c r="D110">
        <v>0.008275261324041001</v>
      </c>
      <c r="E110">
        <v>-0.1041221503387286</v>
      </c>
      <c r="F110">
        <v>0.08</v>
      </c>
      <c r="G110">
        <v>-0.0204788031362374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632</v>
      </c>
      <c r="D111">
        <v>0.006498781478472</v>
      </c>
      <c r="E111">
        <v>-0.1017134672916039</v>
      </c>
      <c r="F111">
        <v>0.07000000000000001</v>
      </c>
      <c r="G111">
        <v>-0.02080258121194978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632</v>
      </c>
      <c r="D112">
        <v>0.016383790807211</v>
      </c>
      <c r="E112">
        <v>-0.05257303561763427</v>
      </c>
      <c r="F112">
        <v>0.011</v>
      </c>
      <c r="G112">
        <v>-0.0212792175480796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HYPERLINK("https://www.suredividend.com/sure-analysis-CSVI/","Computer Services, Inc.")</f>
        <v>0</v>
      </c>
      <c r="C113" t="s">
        <v>632</v>
      </c>
      <c r="D113">
        <v>0.013104675618831</v>
      </c>
      <c r="E113">
        <v>-0.107513079588058</v>
      </c>
      <c r="F113">
        <v>0.07000000000000001</v>
      </c>
      <c r="G113">
        <v>-0.02538114062309449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0.019190264451205</v>
      </c>
      <c r="E114">
        <v>-0.08772415838730474</v>
      </c>
      <c r="F114">
        <v>0.04</v>
      </c>
      <c r="G114">
        <v>-0.02541793591245045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632</v>
      </c>
      <c r="D115">
        <v>0.009246979865771001</v>
      </c>
      <c r="E115">
        <v>-0.1040940176613389</v>
      </c>
      <c r="F115">
        <v>0.07000000000000001</v>
      </c>
      <c r="G115">
        <v>-0.02841083535226485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0.002623811085601</v>
      </c>
      <c r="E116">
        <v>-0.1000403955600927</v>
      </c>
      <c r="F116">
        <v>0.06</v>
      </c>
      <c r="G116">
        <v>-0.02950720140560348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0.017628205128205</v>
      </c>
      <c r="E117">
        <v>-0.1034098090782873</v>
      </c>
      <c r="F117">
        <v>0.05</v>
      </c>
      <c r="G117">
        <v>-0.03368860367453175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0.006969184182401</v>
      </c>
      <c r="E118">
        <v>-0.1330140548669886</v>
      </c>
      <c r="F118">
        <v>0.09</v>
      </c>
      <c r="G118">
        <v>-0.04333903274196682</v>
      </c>
      <c r="H118" t="s">
        <v>636</v>
      </c>
      <c r="I118" t="s">
        <v>446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0.012845673505798</v>
      </c>
      <c r="E119">
        <v>-0.09781866463744548</v>
      </c>
      <c r="F119">
        <v>0.04</v>
      </c>
      <c r="G119">
        <v>-0.04426229011116078</v>
      </c>
      <c r="H119" t="s">
        <v>636</v>
      </c>
      <c r="I119" t="s">
        <v>446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0.007794113152183001</v>
      </c>
      <c r="E120">
        <v>-0.1166194380043374</v>
      </c>
      <c r="F120">
        <v>0.06</v>
      </c>
      <c r="G120">
        <v>-0.05037321993837196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0.011241387646561</v>
      </c>
      <c r="E121">
        <v>-0.1031586110385783</v>
      </c>
      <c r="F121">
        <v>0.03</v>
      </c>
      <c r="G121">
        <v>-0.05869287912228849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0.002374679974769</v>
      </c>
      <c r="E122">
        <v>-0.1934290266965442</v>
      </c>
      <c r="F122">
        <v>0.09</v>
      </c>
      <c r="G122">
        <v>-0.1158586386363922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0.135773026315789</v>
      </c>
      <c r="E123">
        <v>0.08160275804573192</v>
      </c>
      <c r="F123">
        <v>0.015</v>
      </c>
      <c r="G123">
        <v>0.1784858907666074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633</v>
      </c>
      <c r="D124">
        <v>0.11428110896196</v>
      </c>
      <c r="E124">
        <v>0.06248179983960256</v>
      </c>
      <c r="F124">
        <v>0.037</v>
      </c>
      <c r="G124">
        <v>0.1749686572447173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632</v>
      </c>
      <c r="D125">
        <v>0.036037849808737</v>
      </c>
      <c r="E125">
        <v>0.0829976442589353</v>
      </c>
      <c r="F125">
        <v>0.06</v>
      </c>
      <c r="G125">
        <v>0.1726290281321572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0.04709748083242001</v>
      </c>
      <c r="E126">
        <v>0.07814251631688518</v>
      </c>
      <c r="F126">
        <v>0.057</v>
      </c>
      <c r="G126">
        <v>0.1694288209446324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632</v>
      </c>
      <c r="D127">
        <v>0.027970542416088</v>
      </c>
      <c r="E127">
        <v>0.08971443871845586</v>
      </c>
      <c r="F127">
        <v>0.05</v>
      </c>
      <c r="G127">
        <v>0.1674555807600657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0.07175226586102701</v>
      </c>
      <c r="E128">
        <v>0.07111415202707905</v>
      </c>
      <c r="F128">
        <v>0.04</v>
      </c>
      <c r="G128">
        <v>0.159169042114871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0.07382310984308101</v>
      </c>
      <c r="E129">
        <v>0.06821167321357402</v>
      </c>
      <c r="F129">
        <v>0.03</v>
      </c>
      <c r="G129">
        <v>0.1492073022282352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634</v>
      </c>
      <c r="D130">
        <v>0.057431970463558</v>
      </c>
      <c r="E130">
        <v>0.03295303392180227</v>
      </c>
      <c r="F130">
        <v>0.06900000000000001</v>
      </c>
      <c r="G130">
        <v>0.1453410723852302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0.034891835310537</v>
      </c>
      <c r="E131">
        <v>0.06626261389491472</v>
      </c>
      <c r="F131">
        <v>0.05</v>
      </c>
      <c r="G131">
        <v>0.1442203876159691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HYPERLINK("https://www.suredividend.com/sure-analysis-OZK/","Bank OZK")</f>
        <v>0</v>
      </c>
      <c r="C132" t="s">
        <v>632</v>
      </c>
      <c r="D132">
        <v>0.048873981792045</v>
      </c>
      <c r="E132">
        <v>0.07527552612821298</v>
      </c>
      <c r="F132">
        <v>0.03</v>
      </c>
      <c r="G132">
        <v>0.1427942280227528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0.04302178718029601</v>
      </c>
      <c r="E133">
        <v>0.06307542429963409</v>
      </c>
      <c r="F133">
        <v>0.045</v>
      </c>
      <c r="G133">
        <v>0.1403917460741615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0.087797230206428</v>
      </c>
      <c r="E134">
        <v>0.04195239952976504</v>
      </c>
      <c r="F134">
        <v>0.03</v>
      </c>
      <c r="G134">
        <v>0.1382391733066117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632</v>
      </c>
      <c r="D135">
        <v>0.048604206500956</v>
      </c>
      <c r="E135">
        <v>0.0600327185409677</v>
      </c>
      <c r="F135">
        <v>0.035</v>
      </c>
      <c r="G135">
        <v>0.1334433335392402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0.036931079323797</v>
      </c>
      <c r="E136">
        <v>0.04097500747113969</v>
      </c>
      <c r="F136">
        <v>0.06</v>
      </c>
      <c r="G136">
        <v>0.1321219648282677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HYPERLINK("https://www.suredividend.com/sure-analysis-CFR/","Cullen/Frost Bankers, Inc.")</f>
        <v>0</v>
      </c>
      <c r="C137" t="s">
        <v>632</v>
      </c>
      <c r="D137">
        <v>0.045309508615188</v>
      </c>
      <c r="E137">
        <v>0.04470367628385996</v>
      </c>
      <c r="F137">
        <v>0.05</v>
      </c>
      <c r="G137">
        <v>0.1310362560252967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632</v>
      </c>
      <c r="D138">
        <v>0.034223280333304</v>
      </c>
      <c r="E138">
        <v>0.04131865421198633</v>
      </c>
      <c r="F138">
        <v>0.06</v>
      </c>
      <c r="G138">
        <v>0.1310223292901238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632</v>
      </c>
      <c r="D139">
        <v>0.042088353413654</v>
      </c>
      <c r="E139">
        <v>0.04072226843606153</v>
      </c>
      <c r="F139">
        <v>0.05</v>
      </c>
      <c r="G139">
        <v>0.1280804602317094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0.040220900743273</v>
      </c>
      <c r="E140">
        <v>0.01782389623063141</v>
      </c>
      <c r="F140">
        <v>0.07000000000000001</v>
      </c>
      <c r="G140">
        <v>0.1229440687318755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632</v>
      </c>
      <c r="D141">
        <v>0.028553719008264</v>
      </c>
      <c r="E141">
        <v>-0.03740649734383228</v>
      </c>
      <c r="F141">
        <v>0.14</v>
      </c>
      <c r="G141">
        <v>0.1218495484249378</v>
      </c>
      <c r="H141" t="s">
        <v>637</v>
      </c>
      <c r="I141" t="s">
        <v>372</v>
      </c>
    </row>
    <row r="142" spans="1:9">
      <c r="A142" s="1" t="s">
        <v>149</v>
      </c>
      <c r="B142">
        <f>HYPERLINK("https://www.suredividend.com/sure-analysis-RTX/","Raytheon Technologies Corp.")</f>
        <v>0</v>
      </c>
      <c r="C142" t="s">
        <v>632</v>
      </c>
      <c r="D142">
        <v>0.04661680292224701</v>
      </c>
      <c r="E142">
        <v>0.02168621340568455</v>
      </c>
      <c r="F142">
        <v>0.07000000000000001</v>
      </c>
      <c r="G142">
        <v>0.1202744570713397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0.025830997196635</v>
      </c>
      <c r="E143">
        <v>0.04755878262907487</v>
      </c>
      <c r="F143">
        <v>0.05</v>
      </c>
      <c r="G143">
        <v>0.1201010294061746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632</v>
      </c>
      <c r="D144">
        <v>0.04868549172346601</v>
      </c>
      <c r="E144">
        <v>0.0198996523438717</v>
      </c>
      <c r="F144">
        <v>0.06</v>
      </c>
      <c r="G144">
        <v>0.1196136716281444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632</v>
      </c>
      <c r="D145">
        <v>0.024308249288854</v>
      </c>
      <c r="E145">
        <v>-0.002442729669766108</v>
      </c>
      <c r="F145">
        <v>0.1</v>
      </c>
      <c r="G145">
        <v>0.1182043198357516</v>
      </c>
      <c r="H145" t="s">
        <v>637</v>
      </c>
      <c r="I145" t="s">
        <v>372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632</v>
      </c>
      <c r="D146">
        <v>0.017868273426137</v>
      </c>
      <c r="E146">
        <v>0.03075258603043185</v>
      </c>
      <c r="F146">
        <v>0.07000000000000001</v>
      </c>
      <c r="G146">
        <v>0.1178102194195318</v>
      </c>
      <c r="H146" t="s">
        <v>637</v>
      </c>
      <c r="I146" t="s">
        <v>372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632</v>
      </c>
      <c r="D147">
        <v>0.04888673765730801</v>
      </c>
      <c r="E147">
        <v>0.01264791471226756</v>
      </c>
      <c r="F147">
        <v>0.062</v>
      </c>
      <c r="G147">
        <v>0.1141098320594192</v>
      </c>
      <c r="H147" t="s">
        <v>637</v>
      </c>
      <c r="I147" t="s">
        <v>636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632</v>
      </c>
      <c r="D148">
        <v>0.04908990623276301</v>
      </c>
      <c r="E148">
        <v>0.02982705728092871</v>
      </c>
      <c r="F148">
        <v>0.04</v>
      </c>
      <c r="G148">
        <v>0.1113330070088225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HYPERLINK("https://www.suredividend.com/sure-analysis-HRB/","H&amp;R Block, Inc.")</f>
        <v>0</v>
      </c>
      <c r="C149" t="s">
        <v>632</v>
      </c>
      <c r="D149">
        <v>0.068018312622629</v>
      </c>
      <c r="E149">
        <v>0.03317289471671026</v>
      </c>
      <c r="F149">
        <v>0.026</v>
      </c>
      <c r="G149">
        <v>0.1111863188527271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HYPERLINK("https://www.suredividend.com/sure-analysis-UBSI/","United Bankshares, Inc. (West Virginia)")</f>
        <v>0</v>
      </c>
      <c r="C150" t="s">
        <v>632</v>
      </c>
      <c r="D150">
        <v>0.06619047619047601</v>
      </c>
      <c r="E150">
        <v>0.03548578845590522</v>
      </c>
      <c r="F150">
        <v>0.02</v>
      </c>
      <c r="G150">
        <v>0.1078567796799279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HYPERLINK("https://www.suredividend.com/sure-analysis-INTU/","Intuit, Inc.")</f>
        <v>0</v>
      </c>
      <c r="C151" t="s">
        <v>632</v>
      </c>
      <c r="D151">
        <v>0.006656200941915</v>
      </c>
      <c r="E151">
        <v>-0.0206126460649414</v>
      </c>
      <c r="F151">
        <v>0.12</v>
      </c>
      <c r="G151">
        <v>0.1041359521868153</v>
      </c>
      <c r="H151" t="s">
        <v>637</v>
      </c>
      <c r="I151" t="s">
        <v>446</v>
      </c>
    </row>
    <row r="152" spans="1:9">
      <c r="A152" s="1" t="s">
        <v>159</v>
      </c>
      <c r="B152">
        <f>HYPERLINK("https://www.suredividend.com/sure-analysis-UGI/","UGI Corp.")</f>
        <v>0</v>
      </c>
      <c r="C152" t="s">
        <v>632</v>
      </c>
      <c r="D152">
        <v>0.040295293755767</v>
      </c>
      <c r="E152">
        <v>0.01486953312083039</v>
      </c>
      <c r="F152">
        <v>0.056</v>
      </c>
      <c r="G152">
        <v>0.1028911174706049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634</v>
      </c>
      <c r="D153">
        <v>0.027995520716685</v>
      </c>
      <c r="E153">
        <v>-0.01871675807127582</v>
      </c>
      <c r="F153">
        <v>0.1</v>
      </c>
      <c r="G153">
        <v>0.1023323010875989</v>
      </c>
      <c r="H153" t="s">
        <v>637</v>
      </c>
      <c r="I153" t="s">
        <v>372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632</v>
      </c>
      <c r="D154">
        <v>0.028387968908415</v>
      </c>
      <c r="E154">
        <v>0.015783145877039</v>
      </c>
      <c r="F154">
        <v>0.06</v>
      </c>
      <c r="G154">
        <v>0.1008756190641036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0.03719567177637501</v>
      </c>
      <c r="E155">
        <v>0.04770567883626575</v>
      </c>
      <c r="F155">
        <v>0.02</v>
      </c>
      <c r="G155">
        <v>0.09721995635418934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632</v>
      </c>
      <c r="D156">
        <v>0.054560739806641</v>
      </c>
      <c r="E156">
        <v>0.005076403090295889</v>
      </c>
      <c r="F156">
        <v>0.04</v>
      </c>
      <c r="G156">
        <v>0.09382868537829481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632</v>
      </c>
      <c r="D157">
        <v>0.044815409473373</v>
      </c>
      <c r="E157">
        <v>0.02780673957232893</v>
      </c>
      <c r="F157">
        <v>0.021</v>
      </c>
      <c r="G157">
        <v>0.09269114277613544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HYPERLINK("https://www.suredividend.com/sure-analysis-RDEIY/","Red Eléctrica Corp. SA")</f>
        <v>0</v>
      </c>
      <c r="C158" t="s">
        <v>632</v>
      </c>
      <c r="D158">
        <v>0.06330462863293801</v>
      </c>
      <c r="E158">
        <v>-0.01440247168366893</v>
      </c>
      <c r="F158">
        <v>0.05</v>
      </c>
      <c r="G158">
        <v>0.09224661747698337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HYPERLINK("https://www.suredividend.com/sure-analysis-KDP/","Keurig Dr Pepper, Inc.")</f>
        <v>0</v>
      </c>
      <c r="C159" t="s">
        <v>632</v>
      </c>
      <c r="D159">
        <v>0.021520803443328</v>
      </c>
      <c r="E159">
        <v>-0.02157070391298854</v>
      </c>
      <c r="F159">
        <v>0.1</v>
      </c>
      <c r="G159">
        <v>0.09185324836294728</v>
      </c>
      <c r="H159" t="s">
        <v>637</v>
      </c>
      <c r="I159" t="s">
        <v>446</v>
      </c>
    </row>
    <row r="160" spans="1:9">
      <c r="A160" s="1" t="s">
        <v>167</v>
      </c>
      <c r="B160">
        <f>HYPERLINK("https://www.suredividend.com/sure-analysis-ICE/","Intercontinental Exchange, Inc.")</f>
        <v>0</v>
      </c>
      <c r="C160" t="s">
        <v>632</v>
      </c>
      <c r="D160">
        <v>0.011435958631662</v>
      </c>
      <c r="E160">
        <v>-0.0376555067203902</v>
      </c>
      <c r="F160">
        <v>0.12</v>
      </c>
      <c r="G160">
        <v>0.09010710364745056</v>
      </c>
      <c r="H160" t="s">
        <v>637</v>
      </c>
      <c r="I160" t="s">
        <v>446</v>
      </c>
    </row>
    <row r="161" spans="1:9">
      <c r="A161" s="1" t="s">
        <v>168</v>
      </c>
      <c r="B161">
        <f>HYPERLINK("https://www.suredividend.com/sure-analysis-CMCSA/","Comcast Corp.")</f>
        <v>0</v>
      </c>
      <c r="C161" t="s">
        <v>632</v>
      </c>
      <c r="D161">
        <v>0.019068255687974</v>
      </c>
      <c r="E161">
        <v>-0.0006509009639530383</v>
      </c>
      <c r="F161">
        <v>0.07000000000000001</v>
      </c>
      <c r="G161">
        <v>0.08743968158858517</v>
      </c>
      <c r="H161" t="s">
        <v>637</v>
      </c>
      <c r="I161" t="s">
        <v>372</v>
      </c>
    </row>
    <row r="162" spans="1:9">
      <c r="A162" s="1" t="s">
        <v>169</v>
      </c>
      <c r="B162">
        <f>HYPERLINK("https://www.suredividend.com/sure-analysis-VZ/","Verizon Communications, Inc.")</f>
        <v>0</v>
      </c>
      <c r="C162" t="s">
        <v>632</v>
      </c>
      <c r="D162">
        <v>0.04142111466576801</v>
      </c>
      <c r="E162">
        <v>0.01187168856655663</v>
      </c>
      <c r="F162">
        <v>0.04</v>
      </c>
      <c r="G162">
        <v>0.08601022833045802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632</v>
      </c>
      <c r="D163">
        <v>0.034714958158995</v>
      </c>
      <c r="E163">
        <v>-0.006571150051918995</v>
      </c>
      <c r="F163">
        <v>0.06</v>
      </c>
      <c r="G163">
        <v>0.08530690106058803</v>
      </c>
      <c r="H163" t="s">
        <v>637</v>
      </c>
      <c r="I163" t="s">
        <v>372</v>
      </c>
    </row>
    <row r="164" spans="1:9">
      <c r="A164" s="1" t="s">
        <v>171</v>
      </c>
      <c r="B164">
        <f>HYPERLINK("https://www.suredividend.com/sure-analysis-CPB/","Campbell Soup Co.")</f>
        <v>0</v>
      </c>
      <c r="C164" t="s">
        <v>632</v>
      </c>
      <c r="D164">
        <v>0.029436501261564</v>
      </c>
      <c r="E164">
        <v>0.01005641600219209</v>
      </c>
      <c r="F164">
        <v>0.05</v>
      </c>
      <c r="G164">
        <v>0.08422226822441026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HYPERLINK("https://www.suredividend.com/sure-analysis-HBI/","Hanesbrands, Inc.")</f>
        <v>0</v>
      </c>
      <c r="C165" t="s">
        <v>632</v>
      </c>
      <c r="D165">
        <v>0.038684719535783</v>
      </c>
      <c r="E165">
        <v>-0.006664647283955216</v>
      </c>
      <c r="F165">
        <v>0.06</v>
      </c>
      <c r="G165">
        <v>0.08406856901989412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HYPERLINK("https://www.suredividend.com/sure-analysis-MRK/","Merck &amp; Co., Inc.")</f>
        <v>0</v>
      </c>
      <c r="C166" t="s">
        <v>632</v>
      </c>
      <c r="D166">
        <v>0.028698902689014</v>
      </c>
      <c r="E166">
        <v>0.007296574774422915</v>
      </c>
      <c r="F166">
        <v>0.05</v>
      </c>
      <c r="G166">
        <v>0.08361651077112997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HYPERLINK("https://www.suredividend.com/sure-analysis-UHT/","Universal Health Realty Income Trust")</f>
        <v>0</v>
      </c>
      <c r="C167" t="s">
        <v>634</v>
      </c>
      <c r="D167">
        <v>0.050146412884333</v>
      </c>
      <c r="E167">
        <v>0.01200686967311748</v>
      </c>
      <c r="F167">
        <v>0.03</v>
      </c>
      <c r="G167">
        <v>0.08318076672098629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632</v>
      </c>
      <c r="D168">
        <v>0.03244837758112</v>
      </c>
      <c r="E168">
        <v>0.002265313935308377</v>
      </c>
      <c r="F168">
        <v>0.05</v>
      </c>
      <c r="G168">
        <v>0.08248046316570257</v>
      </c>
      <c r="H168" t="s">
        <v>637</v>
      </c>
      <c r="I168" t="s">
        <v>372</v>
      </c>
    </row>
    <row r="169" spans="1:9">
      <c r="A169" s="1" t="s">
        <v>176</v>
      </c>
      <c r="B169">
        <f>HYPERLINK("https://www.suredividend.com/sure-analysis-NVS/","Novartis AG")</f>
        <v>0</v>
      </c>
      <c r="C169" t="s">
        <v>632</v>
      </c>
      <c r="D169">
        <v>0.035442543909998</v>
      </c>
      <c r="E169">
        <v>0.008775847668768932</v>
      </c>
      <c r="F169">
        <v>0.04</v>
      </c>
      <c r="G169">
        <v>0.08021876815510409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632</v>
      </c>
      <c r="D170">
        <v>0.030457108336689</v>
      </c>
      <c r="E170">
        <v>-0.0006452138610342217</v>
      </c>
      <c r="F170">
        <v>0.05</v>
      </c>
      <c r="G170">
        <v>0.07843523428700783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HYPERLINK("https://www.suredividend.com/sure-analysis-NUE/","Nucor Corp.")</f>
        <v>0</v>
      </c>
      <c r="C171" t="s">
        <v>632</v>
      </c>
      <c r="D171">
        <v>0.035524861878453</v>
      </c>
      <c r="E171">
        <v>0.03598874023963483</v>
      </c>
      <c r="F171">
        <v>0.011</v>
      </c>
      <c r="G171">
        <v>0.07725876450806157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632</v>
      </c>
      <c r="D172">
        <v>0.042409545781964</v>
      </c>
      <c r="E172">
        <v>0.003108784610785564</v>
      </c>
      <c r="F172">
        <v>0.03</v>
      </c>
      <c r="G172">
        <v>0.07447901205718943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HYPERLINK("https://www.suredividend.com/sure-analysis-AMGN/","Amgen, Inc.")</f>
        <v>0</v>
      </c>
      <c r="C173" t="s">
        <v>632</v>
      </c>
      <c r="D173">
        <v>0.025018456238208</v>
      </c>
      <c r="E173">
        <v>-0.03981094794326256</v>
      </c>
      <c r="F173">
        <v>0.09</v>
      </c>
      <c r="G173">
        <v>0.07371190750777168</v>
      </c>
      <c r="H173" t="s">
        <v>637</v>
      </c>
      <c r="I173" t="s">
        <v>372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632</v>
      </c>
      <c r="D174">
        <v>0.031564868479714</v>
      </c>
      <c r="E174">
        <v>-0.005681673640534846</v>
      </c>
      <c r="F174">
        <v>0.05</v>
      </c>
      <c r="G174">
        <v>0.0736381676953326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632</v>
      </c>
      <c r="D175">
        <v>0.028627069133398</v>
      </c>
      <c r="E175">
        <v>-0.009325175992098367</v>
      </c>
      <c r="F175">
        <v>0.055</v>
      </c>
      <c r="G175">
        <v>0.07248161544519238</v>
      </c>
      <c r="H175" t="s">
        <v>637</v>
      </c>
      <c r="I175" t="s">
        <v>372</v>
      </c>
    </row>
    <row r="176" spans="1:9">
      <c r="A176" s="1" t="s">
        <v>183</v>
      </c>
      <c r="B176">
        <f>HYPERLINK("https://www.suredividend.com/sure-analysis-LEG/","Leggett &amp; Platt, Inc.")</f>
        <v>0</v>
      </c>
      <c r="C176" t="s">
        <v>632</v>
      </c>
      <c r="D176">
        <v>0.039014874420872</v>
      </c>
      <c r="E176">
        <v>-0.01513032473123399</v>
      </c>
      <c r="F176">
        <v>0.05</v>
      </c>
      <c r="G176">
        <v>0.07000884007923869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0.030616964203126</v>
      </c>
      <c r="E177">
        <v>-0.02145416365201336</v>
      </c>
      <c r="F177">
        <v>0.06</v>
      </c>
      <c r="G177">
        <v>0.06962124605343933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HYPERLINK("https://www.suredividend.com/sure-analysis-MDLZ/","Mondelez International, Inc.")</f>
        <v>0</v>
      </c>
      <c r="C178" t="s">
        <v>632</v>
      </c>
      <c r="D178">
        <v>0.020299145299145</v>
      </c>
      <c r="E178">
        <v>-0.02296846575950329</v>
      </c>
      <c r="F178">
        <v>0.07000000000000001</v>
      </c>
      <c r="G178">
        <v>0.06760138295220908</v>
      </c>
      <c r="H178" t="s">
        <v>637</v>
      </c>
      <c r="I178" t="s">
        <v>446</v>
      </c>
    </row>
    <row r="179" spans="1:9">
      <c r="A179" s="1" t="s">
        <v>186</v>
      </c>
      <c r="B179">
        <f>HYPERLINK("https://www.suredividend.com/sure-analysis-PPL/","PPL Corp.")</f>
        <v>0</v>
      </c>
      <c r="C179" t="s">
        <v>632</v>
      </c>
      <c r="D179">
        <v>0.06252361163581401</v>
      </c>
      <c r="E179">
        <v>-0.01136219537618732</v>
      </c>
      <c r="F179">
        <v>0.02</v>
      </c>
      <c r="G179">
        <v>0.06581628665984374</v>
      </c>
      <c r="H179" t="s">
        <v>637</v>
      </c>
      <c r="I179" t="s">
        <v>636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632</v>
      </c>
      <c r="D180">
        <v>0.026163222833358</v>
      </c>
      <c r="E180">
        <v>-0.03947593013269035</v>
      </c>
      <c r="F180">
        <v>0.08</v>
      </c>
      <c r="G180">
        <v>0.06541784147150143</v>
      </c>
      <c r="H180" t="s">
        <v>637</v>
      </c>
      <c r="I180" t="s">
        <v>372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632</v>
      </c>
      <c r="D181">
        <v>0.029573459715639</v>
      </c>
      <c r="E181">
        <v>0.001417775071817173</v>
      </c>
      <c r="F181">
        <v>0.036</v>
      </c>
      <c r="G181">
        <v>0.06404583902268346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HYPERLINK("https://www.suredividend.com/sure-analysis-BLK/","BlackRock, Inc.")</f>
        <v>0</v>
      </c>
      <c r="C182" t="s">
        <v>632</v>
      </c>
      <c r="D182">
        <v>0.025300742958324</v>
      </c>
      <c r="E182">
        <v>-0.03058758485334134</v>
      </c>
      <c r="F182">
        <v>0.07000000000000001</v>
      </c>
      <c r="G182">
        <v>0.06403590886026245</v>
      </c>
      <c r="H182" t="s">
        <v>637</v>
      </c>
      <c r="I182" t="s">
        <v>372</v>
      </c>
    </row>
    <row r="183" spans="1:9">
      <c r="A183" s="1" t="s">
        <v>190</v>
      </c>
      <c r="B183">
        <f>HYPERLINK("https://www.suredividend.com/sure-analysis-TTC/","The Toro Co.")</f>
        <v>0</v>
      </c>
      <c r="C183" t="s">
        <v>632</v>
      </c>
      <c r="D183">
        <v>0.011752651880424</v>
      </c>
      <c r="E183">
        <v>-0.05355722287758136</v>
      </c>
      <c r="F183">
        <v>0.11</v>
      </c>
      <c r="G183">
        <v>0.06351642379161282</v>
      </c>
      <c r="H183" t="s">
        <v>637</v>
      </c>
      <c r="I183" t="s">
        <v>446</v>
      </c>
    </row>
    <row r="184" spans="1:9">
      <c r="A184" s="1" t="s">
        <v>191</v>
      </c>
      <c r="B184">
        <f>HYPERLINK("https://www.suredividend.com/sure-analysis-HD/","The Home Depot, Inc.")</f>
        <v>0</v>
      </c>
      <c r="C184" t="s">
        <v>632</v>
      </c>
      <c r="D184">
        <v>0.021299571774343</v>
      </c>
      <c r="E184">
        <v>-0.02883602139261121</v>
      </c>
      <c r="F184">
        <v>0.07000000000000001</v>
      </c>
      <c r="G184">
        <v>0.06173111227370121</v>
      </c>
      <c r="H184" t="s">
        <v>637</v>
      </c>
      <c r="I184" t="s">
        <v>446</v>
      </c>
    </row>
    <row r="185" spans="1:9">
      <c r="A185" s="1" t="s">
        <v>192</v>
      </c>
      <c r="B185">
        <f>HYPERLINK("https://www.suredividend.com/sure-analysis-FTS/","Fortis, Inc.")</f>
        <v>0</v>
      </c>
      <c r="C185" t="s">
        <v>632</v>
      </c>
      <c r="D185">
        <v>0.034879379199497</v>
      </c>
      <c r="E185">
        <v>-0.02182785928402675</v>
      </c>
      <c r="F185">
        <v>0.05</v>
      </c>
      <c r="G185">
        <v>0.06128267007458632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633</v>
      </c>
      <c r="D186">
        <v>0.03614251455978</v>
      </c>
      <c r="E186">
        <v>-0.01915054345747369</v>
      </c>
      <c r="F186">
        <v>0.04</v>
      </c>
      <c r="G186">
        <v>0.05820108061048423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632</v>
      </c>
      <c r="D187">
        <v>0.033251231527093</v>
      </c>
      <c r="E187">
        <v>-0.04848582300978121</v>
      </c>
      <c r="F187">
        <v>0.075</v>
      </c>
      <c r="G187">
        <v>0.05719541297850861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632</v>
      </c>
      <c r="D188">
        <v>0.012338425381903</v>
      </c>
      <c r="E188">
        <v>-0.03490278644916878</v>
      </c>
      <c r="F188">
        <v>0.08</v>
      </c>
      <c r="G188">
        <v>0.05548468954548036</v>
      </c>
      <c r="H188" t="s">
        <v>637</v>
      </c>
      <c r="I188" t="s">
        <v>446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0.074173151750972</v>
      </c>
      <c r="E189">
        <v>-0.0317154825737983</v>
      </c>
      <c r="F189">
        <v>0.015</v>
      </c>
      <c r="G189">
        <v>0.05436911280475076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HYPERLINK("https://www.suredividend.com/sure-analysis-AEP/","American Electric Power Co., Inc.")</f>
        <v>0</v>
      </c>
      <c r="C190" t="s">
        <v>632</v>
      </c>
      <c r="D190">
        <v>0.034717916924984</v>
      </c>
      <c r="E190">
        <v>-0.02516571399942191</v>
      </c>
      <c r="F190">
        <v>0.045</v>
      </c>
      <c r="G190">
        <v>0.0526668243193158</v>
      </c>
      <c r="H190" t="s">
        <v>637</v>
      </c>
      <c r="I190" t="s">
        <v>372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632</v>
      </c>
      <c r="D191">
        <v>0.036144578313253</v>
      </c>
      <c r="E191">
        <v>-0.01328423884022745</v>
      </c>
      <c r="F191">
        <v>0.03</v>
      </c>
      <c r="G191">
        <v>0.05187450005483862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HYPERLINK("https://www.suredividend.com/sure-analysis-SAP/","SAP SE")</f>
        <v>0</v>
      </c>
      <c r="C192" t="s">
        <v>632</v>
      </c>
      <c r="D192">
        <v>0.011401420491911</v>
      </c>
      <c r="E192">
        <v>-0.04625285268122914</v>
      </c>
      <c r="F192">
        <v>0.09</v>
      </c>
      <c r="G192">
        <v>0.05167591938520433</v>
      </c>
      <c r="H192" t="s">
        <v>637</v>
      </c>
      <c r="I192" t="s">
        <v>446</v>
      </c>
    </row>
    <row r="193" spans="1:9">
      <c r="A193" s="1" t="s">
        <v>200</v>
      </c>
      <c r="B193">
        <f>HYPERLINK("https://www.suredividend.com/sure-analysis-SNA/","Snap-On, Inc.")</f>
        <v>0</v>
      </c>
      <c r="C193" t="s">
        <v>632</v>
      </c>
      <c r="D193">
        <v>0.029498732751337</v>
      </c>
      <c r="E193">
        <v>0.01630020092879514</v>
      </c>
      <c r="F193">
        <v>0</v>
      </c>
      <c r="G193">
        <v>0.05011001027124906</v>
      </c>
      <c r="H193" t="s">
        <v>637</v>
      </c>
      <c r="I193" t="s">
        <v>372</v>
      </c>
    </row>
    <row r="194" spans="1:9">
      <c r="A194" s="1" t="s">
        <v>201</v>
      </c>
      <c r="B194">
        <f>HYPERLINK("https://www.suredividend.com/sure-analysis-SYY/","Sysco Corp.")</f>
        <v>0</v>
      </c>
      <c r="C194" t="s">
        <v>632</v>
      </c>
      <c r="D194">
        <v>0.028059990324141</v>
      </c>
      <c r="E194">
        <v>-0.03091286619041367</v>
      </c>
      <c r="F194">
        <v>0.052</v>
      </c>
      <c r="G194">
        <v>0.04698424628414721</v>
      </c>
      <c r="H194" t="s">
        <v>637</v>
      </c>
      <c r="I194" t="s">
        <v>372</v>
      </c>
    </row>
    <row r="195" spans="1:9">
      <c r="A195" s="1" t="s">
        <v>202</v>
      </c>
      <c r="B195">
        <f>HYPERLINK("https://www.suredividend.com/sure-analysis-RSG/","Republic Services, Inc.")</f>
        <v>0</v>
      </c>
      <c r="C195" t="s">
        <v>632</v>
      </c>
      <c r="D195">
        <v>0.017221218241734</v>
      </c>
      <c r="E195">
        <v>-0.02947489273271786</v>
      </c>
      <c r="F195">
        <v>0.06</v>
      </c>
      <c r="G195">
        <v>0.04683361738162439</v>
      </c>
      <c r="H195" t="s">
        <v>637</v>
      </c>
      <c r="I195" t="s">
        <v>446</v>
      </c>
    </row>
    <row r="196" spans="1:9">
      <c r="A196" s="1" t="s">
        <v>203</v>
      </c>
      <c r="B196">
        <f>HYPERLINK("https://www.suredividend.com/sure-analysis-PEG/","Public Service Enterprise Group, Inc.")</f>
        <v>0</v>
      </c>
      <c r="C196" t="s">
        <v>632</v>
      </c>
      <c r="D196">
        <v>0.035470164418991</v>
      </c>
      <c r="E196">
        <v>-0.01971668537293925</v>
      </c>
      <c r="F196">
        <v>0.03</v>
      </c>
      <c r="G196">
        <v>0.04616239467908678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632</v>
      </c>
      <c r="D197">
        <v>0.039725485020456</v>
      </c>
      <c r="E197">
        <v>-0.03019769080515555</v>
      </c>
      <c r="F197">
        <v>0.035</v>
      </c>
      <c r="G197">
        <v>0.04444045840130562</v>
      </c>
      <c r="H197" t="s">
        <v>637</v>
      </c>
      <c r="I197" t="s">
        <v>636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632</v>
      </c>
      <c r="D198">
        <v>0.03815219632914001</v>
      </c>
      <c r="E198">
        <v>-0.0283285971280498</v>
      </c>
      <c r="F198">
        <v>0.035</v>
      </c>
      <c r="G198">
        <v>0.04318947091135716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632</v>
      </c>
      <c r="D199">
        <v>0.017092356997183</v>
      </c>
      <c r="E199">
        <v>-0.0331441974490192</v>
      </c>
      <c r="F199">
        <v>0.06</v>
      </c>
      <c r="G199">
        <v>0.04263956073899333</v>
      </c>
      <c r="H199" t="s">
        <v>637</v>
      </c>
      <c r="I199" t="s">
        <v>446</v>
      </c>
    </row>
    <row r="200" spans="1:9">
      <c r="A200" s="1" t="s">
        <v>207</v>
      </c>
      <c r="B200">
        <f>HYPERLINK("https://www.suredividend.com/sure-analysis-MGRC/","McGrath RentCorp")</f>
        <v>0</v>
      </c>
      <c r="C200" t="s">
        <v>632</v>
      </c>
      <c r="D200">
        <v>0.027184134040006</v>
      </c>
      <c r="E200">
        <v>-0.01584743732418303</v>
      </c>
      <c r="F200">
        <v>0.03</v>
      </c>
      <c r="G200">
        <v>0.04184272934897204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632</v>
      </c>
      <c r="D201">
        <v>0.021797015295064</v>
      </c>
      <c r="E201">
        <v>-0.07057472709365498</v>
      </c>
      <c r="F201">
        <v>0.09</v>
      </c>
      <c r="G201">
        <v>0.03929523102689747</v>
      </c>
      <c r="H201" t="s">
        <v>637</v>
      </c>
      <c r="I201" t="s">
        <v>372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632</v>
      </c>
      <c r="D202">
        <v>0.022161697247706</v>
      </c>
      <c r="E202">
        <v>-0.04299036319492311</v>
      </c>
      <c r="F202">
        <v>0.06</v>
      </c>
      <c r="G202">
        <v>0.03920117337297402</v>
      </c>
      <c r="H202" t="s">
        <v>637</v>
      </c>
      <c r="I202" t="s">
        <v>446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632</v>
      </c>
      <c r="D203">
        <v>0.025216441119609</v>
      </c>
      <c r="E203">
        <v>-0.02653761346323114</v>
      </c>
      <c r="F203">
        <v>0.04</v>
      </c>
      <c r="G203">
        <v>0.03858093650223848</v>
      </c>
      <c r="H203" t="s">
        <v>637</v>
      </c>
      <c r="I203" t="s">
        <v>372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632</v>
      </c>
      <c r="D204">
        <v>0.013453518679409</v>
      </c>
      <c r="E204">
        <v>-0.04105810994399117</v>
      </c>
      <c r="F204">
        <v>0.06</v>
      </c>
      <c r="G204">
        <v>0.03760545517708702</v>
      </c>
      <c r="H204" t="s">
        <v>637</v>
      </c>
      <c r="I204" t="s">
        <v>446</v>
      </c>
    </row>
    <row r="205" spans="1:9">
      <c r="A205" s="1" t="s">
        <v>212</v>
      </c>
      <c r="B205">
        <f>HYPERLINK("https://www.suredividend.com/sure-analysis-RMD/","ResMed, Inc.")</f>
        <v>0</v>
      </c>
      <c r="C205" t="s">
        <v>632</v>
      </c>
      <c r="D205">
        <v>0.009228584950307001</v>
      </c>
      <c r="E205">
        <v>-0.08401702270130118</v>
      </c>
      <c r="F205">
        <v>0.12</v>
      </c>
      <c r="G205">
        <v>0.03684796540835156</v>
      </c>
      <c r="H205" t="s">
        <v>637</v>
      </c>
      <c r="I205" t="s">
        <v>446</v>
      </c>
    </row>
    <row r="206" spans="1:9">
      <c r="A206" s="1" t="s">
        <v>213</v>
      </c>
      <c r="B206">
        <f>HYPERLINK("https://www.suredividend.com/sure-analysis-BAH/","Booz Allen Hamilton Holding Corp.")</f>
        <v>0</v>
      </c>
      <c r="C206" t="s">
        <v>632</v>
      </c>
      <c r="D206">
        <v>0.013201320132013</v>
      </c>
      <c r="E206">
        <v>-0.05778941709815066</v>
      </c>
      <c r="F206">
        <v>0.08</v>
      </c>
      <c r="G206">
        <v>0.03631026180208852</v>
      </c>
      <c r="H206" t="s">
        <v>637</v>
      </c>
      <c r="I206" t="s">
        <v>446</v>
      </c>
    </row>
    <row r="207" spans="1:9">
      <c r="A207" s="1" t="s">
        <v>214</v>
      </c>
      <c r="B207">
        <f>HYPERLINK("https://www.suredividend.com/sure-analysis-XYL/","Xylem, Inc.")</f>
        <v>0</v>
      </c>
      <c r="C207" t="s">
        <v>632</v>
      </c>
      <c r="D207">
        <v>0.012039489525644</v>
      </c>
      <c r="E207">
        <v>-0.06297351855568456</v>
      </c>
      <c r="F207">
        <v>0.09</v>
      </c>
      <c r="G207">
        <v>0.03617092986741133</v>
      </c>
      <c r="H207" t="s">
        <v>637</v>
      </c>
      <c r="I207" t="s">
        <v>446</v>
      </c>
    </row>
    <row r="208" spans="1:9">
      <c r="A208" s="1" t="s">
        <v>215</v>
      </c>
      <c r="B208">
        <f>HYPERLINK("https://www.suredividend.com/sure-analysis-FOXA/","Fox Corp.")</f>
        <v>0</v>
      </c>
      <c r="C208" t="s">
        <v>632</v>
      </c>
      <c r="D208">
        <v>0.017228464419475</v>
      </c>
      <c r="E208">
        <v>0.009553535389267065</v>
      </c>
      <c r="F208">
        <v>0.01</v>
      </c>
      <c r="G208">
        <v>0.03511131857399041</v>
      </c>
      <c r="H208" t="s">
        <v>637</v>
      </c>
      <c r="I208" t="s">
        <v>372</v>
      </c>
    </row>
    <row r="209" spans="1:9">
      <c r="A209" s="1" t="s">
        <v>216</v>
      </c>
      <c r="B209">
        <f>HYPERLINK("https://www.suredividend.com/sure-analysis-CBSH/","Commerce Bancshares, Inc. (Missouri)")</f>
        <v>0</v>
      </c>
      <c r="C209" t="s">
        <v>632</v>
      </c>
      <c r="D209">
        <v>0.019146256703433</v>
      </c>
      <c r="E209">
        <v>-0.0447821769443999</v>
      </c>
      <c r="F209">
        <v>0.06</v>
      </c>
      <c r="G209">
        <v>0.03486447809668936</v>
      </c>
      <c r="H209" t="s">
        <v>637</v>
      </c>
      <c r="I209" t="s">
        <v>372</v>
      </c>
    </row>
    <row r="210" spans="1:9">
      <c r="A210" s="1" t="s">
        <v>217</v>
      </c>
      <c r="B210">
        <f>HYPERLINK("https://www.suredividend.com/sure-analysis-WSM/","Williams-Sonoma, Inc.")</f>
        <v>0</v>
      </c>
      <c r="C210" t="s">
        <v>632</v>
      </c>
      <c r="D210">
        <v>0.022104536034998</v>
      </c>
      <c r="E210">
        <v>-0.0368309155177784</v>
      </c>
      <c r="F210">
        <v>0.05</v>
      </c>
      <c r="G210">
        <v>0.03473543316798677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HYPERLINK("https://www.suredividend.com/sure-analysis-WHR/","Whirlpool Corp.")</f>
        <v>0</v>
      </c>
      <c r="C211" t="s">
        <v>632</v>
      </c>
      <c r="D211">
        <v>0.026949637864241</v>
      </c>
      <c r="E211">
        <v>-0.07594336768435039</v>
      </c>
      <c r="F211">
        <v>0.09</v>
      </c>
      <c r="G211">
        <v>0.03360303407606424</v>
      </c>
      <c r="H211" t="s">
        <v>637</v>
      </c>
      <c r="I211" t="s">
        <v>372</v>
      </c>
    </row>
    <row r="212" spans="1:9">
      <c r="A212" s="1" t="s">
        <v>219</v>
      </c>
      <c r="B212">
        <f>HYPERLINK("https://www.suredividend.com/sure-analysis-PEP/","PepsiCo, Inc.")</f>
        <v>0</v>
      </c>
      <c r="C212" t="s">
        <v>632</v>
      </c>
      <c r="D212">
        <v>0.029108947959565</v>
      </c>
      <c r="E212">
        <v>-0.05433896164234697</v>
      </c>
      <c r="F212">
        <v>0.055</v>
      </c>
      <c r="G212">
        <v>0.03169319652404079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0.018021472392638</v>
      </c>
      <c r="E213">
        <v>-0.04700800026312291</v>
      </c>
      <c r="F213">
        <v>0.06</v>
      </c>
      <c r="G213">
        <v>0.03163176180899296</v>
      </c>
      <c r="H213" t="s">
        <v>637</v>
      </c>
      <c r="I213" t="s">
        <v>372</v>
      </c>
    </row>
    <row r="214" spans="1:9">
      <c r="A214" s="1" t="s">
        <v>221</v>
      </c>
      <c r="B214">
        <f>HYPERLINK("https://www.suredividend.com/sure-analysis-WABC/","Westamerica Bancorporation")</f>
        <v>0</v>
      </c>
      <c r="C214" t="s">
        <v>632</v>
      </c>
      <c r="D214">
        <v>0.031037093111279</v>
      </c>
      <c r="E214">
        <v>-0.01903009105864184</v>
      </c>
      <c r="F214">
        <v>0.02</v>
      </c>
      <c r="G214">
        <v>0.03148592564292207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HYPERLINK("https://www.suredividend.com/sure-analysis-WTRG/","Essential Utilities, Inc.")</f>
        <v>0</v>
      </c>
      <c r="C215" t="s">
        <v>632</v>
      </c>
      <c r="D215">
        <v>0.023684609552691</v>
      </c>
      <c r="E215">
        <v>-0.06683509718755443</v>
      </c>
      <c r="F215">
        <v>0.07000000000000001</v>
      </c>
      <c r="G215">
        <v>0.02638382637812131</v>
      </c>
      <c r="H215" t="s">
        <v>637</v>
      </c>
      <c r="I215" t="s">
        <v>372</v>
      </c>
    </row>
    <row r="216" spans="1:9">
      <c r="A216" s="1" t="s">
        <v>223</v>
      </c>
      <c r="B216">
        <f>HYPERLINK("https://www.suredividend.com/sure-analysis-WU/","The Western Union Co.")</f>
        <v>0</v>
      </c>
      <c r="C216" t="s">
        <v>632</v>
      </c>
      <c r="D216">
        <v>0.03940658321743101</v>
      </c>
      <c r="E216">
        <v>-0.03553944132597298</v>
      </c>
      <c r="F216">
        <v>0.01</v>
      </c>
      <c r="G216">
        <v>0.02279999009052358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HYPERLINK("https://www.suredividend.com/sure-analysis-AMT/","American Tower Corp.")</f>
        <v>0</v>
      </c>
      <c r="C217" t="s">
        <v>634</v>
      </c>
      <c r="D217">
        <v>0.017263667069763</v>
      </c>
      <c r="E217">
        <v>-0.05576293713798064</v>
      </c>
      <c r="F217">
        <v>0.06</v>
      </c>
      <c r="G217">
        <v>0.02184816064055162</v>
      </c>
      <c r="H217" t="s">
        <v>637</v>
      </c>
      <c r="I217" t="s">
        <v>446</v>
      </c>
    </row>
    <row r="218" spans="1:9">
      <c r="A218" s="1" t="s">
        <v>225</v>
      </c>
      <c r="B218">
        <f>HYPERLINK("https://www.suredividend.com/sure-analysis-NSC/","Norfolk Southern Corp.")</f>
        <v>0</v>
      </c>
      <c r="C218" t="s">
        <v>632</v>
      </c>
      <c r="D218">
        <v>0.01715641540427</v>
      </c>
      <c r="E218">
        <v>-0.0609867116600612</v>
      </c>
      <c r="F218">
        <v>0.065</v>
      </c>
      <c r="G218">
        <v>0.02088697528333339</v>
      </c>
      <c r="H218" t="s">
        <v>637</v>
      </c>
      <c r="I218" t="s">
        <v>446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632</v>
      </c>
      <c r="D219">
        <v>0.018685955394816</v>
      </c>
      <c r="E219">
        <v>-0.06635808979687874</v>
      </c>
      <c r="F219">
        <v>0.065</v>
      </c>
      <c r="G219">
        <v>0.01707465335439551</v>
      </c>
      <c r="H219" t="s">
        <v>637</v>
      </c>
      <c r="I219" t="s">
        <v>446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632</v>
      </c>
      <c r="D220">
        <v>0.023717794365518</v>
      </c>
      <c r="E220">
        <v>-0.0842174349269198</v>
      </c>
      <c r="F220">
        <v>0.08</v>
      </c>
      <c r="G220">
        <v>0.01693255211133127</v>
      </c>
      <c r="H220" t="s">
        <v>637</v>
      </c>
      <c r="I220" t="s">
        <v>446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632</v>
      </c>
      <c r="D221">
        <v>0.012753623188405</v>
      </c>
      <c r="E221">
        <v>-0.09451754443955329</v>
      </c>
      <c r="F221">
        <v>0.1</v>
      </c>
      <c r="G221">
        <v>0.01316568878134539</v>
      </c>
      <c r="H221" t="s">
        <v>637</v>
      </c>
      <c r="I221" t="s">
        <v>446</v>
      </c>
    </row>
    <row r="222" spans="1:9">
      <c r="A222" s="1" t="s">
        <v>229</v>
      </c>
      <c r="B222">
        <f>HYPERLINK("https://www.suredividend.com/sure-analysis-CBU/","Community Bank System, Inc.")</f>
        <v>0</v>
      </c>
      <c r="C222" t="s">
        <v>632</v>
      </c>
      <c r="D222">
        <v>0.030763459013318</v>
      </c>
      <c r="E222">
        <v>-0.06546626593642557</v>
      </c>
      <c r="F222">
        <v>0.04</v>
      </c>
      <c r="G222">
        <v>0.01105899369142449</v>
      </c>
      <c r="H222" t="s">
        <v>637</v>
      </c>
      <c r="I222" t="s">
        <v>637</v>
      </c>
    </row>
    <row r="223" spans="1:9">
      <c r="A223" s="1" t="s">
        <v>230</v>
      </c>
      <c r="B223">
        <f>HYPERLINK("https://www.suredividend.com/sure-analysis-LIN/","Linde Plc")</f>
        <v>0</v>
      </c>
      <c r="C223" t="s">
        <v>632</v>
      </c>
      <c r="D223">
        <v>0.015793770139634</v>
      </c>
      <c r="E223">
        <v>-0.06990980734239427</v>
      </c>
      <c r="F223">
        <v>0.06</v>
      </c>
      <c r="G223">
        <v>0.00655847369673257</v>
      </c>
      <c r="H223" t="s">
        <v>637</v>
      </c>
      <c r="I223" t="s">
        <v>446</v>
      </c>
    </row>
    <row r="224" spans="1:9">
      <c r="A224" s="1" t="s">
        <v>231</v>
      </c>
      <c r="B224">
        <f>HYPERLINK("https://www.suredividend.com/sure-analysis-LLY/","Eli Lilly &amp; Co.")</f>
        <v>0</v>
      </c>
      <c r="C224" t="s">
        <v>632</v>
      </c>
      <c r="D224">
        <v>0.018434713163849</v>
      </c>
      <c r="E224">
        <v>-0.05540202156049223</v>
      </c>
      <c r="F224">
        <v>0.04</v>
      </c>
      <c r="G224">
        <v>0.005127110779557409</v>
      </c>
      <c r="H224" t="s">
        <v>637</v>
      </c>
      <c r="I224" t="s">
        <v>446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0.022504354202951</v>
      </c>
      <c r="E225">
        <v>-0.08102389309709201</v>
      </c>
      <c r="F225">
        <v>0.06</v>
      </c>
      <c r="G225">
        <v>0.002001193280950275</v>
      </c>
      <c r="H225" t="s">
        <v>637</v>
      </c>
      <c r="I225" t="s">
        <v>372</v>
      </c>
    </row>
    <row r="226" spans="1:9">
      <c r="A226" s="1" t="s">
        <v>233</v>
      </c>
      <c r="B226">
        <f>HYPERLINK("https://www.suredividend.com/sure-analysis-WEC/","WEC Energy Group, Inc.")</f>
        <v>0</v>
      </c>
      <c r="C226" t="s">
        <v>632</v>
      </c>
      <c r="D226">
        <v>0.025386771882462</v>
      </c>
      <c r="E226">
        <v>-0.07848646543419402</v>
      </c>
      <c r="F226">
        <v>0.052</v>
      </c>
      <c r="G226">
        <v>0.001901118655395218</v>
      </c>
      <c r="H226" t="s">
        <v>637</v>
      </c>
      <c r="I226" t="s">
        <v>372</v>
      </c>
    </row>
    <row r="227" spans="1:9">
      <c r="A227" s="1" t="s">
        <v>234</v>
      </c>
      <c r="B227">
        <f>HYPERLINK("https://www.suredividend.com/sure-analysis-INFY/","Infosys Ltd.")</f>
        <v>0</v>
      </c>
      <c r="C227" t="s">
        <v>632</v>
      </c>
      <c r="D227">
        <v>0.017612380250552</v>
      </c>
      <c r="E227">
        <v>-0.07884538480907954</v>
      </c>
      <c r="F227">
        <v>0.06</v>
      </c>
      <c r="G227">
        <v>0.001701788398421167</v>
      </c>
      <c r="H227" t="s">
        <v>637</v>
      </c>
      <c r="I227" t="s">
        <v>446</v>
      </c>
    </row>
    <row r="228" spans="1:9">
      <c r="A228" s="1" t="s">
        <v>235</v>
      </c>
      <c r="B228">
        <f>HYPERLINK("https://www.suredividend.com/sure-analysis-FAST/","Fastenal Co.")</f>
        <v>0</v>
      </c>
      <c r="C228" t="s">
        <v>632</v>
      </c>
      <c r="D228">
        <v>0.020944741532976</v>
      </c>
      <c r="E228">
        <v>-0.09004265137075318</v>
      </c>
      <c r="F228">
        <v>0.07000000000000001</v>
      </c>
      <c r="G228">
        <v>0.0009066845384599898</v>
      </c>
      <c r="H228" t="s">
        <v>637</v>
      </c>
      <c r="I228" t="s">
        <v>446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632</v>
      </c>
      <c r="D229">
        <v>0.022218761355967</v>
      </c>
      <c r="E229">
        <v>-0.09183532025943641</v>
      </c>
      <c r="F229">
        <v>0.07000000000000001</v>
      </c>
      <c r="G229">
        <v>-0.002427199267994506</v>
      </c>
      <c r="H229" t="s">
        <v>637</v>
      </c>
      <c r="I229" t="s">
        <v>372</v>
      </c>
    </row>
    <row r="230" spans="1:9">
      <c r="A230" s="1" t="s">
        <v>237</v>
      </c>
      <c r="B230">
        <f>HYPERLINK("https://www.suredividend.com/sure-analysis-WM/","Waste Management, Inc.")</f>
        <v>0</v>
      </c>
      <c r="C230" t="s">
        <v>632</v>
      </c>
      <c r="D230">
        <v>0.01861304233037</v>
      </c>
      <c r="E230">
        <v>-0.07248632979908332</v>
      </c>
      <c r="F230">
        <v>0.05</v>
      </c>
      <c r="G230">
        <v>-0.003251282156155555</v>
      </c>
      <c r="H230" t="s">
        <v>637</v>
      </c>
      <c r="I230" t="s">
        <v>446</v>
      </c>
    </row>
    <row r="231" spans="1:9">
      <c r="A231" s="1" t="s">
        <v>238</v>
      </c>
      <c r="B231">
        <f>HYPERLINK("https://www.suredividend.com/sure-analysis-UNP/","Union Pacific Corp.")</f>
        <v>0</v>
      </c>
      <c r="C231" t="s">
        <v>632</v>
      </c>
      <c r="D231">
        <v>0.019581125410042</v>
      </c>
      <c r="E231">
        <v>-0.09244458829814417</v>
      </c>
      <c r="F231">
        <v>0.07000000000000001</v>
      </c>
      <c r="G231">
        <v>-0.004617590150177819</v>
      </c>
      <c r="H231" t="s">
        <v>637</v>
      </c>
      <c r="I231" t="s">
        <v>446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0.01880633028174</v>
      </c>
      <c r="E232">
        <v>-0.1059314606936221</v>
      </c>
      <c r="F232">
        <v>0.07000000000000001</v>
      </c>
      <c r="G232">
        <v>-0.01486520787908263</v>
      </c>
      <c r="H232" t="s">
        <v>637</v>
      </c>
      <c r="I232" t="s">
        <v>446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0.024379562043795</v>
      </c>
      <c r="E233">
        <v>-0.08472326999719881</v>
      </c>
      <c r="F233">
        <v>0.04</v>
      </c>
      <c r="G233">
        <v>-0.01593356945092772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HYPERLINK("https://www.suredividend.com/sure-analysis-CHRW/","C.H. Robinson Worldwide, Inc.")</f>
        <v>0</v>
      </c>
      <c r="C234" t="s">
        <v>632</v>
      </c>
      <c r="D234">
        <v>0.019831965611567</v>
      </c>
      <c r="E234">
        <v>-0.09250956875377125</v>
      </c>
      <c r="F234">
        <v>0.05</v>
      </c>
      <c r="G234">
        <v>-0.02045686915267109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0.001242839110593</v>
      </c>
      <c r="E235">
        <v>-0.1518577943095946</v>
      </c>
      <c r="F235">
        <v>0.15</v>
      </c>
      <c r="G235">
        <v>-0.02326706648721166</v>
      </c>
      <c r="H235" t="s">
        <v>637</v>
      </c>
      <c r="I235" t="s">
        <v>586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0.021921397379912</v>
      </c>
      <c r="E236">
        <v>-0.1212422812872443</v>
      </c>
      <c r="F236">
        <v>0.07000000000000001</v>
      </c>
      <c r="G236">
        <v>-0.02640449365913256</v>
      </c>
      <c r="H236" t="s">
        <v>637</v>
      </c>
      <c r="I236" t="s">
        <v>446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0.007559741174963001</v>
      </c>
      <c r="E237">
        <v>-0.09453909214037759</v>
      </c>
      <c r="F237">
        <v>0.06</v>
      </c>
      <c r="G237">
        <v>-0.02900906634710065</v>
      </c>
      <c r="H237" t="s">
        <v>637</v>
      </c>
      <c r="I237" t="s">
        <v>446</v>
      </c>
    </row>
    <row r="238" spans="1:9">
      <c r="A238" s="1" t="s">
        <v>245</v>
      </c>
      <c r="B238">
        <f>HYPERLINK("https://www.suredividend.com/sure-analysis-ALB/","Albemarle Corp.")</f>
        <v>0</v>
      </c>
      <c r="C238" t="s">
        <v>632</v>
      </c>
      <c r="D238">
        <v>0.017806436346426</v>
      </c>
      <c r="E238">
        <v>-0.1347036462274344</v>
      </c>
      <c r="F238">
        <v>0.09</v>
      </c>
      <c r="G238">
        <v>-0.0297651551568181</v>
      </c>
      <c r="H238" t="s">
        <v>637</v>
      </c>
      <c r="I238" t="s">
        <v>372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0.013865450399087</v>
      </c>
      <c r="E239">
        <v>-0.1257096515159195</v>
      </c>
      <c r="F239">
        <v>0.08</v>
      </c>
      <c r="G239">
        <v>-0.03575030723673467</v>
      </c>
      <c r="H239" t="s">
        <v>637</v>
      </c>
      <c r="I239" t="s">
        <v>446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0.018563811573643</v>
      </c>
      <c r="E240">
        <v>-0.114974732431498</v>
      </c>
      <c r="F240">
        <v>0.055</v>
      </c>
      <c r="G240">
        <v>-0.03909024703989628</v>
      </c>
      <c r="H240" t="s">
        <v>637</v>
      </c>
      <c r="I240" t="s">
        <v>446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632</v>
      </c>
      <c r="D241">
        <v>0.01719927075092</v>
      </c>
      <c r="E241">
        <v>-0.122790360868355</v>
      </c>
      <c r="F241">
        <v>0.06</v>
      </c>
      <c r="G241">
        <v>-0.04160666393694334</v>
      </c>
      <c r="H241" t="s">
        <v>637</v>
      </c>
      <c r="I241" t="s">
        <v>372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0.010431047706703</v>
      </c>
      <c r="E242">
        <v>-0.111976816597993</v>
      </c>
      <c r="F242">
        <v>0.034</v>
      </c>
      <c r="G242">
        <v>-0.06324411327341739</v>
      </c>
      <c r="H242" t="s">
        <v>637</v>
      </c>
      <c r="I242" t="s">
        <v>446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0.008635580063868002</v>
      </c>
      <c r="E243">
        <v>-0.1090167522713366</v>
      </c>
      <c r="F243">
        <v>0.02</v>
      </c>
      <c r="G243">
        <v>-0.06948719021393568</v>
      </c>
      <c r="H243" t="s">
        <v>637</v>
      </c>
      <c r="I243" t="s">
        <v>446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0.222222222222222</v>
      </c>
      <c r="E244">
        <v>0.08878314301362678</v>
      </c>
      <c r="F244">
        <v>0.074</v>
      </c>
      <c r="G244">
        <v>0.2662499931327775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0.146941223510595</v>
      </c>
      <c r="E245">
        <v>0.1144765960990575</v>
      </c>
      <c r="F245">
        <v>0.03</v>
      </c>
      <c r="G245">
        <v>0.2254391426514839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634</v>
      </c>
      <c r="D246">
        <v>0.062796208530805</v>
      </c>
      <c r="E246">
        <v>0.1415829522906236</v>
      </c>
      <c r="F246">
        <v>0.03</v>
      </c>
      <c r="G246">
        <v>0.2165224271446766</v>
      </c>
      <c r="H246" t="s">
        <v>372</v>
      </c>
      <c r="I246" t="s">
        <v>637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0.120610799645913</v>
      </c>
      <c r="E247">
        <v>0.09765140642123793</v>
      </c>
      <c r="F247">
        <v>0.04</v>
      </c>
      <c r="G247">
        <v>0.2125976025161453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HYPERLINK("https://www.suredividend.com/sure-analysis-FTI/","TechnipFMC Plc")</f>
        <v>0</v>
      </c>
      <c r="C248" t="s">
        <v>632</v>
      </c>
      <c r="D248">
        <v>0.042904290429042</v>
      </c>
      <c r="E248">
        <v>0.1053644046653075</v>
      </c>
      <c r="F248">
        <v>0.09</v>
      </c>
      <c r="G248">
        <v>0.2048472010851852</v>
      </c>
      <c r="H248" t="s">
        <v>372</v>
      </c>
      <c r="I248" t="s">
        <v>372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632</v>
      </c>
      <c r="D249">
        <v>0.05022559501826401</v>
      </c>
      <c r="E249">
        <v>0.1151766685146669</v>
      </c>
      <c r="F249">
        <v>0.057</v>
      </c>
      <c r="G249">
        <v>0.2038406231702345</v>
      </c>
      <c r="H249" t="s">
        <v>372</v>
      </c>
      <c r="I249" t="s">
        <v>637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633</v>
      </c>
      <c r="D250">
        <v>0.169154228855721</v>
      </c>
      <c r="E250">
        <v>0.07420794045821788</v>
      </c>
      <c r="F250">
        <v>0.02</v>
      </c>
      <c r="G250">
        <v>0.1999402830467263</v>
      </c>
      <c r="H250" t="s">
        <v>372</v>
      </c>
      <c r="I250" t="s">
        <v>636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0.042479108635097</v>
      </c>
      <c r="E251">
        <v>0.1493375865308373</v>
      </c>
      <c r="F251">
        <v>0.01</v>
      </c>
      <c r="G251">
        <v>0.1880860440495875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632</v>
      </c>
      <c r="D252">
        <v>0.05746828889464101</v>
      </c>
      <c r="E252">
        <v>0.09567316561639583</v>
      </c>
      <c r="F252">
        <v>0.05</v>
      </c>
      <c r="G252">
        <v>0.1875622793380158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632</v>
      </c>
      <c r="D253">
        <v>0.08091024020227501</v>
      </c>
      <c r="E253">
        <v>0.1570003035951952</v>
      </c>
      <c r="F253">
        <v>-0.02</v>
      </c>
      <c r="G253">
        <v>0.1790613136350176</v>
      </c>
      <c r="H253" t="s">
        <v>372</v>
      </c>
      <c r="I253" t="s">
        <v>636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632</v>
      </c>
      <c r="D254">
        <v>0.081851253031527</v>
      </c>
      <c r="E254">
        <v>0.1008599173302731</v>
      </c>
      <c r="F254">
        <v>0.02</v>
      </c>
      <c r="G254">
        <v>0.1743454771181896</v>
      </c>
      <c r="H254" t="s">
        <v>372</v>
      </c>
      <c r="I254" t="s">
        <v>637</v>
      </c>
    </row>
    <row r="255" spans="1:9">
      <c r="A255" s="1" t="s">
        <v>262</v>
      </c>
      <c r="B255">
        <f>HYPERLINK("https://www.suredividend.com/sure-analysis-LRCX/","Lam Research Corp.")</f>
        <v>0</v>
      </c>
      <c r="C255" t="s">
        <v>632</v>
      </c>
      <c r="D255">
        <v>0.013927998304417</v>
      </c>
      <c r="E255">
        <v>0.003446055686631588</v>
      </c>
      <c r="F255">
        <v>0.16</v>
      </c>
      <c r="G255">
        <v>0.1737339835411327</v>
      </c>
      <c r="H255" t="s">
        <v>372</v>
      </c>
      <c r="I255" t="s">
        <v>446</v>
      </c>
    </row>
    <row r="256" spans="1:9">
      <c r="A256" s="1" t="s">
        <v>263</v>
      </c>
      <c r="B256">
        <f>HYPERLINK("https://www.suredividend.com/sure-analysis-MDP/","Meredith Corp.")</f>
        <v>0</v>
      </c>
      <c r="C256" t="s">
        <v>632</v>
      </c>
      <c r="D256">
        <v>0.093004769475357</v>
      </c>
      <c r="E256">
        <v>0.1562680925696003</v>
      </c>
      <c r="F256">
        <v>0.015</v>
      </c>
      <c r="G256">
        <v>0.1736121139581444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0.08080313418217401</v>
      </c>
      <c r="E257">
        <v>0.09400384433681452</v>
      </c>
      <c r="F257">
        <v>0.01</v>
      </c>
      <c r="G257">
        <v>0.1692806102725528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HYPERLINK("https://www.suredividend.com/sure-analysis-NTAP/","NetApp, Inc.")</f>
        <v>0</v>
      </c>
      <c r="C258" t="s">
        <v>632</v>
      </c>
      <c r="D258">
        <v>0.045757864632983</v>
      </c>
      <c r="E258">
        <v>0.06318263643186528</v>
      </c>
      <c r="F258">
        <v>0.06</v>
      </c>
      <c r="G258">
        <v>0.1572899055455499</v>
      </c>
      <c r="H258" t="s">
        <v>372</v>
      </c>
      <c r="I258" t="s">
        <v>372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632</v>
      </c>
      <c r="D259">
        <v>0.076851524014029</v>
      </c>
      <c r="E259">
        <v>0.0484830794784008</v>
      </c>
      <c r="F259">
        <v>0.05</v>
      </c>
      <c r="G259">
        <v>0.1572558939239823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0.052899287894201</v>
      </c>
      <c r="E260">
        <v>0.07934875484726045</v>
      </c>
      <c r="F260">
        <v>0.035</v>
      </c>
      <c r="G260">
        <v>0.1545460169905637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0.06574746294121001</v>
      </c>
      <c r="E261">
        <v>0.08434736644198848</v>
      </c>
      <c r="F261">
        <v>0.02</v>
      </c>
      <c r="G261">
        <v>0.1527813986914752</v>
      </c>
      <c r="H261" t="s">
        <v>372</v>
      </c>
      <c r="I261" t="s">
        <v>636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0.061104368932038</v>
      </c>
      <c r="E262">
        <v>0.09547691001150471</v>
      </c>
      <c r="F262">
        <v>0.015</v>
      </c>
      <c r="G262">
        <v>0.1497366264069389</v>
      </c>
      <c r="H262" t="s">
        <v>372</v>
      </c>
      <c r="I262" t="s">
        <v>637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0.034915773353751</v>
      </c>
      <c r="E263">
        <v>0.07096413997290707</v>
      </c>
      <c r="F263">
        <v>0.05</v>
      </c>
      <c r="G263">
        <v>0.1466113487567156</v>
      </c>
      <c r="H263" t="s">
        <v>372</v>
      </c>
      <c r="I263" t="s">
        <v>446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0.06765463917525701</v>
      </c>
      <c r="E264">
        <v>0.04129162832378275</v>
      </c>
      <c r="F264">
        <v>0.05</v>
      </c>
      <c r="G264">
        <v>0.1456814562199626</v>
      </c>
      <c r="H264" t="s">
        <v>372</v>
      </c>
      <c r="I264" t="s">
        <v>637</v>
      </c>
    </row>
    <row r="265" spans="1:9">
      <c r="A265" s="1" t="s">
        <v>272</v>
      </c>
      <c r="B265">
        <f>HYPERLINK("https://www.suredividend.com/sure-analysis-AEG/","AEGON NV")</f>
        <v>0</v>
      </c>
      <c r="C265" t="s">
        <v>632</v>
      </c>
      <c r="D265">
        <v>0.025481856540084</v>
      </c>
      <c r="E265">
        <v>0.06189194499241779</v>
      </c>
      <c r="F265">
        <v>0.05</v>
      </c>
      <c r="G265">
        <v>0.1430623266663089</v>
      </c>
      <c r="H265" t="s">
        <v>372</v>
      </c>
      <c r="I265" t="s">
        <v>446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0.05762473647224101</v>
      </c>
      <c r="E266">
        <v>0.05952141767705399</v>
      </c>
      <c r="F266">
        <v>0.04</v>
      </c>
      <c r="G266">
        <v>0.1424878860778784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0.066355654941222</v>
      </c>
      <c r="E267">
        <v>0.04673217728807599</v>
      </c>
      <c r="F267">
        <v>0.04</v>
      </c>
      <c r="G267">
        <v>0.1381763612530245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0.030651340996168</v>
      </c>
      <c r="E268">
        <v>0.04304488151063279</v>
      </c>
      <c r="F268">
        <v>0.06</v>
      </c>
      <c r="G268">
        <v>0.1319054771079069</v>
      </c>
      <c r="H268" t="s">
        <v>372</v>
      </c>
      <c r="I268" t="s">
        <v>446</v>
      </c>
    </row>
    <row r="269" spans="1:9">
      <c r="A269" s="1" t="s">
        <v>276</v>
      </c>
      <c r="B269">
        <f>HYPERLINK("https://www.suredividend.com/sure-analysis-SYF/","Synchrony Financial")</f>
        <v>0</v>
      </c>
      <c r="C269" t="s">
        <v>632</v>
      </c>
      <c r="D269">
        <v>0.035003977724741</v>
      </c>
      <c r="E269">
        <v>0.04943837480094304</v>
      </c>
      <c r="F269">
        <v>0.05</v>
      </c>
      <c r="G269">
        <v>0.1289590050026519</v>
      </c>
      <c r="H269" t="s">
        <v>372</v>
      </c>
      <c r="I269" t="s">
        <v>446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0.037125748502994</v>
      </c>
      <c r="E270">
        <v>0.05667453629075547</v>
      </c>
      <c r="F270">
        <v>0.04</v>
      </c>
      <c r="G270">
        <v>0.1278117189045482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HYPERLINK("https://www.suredividend.com/sure-analysis-BTI/","British American Tobacco plc")</f>
        <v>0</v>
      </c>
      <c r="C271" t="s">
        <v>632</v>
      </c>
      <c r="D271">
        <v>0.07324826629681</v>
      </c>
      <c r="E271">
        <v>0.04066148479679943</v>
      </c>
      <c r="F271">
        <v>0.03</v>
      </c>
      <c r="G271">
        <v>0.1272657915446846</v>
      </c>
      <c r="H271" t="s">
        <v>372</v>
      </c>
      <c r="I271" t="s">
        <v>636</v>
      </c>
    </row>
    <row r="272" spans="1:9">
      <c r="A272" s="1" t="s">
        <v>279</v>
      </c>
      <c r="B272">
        <f>HYPERLINK("https://www.suredividend.com/sure-analysis-VIAC/","ViacomCBS, Inc.")</f>
        <v>0</v>
      </c>
      <c r="C272" t="s">
        <v>632</v>
      </c>
      <c r="D272">
        <v>0.030477480528276</v>
      </c>
      <c r="E272">
        <v>0.06783482911352556</v>
      </c>
      <c r="F272">
        <v>0.03</v>
      </c>
      <c r="G272">
        <v>0.1245746603371103</v>
      </c>
      <c r="H272" t="s">
        <v>372</v>
      </c>
      <c r="I272" t="s">
        <v>446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632</v>
      </c>
      <c r="D273">
        <v>0.021802325581395</v>
      </c>
      <c r="E273">
        <v>0.03062413800126618</v>
      </c>
      <c r="F273">
        <v>0.07000000000000001</v>
      </c>
      <c r="G273">
        <v>0.1208265497816423</v>
      </c>
      <c r="H273" t="s">
        <v>372</v>
      </c>
      <c r="I273" t="s">
        <v>446</v>
      </c>
    </row>
    <row r="274" spans="1:9">
      <c r="A274" s="1" t="s">
        <v>281</v>
      </c>
      <c r="B274">
        <f>HYPERLINK("https://www.suredividend.com/sure-analysis-SAXPY/","Sampo Oyj")</f>
        <v>0</v>
      </c>
      <c r="C274" t="s">
        <v>632</v>
      </c>
      <c r="D274">
        <v>0.106284237726098</v>
      </c>
      <c r="E274">
        <v>0.03516450828592266</v>
      </c>
      <c r="F274">
        <v>0.046</v>
      </c>
      <c r="G274">
        <v>0.1206339358637054</v>
      </c>
      <c r="H274" t="s">
        <v>372</v>
      </c>
      <c r="I274" t="s">
        <v>636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632</v>
      </c>
      <c r="D275">
        <v>0.037639344262295</v>
      </c>
      <c r="E275">
        <v>0.03751484214486456</v>
      </c>
      <c r="F275">
        <v>0.05</v>
      </c>
      <c r="G275">
        <v>0.1201325131251016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632</v>
      </c>
      <c r="D276">
        <v>0.039845047039291</v>
      </c>
      <c r="E276">
        <v>0.04014265264410866</v>
      </c>
      <c r="F276">
        <v>0.046</v>
      </c>
      <c r="G276">
        <v>0.1187724487295849</v>
      </c>
      <c r="H276" t="s">
        <v>372</v>
      </c>
      <c r="I276" t="s">
        <v>637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0.05368461450410401</v>
      </c>
      <c r="E277">
        <v>0.05732655905763728</v>
      </c>
      <c r="F277">
        <v>0.012</v>
      </c>
      <c r="G277">
        <v>0.112137956727516</v>
      </c>
      <c r="H277" t="s">
        <v>372</v>
      </c>
      <c r="I277" t="s">
        <v>637</v>
      </c>
    </row>
    <row r="278" spans="1:9">
      <c r="A278" s="1" t="s">
        <v>285</v>
      </c>
      <c r="B278">
        <f>HYPERLINK("https://www.suredividend.com/sure-analysis-NLSN/","Nielsen Holdings Plc")</f>
        <v>0</v>
      </c>
      <c r="C278" t="s">
        <v>632</v>
      </c>
      <c r="D278">
        <v>0.038211968276856</v>
      </c>
      <c r="E278">
        <v>0.06496522811163508</v>
      </c>
      <c r="F278">
        <v>0.03</v>
      </c>
      <c r="G278">
        <v>0.1102762727194038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HYPERLINK("https://www.suredividend.com/sure-analysis-ALL/","The Allstate Corp.")</f>
        <v>0</v>
      </c>
      <c r="C279" t="s">
        <v>632</v>
      </c>
      <c r="D279">
        <v>0.022787028921998</v>
      </c>
      <c r="E279">
        <v>0.05623638265547526</v>
      </c>
      <c r="F279">
        <v>0.032</v>
      </c>
      <c r="G279">
        <v>0.1088398594374538</v>
      </c>
      <c r="H279" t="s">
        <v>372</v>
      </c>
      <c r="I279" t="s">
        <v>446</v>
      </c>
    </row>
    <row r="280" spans="1:9">
      <c r="A280" s="1" t="s">
        <v>287</v>
      </c>
      <c r="B280">
        <f>HYPERLINK("https://www.suredividend.com/sure-analysis-ALLY/","Ally Financial, Inc.")</f>
        <v>0</v>
      </c>
      <c r="C280" t="s">
        <v>632</v>
      </c>
      <c r="D280">
        <v>0.02938775510204</v>
      </c>
      <c r="E280">
        <v>0.02706608708935176</v>
      </c>
      <c r="F280">
        <v>0.05</v>
      </c>
      <c r="G280">
        <v>0.1075435678905561</v>
      </c>
      <c r="H280" t="s">
        <v>372</v>
      </c>
      <c r="I280" t="s">
        <v>446</v>
      </c>
    </row>
    <row r="281" spans="1:9">
      <c r="A281" s="1" t="s">
        <v>288</v>
      </c>
      <c r="B281">
        <f>HYPERLINK("https://www.suredividend.com/sure-analysis-TD/","The Toronto-Dominion Bank")</f>
        <v>0</v>
      </c>
      <c r="C281" t="s">
        <v>632</v>
      </c>
      <c r="D281">
        <v>0.04960778616424801</v>
      </c>
      <c r="E281">
        <v>0.04831920089437336</v>
      </c>
      <c r="F281">
        <v>0.012</v>
      </c>
      <c r="G281">
        <v>0.10253677432869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632</v>
      </c>
      <c r="D282">
        <v>0.019479098270956</v>
      </c>
      <c r="E282">
        <v>-0.04131460058975023</v>
      </c>
      <c r="F282">
        <v>0.13</v>
      </c>
      <c r="G282">
        <v>0.1006225221802322</v>
      </c>
      <c r="H282" t="s">
        <v>372</v>
      </c>
      <c r="I282" t="s">
        <v>446</v>
      </c>
    </row>
    <row r="283" spans="1:9">
      <c r="A283" s="1" t="s">
        <v>290</v>
      </c>
      <c r="B283">
        <f>HYPERLINK("https://www.suredividend.com/sure-analysis-SRCE/","1st Source Corp.")</f>
        <v>0</v>
      </c>
      <c r="C283" t="s">
        <v>632</v>
      </c>
      <c r="D283">
        <v>0.03798319327731</v>
      </c>
      <c r="E283">
        <v>0.05016931709648742</v>
      </c>
      <c r="F283">
        <v>0.02</v>
      </c>
      <c r="G283">
        <v>0.1004477603364153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HYPERLINK("https://www.suredividend.com/sure-analysis-TYCB/","Calvin B. Taylor Bankshares, Inc.")</f>
        <v>0</v>
      </c>
      <c r="C284" t="s">
        <v>632</v>
      </c>
      <c r="D284">
        <v>0.031952662721893</v>
      </c>
      <c r="E284">
        <v>0.01269148914022256</v>
      </c>
      <c r="F284">
        <v>0.06</v>
      </c>
      <c r="G284">
        <v>0.09911908514410084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HYPERLINK("https://www.suredividend.com/sure-analysis-SAN/","Banco Santander SA")</f>
        <v>0</v>
      </c>
      <c r="C285" t="s">
        <v>632</v>
      </c>
      <c r="D285">
        <v>0.06081967213114701</v>
      </c>
      <c r="E285">
        <v>0.06009063749653909</v>
      </c>
      <c r="F285">
        <v>0</v>
      </c>
      <c r="G285">
        <v>0.09645138791679586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HYPERLINK("https://www.suredividend.com/sure-analysis-AON/","Aon Plc")</f>
        <v>0</v>
      </c>
      <c r="C286" t="s">
        <v>632</v>
      </c>
      <c r="D286">
        <v>0.004481564473416</v>
      </c>
      <c r="E286">
        <v>-0.01184802955441677</v>
      </c>
      <c r="F286">
        <v>0.1</v>
      </c>
      <c r="G286">
        <v>0.09595129245145673</v>
      </c>
      <c r="H286" t="s">
        <v>372</v>
      </c>
      <c r="I286" t="s">
        <v>586</v>
      </c>
    </row>
    <row r="287" spans="1:9">
      <c r="A287" s="1" t="s">
        <v>294</v>
      </c>
      <c r="B287">
        <f>HYPERLINK("https://www.suredividend.com/sure-analysis-SNY/","Sanofi")</f>
        <v>0</v>
      </c>
      <c r="C287" t="s">
        <v>632</v>
      </c>
      <c r="D287">
        <v>0.033465931469082</v>
      </c>
      <c r="E287">
        <v>0.02337883725115542</v>
      </c>
      <c r="F287">
        <v>0.04</v>
      </c>
      <c r="G287">
        <v>0.09348491130367798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HYPERLINK("https://www.suredividend.com/sure-analysis-BIP/","Brookfield Infrastructure Partners LP")</f>
        <v>0</v>
      </c>
      <c r="C288" t="s">
        <v>633</v>
      </c>
      <c r="D288">
        <v>0.04294640965897</v>
      </c>
      <c r="E288">
        <v>-0.02311586172982916</v>
      </c>
      <c r="F288">
        <v>0.08</v>
      </c>
      <c r="G288">
        <v>0.09300885397743519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HYPERLINK("https://www.suredividend.com/sure-analysis-HPE/","Hewlett-Packard Enterprise Co.")</f>
        <v>0</v>
      </c>
      <c r="C289" t="s">
        <v>632</v>
      </c>
      <c r="D289">
        <v>0.05186608122941801</v>
      </c>
      <c r="E289">
        <v>0.01881733219845994</v>
      </c>
      <c r="F289">
        <v>0.03</v>
      </c>
      <c r="G289">
        <v>0.09237001722155624</v>
      </c>
      <c r="H289" t="s">
        <v>372</v>
      </c>
      <c r="I289" t="s">
        <v>637</v>
      </c>
    </row>
    <row r="290" spans="1:9">
      <c r="A290" s="1" t="s">
        <v>297</v>
      </c>
      <c r="B290">
        <f>HYPERLINK("https://www.suredividend.com/sure-analysis-VALE/","Vale SA")</f>
        <v>0</v>
      </c>
      <c r="C290" t="s">
        <v>632</v>
      </c>
      <c r="D290">
        <v>0.039869646182495</v>
      </c>
      <c r="E290">
        <v>0.03893365319830133</v>
      </c>
      <c r="F290">
        <v>0.03</v>
      </c>
      <c r="G290">
        <v>0.09167615315307542</v>
      </c>
      <c r="H290" t="s">
        <v>372</v>
      </c>
      <c r="I290" t="s">
        <v>372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634</v>
      </c>
      <c r="D291">
        <v>0.06036246711487801</v>
      </c>
      <c r="E291">
        <v>0.004576452618911597</v>
      </c>
      <c r="F291">
        <v>0.037</v>
      </c>
      <c r="G291">
        <v>0.09151242816705629</v>
      </c>
      <c r="H291" t="s">
        <v>372</v>
      </c>
      <c r="I291" t="s">
        <v>636</v>
      </c>
    </row>
    <row r="292" spans="1:9">
      <c r="A292" s="1" t="s">
        <v>299</v>
      </c>
      <c r="B292">
        <f>HYPERLINK("https://www.suredividend.com/sure-analysis-PM/","Philip Morris International, Inc.")</f>
        <v>0</v>
      </c>
      <c r="C292" t="s">
        <v>632</v>
      </c>
      <c r="D292">
        <v>0.062068965517241</v>
      </c>
      <c r="E292">
        <v>-0.001063266626553649</v>
      </c>
      <c r="F292">
        <v>0.04</v>
      </c>
      <c r="G292">
        <v>0.09141602848788999</v>
      </c>
      <c r="H292" t="s">
        <v>372</v>
      </c>
      <c r="I292" t="s">
        <v>637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632</v>
      </c>
      <c r="D293">
        <v>0.057823308851669</v>
      </c>
      <c r="E293">
        <v>0.02904286555486135</v>
      </c>
      <c r="F293">
        <v>0.012</v>
      </c>
      <c r="G293">
        <v>0.09023471029449759</v>
      </c>
      <c r="H293" t="s">
        <v>372</v>
      </c>
      <c r="I293" t="s">
        <v>637</v>
      </c>
    </row>
    <row r="294" spans="1:9">
      <c r="A294" s="1" t="s">
        <v>301</v>
      </c>
      <c r="B294">
        <f>HYPERLINK("https://www.suredividend.com/sure-analysis-SUUIF/","Superior Plus Corp.")</f>
        <v>0</v>
      </c>
      <c r="C294" t="s">
        <v>632</v>
      </c>
      <c r="D294">
        <v>0.060068236819155</v>
      </c>
      <c r="E294">
        <v>0.04257725304127224</v>
      </c>
      <c r="F294">
        <v>0</v>
      </c>
      <c r="G294">
        <v>0.09016001241191463</v>
      </c>
      <c r="H294" t="s">
        <v>372</v>
      </c>
      <c r="I294" t="s">
        <v>637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634</v>
      </c>
      <c r="D295">
        <v>0.046037043217086</v>
      </c>
      <c r="E295">
        <v>0.01004158410246569</v>
      </c>
      <c r="F295">
        <v>0.04</v>
      </c>
      <c r="G295">
        <v>0.08998266425265666</v>
      </c>
      <c r="H295" t="s">
        <v>372</v>
      </c>
      <c r="I295" t="s">
        <v>637</v>
      </c>
    </row>
    <row r="296" spans="1:9">
      <c r="A296" s="1" t="s">
        <v>303</v>
      </c>
      <c r="B296">
        <f>HYPERLINK("https://www.suredividend.com/sure-analysis-ESS/","Essex Property Trust, Inc.")</f>
        <v>0</v>
      </c>
      <c r="C296" t="s">
        <v>634</v>
      </c>
      <c r="D296">
        <v>0.039464014501984</v>
      </c>
      <c r="E296">
        <v>0.008563075467026948</v>
      </c>
      <c r="F296">
        <v>0.048</v>
      </c>
      <c r="G296">
        <v>0.08917843205628406</v>
      </c>
      <c r="H296" t="s">
        <v>372</v>
      </c>
      <c r="I296" t="s">
        <v>372</v>
      </c>
    </row>
    <row r="297" spans="1:9">
      <c r="A297" s="1" t="s">
        <v>304</v>
      </c>
      <c r="B297">
        <f>HYPERLINK("https://www.suredividend.com/sure-analysis-GS/","The Goldman Sachs Group, Inc.")</f>
        <v>0</v>
      </c>
      <c r="C297" t="s">
        <v>632</v>
      </c>
      <c r="D297">
        <v>0.025647601949217</v>
      </c>
      <c r="E297">
        <v>0.005127953401029783</v>
      </c>
      <c r="F297">
        <v>0.06</v>
      </c>
      <c r="G297">
        <v>0.08885052493547363</v>
      </c>
      <c r="H297" t="s">
        <v>372</v>
      </c>
      <c r="I297" t="s">
        <v>446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632</v>
      </c>
      <c r="D298">
        <v>0.016311166875784</v>
      </c>
      <c r="E298">
        <v>0.03208553434387285</v>
      </c>
      <c r="F298">
        <v>0.04</v>
      </c>
      <c r="G298">
        <v>0.08843281897805677</v>
      </c>
      <c r="H298" t="s">
        <v>372</v>
      </c>
      <c r="I298" t="s">
        <v>446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632</v>
      </c>
      <c r="D299">
        <v>0.038363181914053</v>
      </c>
      <c r="E299">
        <v>-0.01507161003243418</v>
      </c>
      <c r="F299">
        <v>0.07000000000000001</v>
      </c>
      <c r="G299">
        <v>0.08609609788475558</v>
      </c>
      <c r="H299" t="s">
        <v>372</v>
      </c>
      <c r="I299" t="s">
        <v>372</v>
      </c>
    </row>
    <row r="300" spans="1:9">
      <c r="A300" s="1" t="s">
        <v>307</v>
      </c>
      <c r="B300">
        <f>HYPERLINK("https://www.suredividend.com/sure-analysis-AVB/","AvalonBay Communities, Inc.")</f>
        <v>0</v>
      </c>
      <c r="C300" t="s">
        <v>634</v>
      </c>
      <c r="D300">
        <v>0.042015671440151</v>
      </c>
      <c r="E300">
        <v>0.02192958815356594</v>
      </c>
      <c r="F300">
        <v>0.028</v>
      </c>
      <c r="G300">
        <v>0.08551077452027944</v>
      </c>
      <c r="H300" t="s">
        <v>372</v>
      </c>
      <c r="I300" t="s">
        <v>637</v>
      </c>
    </row>
    <row r="301" spans="1:9">
      <c r="A301" s="1" t="s">
        <v>308</v>
      </c>
      <c r="B301">
        <f>HYPERLINK("https://www.suredividend.com/sure-analysis-KLAC/","KLA Corp.")</f>
        <v>0</v>
      </c>
      <c r="C301" t="s">
        <v>632</v>
      </c>
      <c r="D301">
        <v>0.017561598637645</v>
      </c>
      <c r="E301">
        <v>-0.01868317830326904</v>
      </c>
      <c r="F301">
        <v>0.08500000000000001</v>
      </c>
      <c r="G301">
        <v>0.08404224134125959</v>
      </c>
      <c r="H301" t="s">
        <v>372</v>
      </c>
      <c r="I301" t="s">
        <v>446</v>
      </c>
    </row>
    <row r="302" spans="1:9">
      <c r="A302" s="1" t="s">
        <v>309</v>
      </c>
      <c r="B302">
        <f>HYPERLINK("https://www.suredividend.com/sure-analysis-WPC/","W.P. Carey, Inc.")</f>
        <v>0</v>
      </c>
      <c r="C302" t="s">
        <v>634</v>
      </c>
      <c r="D302">
        <v>0.06387949584998401</v>
      </c>
      <c r="E302">
        <v>-0.006414378408557631</v>
      </c>
      <c r="F302">
        <v>0.035</v>
      </c>
      <c r="G302">
        <v>0.08299321252955205</v>
      </c>
      <c r="H302" t="s">
        <v>372</v>
      </c>
      <c r="I302" t="s">
        <v>636</v>
      </c>
    </row>
    <row r="303" spans="1:9">
      <c r="A303" s="1" t="s">
        <v>310</v>
      </c>
      <c r="B303">
        <f>HYPERLINK("https://www.suredividend.com/sure-analysis-LAZ/","Lazard Ltd.")</f>
        <v>0</v>
      </c>
      <c r="C303" t="s">
        <v>632</v>
      </c>
      <c r="D303">
        <v>0.06031440487648301</v>
      </c>
      <c r="E303">
        <v>-0.02122189483298853</v>
      </c>
      <c r="F303">
        <v>0.05</v>
      </c>
      <c r="G303">
        <v>0.08250960346735647</v>
      </c>
      <c r="H303" t="s">
        <v>372</v>
      </c>
      <c r="I303" t="s">
        <v>637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632</v>
      </c>
      <c r="D304">
        <v>0.006546644844517001</v>
      </c>
      <c r="E304">
        <v>-0.02081602835928542</v>
      </c>
      <c r="F304">
        <v>0.1</v>
      </c>
      <c r="G304">
        <v>0.08192299499689182</v>
      </c>
      <c r="H304" t="s">
        <v>372</v>
      </c>
      <c r="I304" t="s">
        <v>586</v>
      </c>
    </row>
    <row r="305" spans="1:9">
      <c r="A305" s="1" t="s">
        <v>312</v>
      </c>
      <c r="B305">
        <f>HYPERLINK("https://www.suredividend.com/sure-analysis-JACK/","Jack in the Box, Inc.")</f>
        <v>0</v>
      </c>
      <c r="C305" t="s">
        <v>632</v>
      </c>
      <c r="D305">
        <v>0.014955134596211</v>
      </c>
      <c r="E305">
        <v>-0.01079902795085952</v>
      </c>
      <c r="F305">
        <v>0.08</v>
      </c>
      <c r="G305">
        <v>0.08168771446187728</v>
      </c>
      <c r="H305" t="s">
        <v>372</v>
      </c>
      <c r="I305" t="s">
        <v>586</v>
      </c>
    </row>
    <row r="306" spans="1:9">
      <c r="A306" s="1" t="s">
        <v>313</v>
      </c>
      <c r="B306">
        <f>HYPERLINK("https://www.suredividend.com/sure-analysis-EXC/","Exelon Corp.")</f>
        <v>0</v>
      </c>
      <c r="C306" t="s">
        <v>632</v>
      </c>
      <c r="D306">
        <v>0.04194819819819801</v>
      </c>
      <c r="E306">
        <v>0.02404114574123795</v>
      </c>
      <c r="F306">
        <v>0.02</v>
      </c>
      <c r="G306">
        <v>0.08039840353238303</v>
      </c>
      <c r="H306" t="s">
        <v>372</v>
      </c>
      <c r="I306" t="s">
        <v>372</v>
      </c>
    </row>
    <row r="307" spans="1:9">
      <c r="A307" s="1" t="s">
        <v>314</v>
      </c>
      <c r="B307">
        <f>HYPERLINK("https://www.suredividend.com/sure-analysis-UMBF/","UMB Financial Corp.")</f>
        <v>0</v>
      </c>
      <c r="C307" t="s">
        <v>632</v>
      </c>
      <c r="D307">
        <v>0.02583490863264</v>
      </c>
      <c r="E307">
        <v>-0.002575721421754884</v>
      </c>
      <c r="F307">
        <v>0.06</v>
      </c>
      <c r="G307">
        <v>0.07916482481956089</v>
      </c>
      <c r="H307" t="s">
        <v>372</v>
      </c>
      <c r="I307" t="s">
        <v>446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632</v>
      </c>
      <c r="D308">
        <v>0.027497160166603</v>
      </c>
      <c r="E308">
        <v>0.0325679921387001</v>
      </c>
      <c r="F308">
        <v>0.03</v>
      </c>
      <c r="G308">
        <v>0.07850712604902976</v>
      </c>
      <c r="H308" t="s">
        <v>372</v>
      </c>
      <c r="I308" t="s">
        <v>446</v>
      </c>
    </row>
    <row r="309" spans="1:9">
      <c r="A309" s="1" t="s">
        <v>316</v>
      </c>
      <c r="B309">
        <f>HYPERLINK("https://www.suredividend.com/sure-analysis-ASML/","ASML Holding NV")</f>
        <v>0</v>
      </c>
      <c r="C309" t="s">
        <v>632</v>
      </c>
      <c r="D309">
        <v>0.00728861517976</v>
      </c>
      <c r="E309">
        <v>-0.0465730293560761</v>
      </c>
      <c r="F309">
        <v>0.12</v>
      </c>
      <c r="G309">
        <v>0.07640139791208833</v>
      </c>
      <c r="H309" t="s">
        <v>372</v>
      </c>
      <c r="I309" t="s">
        <v>586</v>
      </c>
    </row>
    <row r="310" spans="1:9">
      <c r="A310" s="1" t="s">
        <v>317</v>
      </c>
      <c r="B310">
        <f>HYPERLINK("https://www.suredividend.com/sure-analysis-GEF/","Greif, Inc.")</f>
        <v>0</v>
      </c>
      <c r="C310" t="s">
        <v>632</v>
      </c>
      <c r="D310">
        <v>0.048970506399554</v>
      </c>
      <c r="E310">
        <v>0.005830336896247568</v>
      </c>
      <c r="F310">
        <v>0.03</v>
      </c>
      <c r="G310">
        <v>0.07589965042701863</v>
      </c>
      <c r="H310" t="s">
        <v>372</v>
      </c>
      <c r="I310" t="s">
        <v>637</v>
      </c>
    </row>
    <row r="311" spans="1:9">
      <c r="A311" s="1" t="s">
        <v>318</v>
      </c>
      <c r="B311">
        <f>HYPERLINK("https://www.suredividend.com/sure-analysis-WEYS/","Weyco Group, Inc.")</f>
        <v>0</v>
      </c>
      <c r="C311" t="s">
        <v>632</v>
      </c>
      <c r="D311">
        <v>0.06201550387596801</v>
      </c>
      <c r="E311">
        <v>0.006629851624153416</v>
      </c>
      <c r="F311">
        <v>0.01</v>
      </c>
      <c r="G311">
        <v>0.07505816343069238</v>
      </c>
      <c r="H311" t="s">
        <v>372</v>
      </c>
      <c r="I311" t="s">
        <v>636</v>
      </c>
    </row>
    <row r="312" spans="1:9">
      <c r="A312" s="1" t="s">
        <v>319</v>
      </c>
      <c r="B312">
        <f>HYPERLINK("https://www.suredividend.com/sure-analysis-TU/","TELUS Corp.")</f>
        <v>0</v>
      </c>
      <c r="C312" t="s">
        <v>632</v>
      </c>
      <c r="D312">
        <v>0.048335272792996</v>
      </c>
      <c r="E312">
        <v>-0.03365044421988528</v>
      </c>
      <c r="F312">
        <v>0.07000000000000001</v>
      </c>
      <c r="G312">
        <v>0.07485656563632093</v>
      </c>
      <c r="H312" t="s">
        <v>372</v>
      </c>
      <c r="I312" t="s">
        <v>372</v>
      </c>
    </row>
    <row r="313" spans="1:9">
      <c r="A313" s="1" t="s">
        <v>320</v>
      </c>
      <c r="B313">
        <f>HYPERLINK("https://www.suredividend.com/sure-analysis-SO/","The Southern Co.")</f>
        <v>0</v>
      </c>
      <c r="C313" t="s">
        <v>632</v>
      </c>
      <c r="D313">
        <v>0.046831443969522</v>
      </c>
      <c r="E313">
        <v>-0.006819760148959797</v>
      </c>
      <c r="F313">
        <v>0.04</v>
      </c>
      <c r="G313">
        <v>0.07469743252327232</v>
      </c>
      <c r="H313" t="s">
        <v>372</v>
      </c>
      <c r="I313" t="s">
        <v>637</v>
      </c>
    </row>
    <row r="314" spans="1:9">
      <c r="A314" s="1" t="s">
        <v>321</v>
      </c>
      <c r="B314">
        <f>HYPERLINK("https://www.suredividend.com/sure-analysis-DUK/","Duke Energy Corp.")</f>
        <v>0</v>
      </c>
      <c r="C314" t="s">
        <v>632</v>
      </c>
      <c r="D314">
        <v>0.045834849036013</v>
      </c>
      <c r="E314">
        <v>-0.008560496166152953</v>
      </c>
      <c r="F314">
        <v>0.04</v>
      </c>
      <c r="G314">
        <v>0.07276055970066375</v>
      </c>
      <c r="H314" t="s">
        <v>372</v>
      </c>
      <c r="I314" t="s">
        <v>637</v>
      </c>
    </row>
    <row r="315" spans="1:9">
      <c r="A315" s="1" t="s">
        <v>322</v>
      </c>
      <c r="B315">
        <f>HYPERLINK("https://www.suredividend.com/sure-analysis-PDCO/","Patterson Cos., Inc.")</f>
        <v>0</v>
      </c>
      <c r="C315" t="s">
        <v>632</v>
      </c>
      <c r="D315">
        <v>0.04431188751597701</v>
      </c>
      <c r="E315">
        <v>-0.004037585730462645</v>
      </c>
      <c r="F315">
        <v>0.04</v>
      </c>
      <c r="G315">
        <v>0.07171807501044358</v>
      </c>
      <c r="H315" t="s">
        <v>372</v>
      </c>
      <c r="I315" t="s">
        <v>637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632</v>
      </c>
      <c r="D316">
        <v>0.027435128660845</v>
      </c>
      <c r="E316">
        <v>-0.03374504915458532</v>
      </c>
      <c r="F316">
        <v>0.08</v>
      </c>
      <c r="G316">
        <v>0.06911080318110052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632</v>
      </c>
      <c r="D317">
        <v>0.032847326964974</v>
      </c>
      <c r="E317">
        <v>0.007690421250390989</v>
      </c>
      <c r="F317">
        <v>0.03</v>
      </c>
      <c r="G317">
        <v>0.0671133604549794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HYPERLINK("https://www.suredividend.com/sure-analysis-RELX/","RELX Plc")</f>
        <v>0</v>
      </c>
      <c r="C318" t="s">
        <v>632</v>
      </c>
      <c r="D318">
        <v>0.025871428571428</v>
      </c>
      <c r="E318">
        <v>-0.02118420893632789</v>
      </c>
      <c r="F318">
        <v>0.06</v>
      </c>
      <c r="G318">
        <v>0.06496057193975568</v>
      </c>
      <c r="H318" t="s">
        <v>372</v>
      </c>
      <c r="I318" t="s">
        <v>446</v>
      </c>
    </row>
    <row r="319" spans="1:9">
      <c r="A319" s="1" t="s">
        <v>326</v>
      </c>
      <c r="B319">
        <f>HYPERLINK("https://www.suredividend.com/sure-analysis-CAT/","Caterpillar, Inc.")</f>
        <v>0</v>
      </c>
      <c r="C319" t="s">
        <v>632</v>
      </c>
      <c r="D319">
        <v>0.028236584195737</v>
      </c>
      <c r="E319">
        <v>-0.03834512463179651</v>
      </c>
      <c r="F319">
        <v>0.08</v>
      </c>
      <c r="G319">
        <v>0.06491813137619551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HYPERLINK("https://www.suredividend.com/sure-analysis-TPR/","Tapestry, Inc.")</f>
        <v>0</v>
      </c>
      <c r="C320" t="s">
        <v>632</v>
      </c>
      <c r="D320">
        <v>0.041259168704156</v>
      </c>
      <c r="E320">
        <v>-0.004440234666738152</v>
      </c>
      <c r="F320">
        <v>0.05</v>
      </c>
      <c r="G320">
        <v>0.06219034044092853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634</v>
      </c>
      <c r="D321">
        <v>0.04137346333192</v>
      </c>
      <c r="E321">
        <v>-0.03442180487989621</v>
      </c>
      <c r="F321">
        <v>0.061</v>
      </c>
      <c r="G321">
        <v>0.06200314063451939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HYPERLINK("https://www.suredividend.com/sure-analysis-PSA/","Public Storage")</f>
        <v>0</v>
      </c>
      <c r="C322" t="s">
        <v>634</v>
      </c>
      <c r="D322">
        <v>0.036618299995422</v>
      </c>
      <c r="E322">
        <v>-0.0031970140742692</v>
      </c>
      <c r="F322">
        <v>0.03</v>
      </c>
      <c r="G322">
        <v>0.06102916215326482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HYPERLINK("https://www.suredividend.com/sure-analysis-DEA/","Easterly Government Properties, Inc.")</f>
        <v>0</v>
      </c>
      <c r="C323" t="s">
        <v>634</v>
      </c>
      <c r="D323">
        <v>0.04595669465311501</v>
      </c>
      <c r="E323">
        <v>-0.02440607267931794</v>
      </c>
      <c r="F323">
        <v>0.034</v>
      </c>
      <c r="G323">
        <v>0.05606319931758175</v>
      </c>
      <c r="H323" t="s">
        <v>372</v>
      </c>
      <c r="I323" t="s">
        <v>372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632</v>
      </c>
      <c r="D324">
        <v>0.058066535048503</v>
      </c>
      <c r="E324">
        <v>-0.03676880648773395</v>
      </c>
      <c r="F324">
        <v>0.032</v>
      </c>
      <c r="G324">
        <v>0.04936176403807391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HYPERLINK("https://www.suredividend.com/sure-analysis-DOC/","Physicians Realty Trust")</f>
        <v>0</v>
      </c>
      <c r="C325" t="s">
        <v>634</v>
      </c>
      <c r="D325">
        <v>0.052843193566915</v>
      </c>
      <c r="E325">
        <v>-0.01674934971544617</v>
      </c>
      <c r="F325">
        <v>0.017</v>
      </c>
      <c r="G325">
        <v>0.04797891256949649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HYPERLINK("https://www.suredividend.com/sure-analysis-MAR/","Marriott International, Inc.")</f>
        <v>0</v>
      </c>
      <c r="C326" t="s">
        <v>632</v>
      </c>
      <c r="D326">
        <v>0.010323690719432</v>
      </c>
      <c r="E326">
        <v>-0.03454581154684999</v>
      </c>
      <c r="F326">
        <v>0.08</v>
      </c>
      <c r="G326">
        <v>0.04702139764758795</v>
      </c>
      <c r="H326" t="s">
        <v>372</v>
      </c>
      <c r="I326" t="s">
        <v>586</v>
      </c>
    </row>
    <row r="327" spans="1:9">
      <c r="A327" s="1" t="s">
        <v>334</v>
      </c>
      <c r="B327">
        <f>HYPERLINK("https://www.suredividend.com/sure-analysis-CAG/","Conagra Brands, Inc.")</f>
        <v>0</v>
      </c>
      <c r="C327" t="s">
        <v>632</v>
      </c>
      <c r="D327">
        <v>0.024202733485193</v>
      </c>
      <c r="E327">
        <v>-0.01843493217443526</v>
      </c>
      <c r="F327">
        <v>0.04</v>
      </c>
      <c r="G327">
        <v>0.04459182574057352</v>
      </c>
      <c r="H327" t="s">
        <v>372</v>
      </c>
      <c r="I327" t="s">
        <v>446</v>
      </c>
    </row>
    <row r="328" spans="1:9">
      <c r="A328" s="1" t="s">
        <v>335</v>
      </c>
      <c r="B328">
        <f>HYPERLINK("https://www.suredividend.com/sure-analysis-WDC/","Western Digital Corp.")</f>
        <v>0</v>
      </c>
      <c r="C328" t="s">
        <v>632</v>
      </c>
      <c r="D328">
        <v>0.03899142188718401</v>
      </c>
      <c r="E328">
        <v>-0.02440100075946594</v>
      </c>
      <c r="F328">
        <v>0.07000000000000001</v>
      </c>
      <c r="G328">
        <v>0.04389092918737147</v>
      </c>
      <c r="H328" t="s">
        <v>372</v>
      </c>
      <c r="I328" t="s">
        <v>446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0.025086755349913</v>
      </c>
      <c r="E329">
        <v>-0.06470191989437901</v>
      </c>
      <c r="F329">
        <v>0.08</v>
      </c>
      <c r="G329">
        <v>0.04081769823637615</v>
      </c>
      <c r="H329" t="s">
        <v>372</v>
      </c>
      <c r="I329" t="s">
        <v>446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0.029549490299243</v>
      </c>
      <c r="E330">
        <v>-0.03842155898708166</v>
      </c>
      <c r="F330">
        <v>0.05</v>
      </c>
      <c r="G330">
        <v>0.04020099162209445</v>
      </c>
      <c r="H330" t="s">
        <v>372</v>
      </c>
      <c r="I330" t="s">
        <v>372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634</v>
      </c>
      <c r="D331">
        <v>0.029218972234246</v>
      </c>
      <c r="E331">
        <v>-0.05019461574937578</v>
      </c>
      <c r="F331">
        <v>0.06</v>
      </c>
      <c r="G331">
        <v>0.04006645484934257</v>
      </c>
      <c r="H331" t="s">
        <v>372</v>
      </c>
      <c r="I331" t="s">
        <v>446</v>
      </c>
    </row>
    <row r="332" spans="1:9">
      <c r="A332" s="1" t="s">
        <v>339</v>
      </c>
      <c r="B332">
        <f>HYPERLINK("https://www.suredividend.com/sure-analysis-ERIC/","Telefonaktiebolaget LM Ericsson")</f>
        <v>0</v>
      </c>
      <c r="C332" t="s">
        <v>632</v>
      </c>
      <c r="D332">
        <v>0.007127862595419</v>
      </c>
      <c r="E332">
        <v>-0.04557158195390565</v>
      </c>
      <c r="F332">
        <v>0.08</v>
      </c>
      <c r="G332">
        <v>0.03892396215726301</v>
      </c>
      <c r="H332" t="s">
        <v>372</v>
      </c>
      <c r="I332" t="s">
        <v>586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633</v>
      </c>
      <c r="D333">
        <v>0.04373732136889701</v>
      </c>
      <c r="E333">
        <v>-0.05728329153951406</v>
      </c>
      <c r="F333">
        <v>0.06</v>
      </c>
      <c r="G333">
        <v>0.03782637007277212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632</v>
      </c>
      <c r="D334">
        <v>0.016499835001649</v>
      </c>
      <c r="E334">
        <v>-0.02892762437929486</v>
      </c>
      <c r="F334">
        <v>0.05</v>
      </c>
      <c r="G334">
        <v>0.03675787015208187</v>
      </c>
      <c r="H334" t="s">
        <v>372</v>
      </c>
      <c r="I334" t="s">
        <v>586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632</v>
      </c>
      <c r="D335">
        <v>0.03245176110260301</v>
      </c>
      <c r="E335">
        <v>-0.04088090441454717</v>
      </c>
      <c r="F335">
        <v>0.045</v>
      </c>
      <c r="G335">
        <v>0.0366351736920334</v>
      </c>
      <c r="H335" t="s">
        <v>372</v>
      </c>
      <c r="I335" t="s">
        <v>446</v>
      </c>
    </row>
    <row r="336" spans="1:9">
      <c r="A336" s="1" t="s">
        <v>343</v>
      </c>
      <c r="B336">
        <f>HYPERLINK("https://www.suredividend.com/sure-analysis-PAYX/","Paychex, Inc.")</f>
        <v>0</v>
      </c>
      <c r="C336" t="s">
        <v>632</v>
      </c>
      <c r="D336">
        <v>0.031917631917631</v>
      </c>
      <c r="E336">
        <v>-0.05680520607844586</v>
      </c>
      <c r="F336">
        <v>0.06</v>
      </c>
      <c r="G336">
        <v>0.03440754366276066</v>
      </c>
      <c r="H336" t="s">
        <v>372</v>
      </c>
      <c r="I336" t="s">
        <v>446</v>
      </c>
    </row>
    <row r="337" spans="1:9">
      <c r="A337" s="1" t="s">
        <v>344</v>
      </c>
      <c r="B337">
        <f>HYPERLINK("https://www.suredividend.com/sure-analysis-CME/","CME Group, Inc.")</f>
        <v>0</v>
      </c>
      <c r="C337" t="s">
        <v>632</v>
      </c>
      <c r="D337">
        <v>0.019186952872047</v>
      </c>
      <c r="E337">
        <v>-0.03440098685340587</v>
      </c>
      <c r="F337">
        <v>0.043</v>
      </c>
      <c r="G337">
        <v>0.029282488290439</v>
      </c>
      <c r="H337" t="s">
        <v>372</v>
      </c>
      <c r="I337" t="s">
        <v>446</v>
      </c>
    </row>
    <row r="338" spans="1:9">
      <c r="A338" s="1" t="s">
        <v>345</v>
      </c>
      <c r="B338">
        <f>HYPERLINK("https://www.suredividend.com/sure-analysis-CMI/","Cummins, Inc.")</f>
        <v>0</v>
      </c>
      <c r="C338" t="s">
        <v>632</v>
      </c>
      <c r="D338">
        <v>0.025135407180175</v>
      </c>
      <c r="E338">
        <v>-0.0753689552245328</v>
      </c>
      <c r="F338">
        <v>0.08</v>
      </c>
      <c r="G338">
        <v>0.02633226566703661</v>
      </c>
      <c r="H338" t="s">
        <v>372</v>
      </c>
      <c r="I338" t="s">
        <v>446</v>
      </c>
    </row>
    <row r="339" spans="1:9">
      <c r="A339" s="1" t="s">
        <v>346</v>
      </c>
      <c r="B339">
        <f>HYPERLINK("https://www.suredividend.com/sure-analysis-NEM/","Newmont Corp.")</f>
        <v>0</v>
      </c>
      <c r="C339" t="s">
        <v>632</v>
      </c>
      <c r="D339">
        <v>0.010908498860306</v>
      </c>
      <c r="E339">
        <v>-0.04030763779805646</v>
      </c>
      <c r="F339">
        <v>0.05</v>
      </c>
      <c r="G339">
        <v>0.02489820059509995</v>
      </c>
      <c r="H339" t="s">
        <v>372</v>
      </c>
      <c r="I339" t="s">
        <v>586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634</v>
      </c>
      <c r="D340">
        <v>0.030981551894099</v>
      </c>
      <c r="E340">
        <v>-0.08517425754445418</v>
      </c>
      <c r="F340">
        <v>0.08</v>
      </c>
      <c r="G340">
        <v>0.02475608212656311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632</v>
      </c>
      <c r="D341">
        <v>0.032889597449182</v>
      </c>
      <c r="E341">
        <v>-0.05408832040812528</v>
      </c>
      <c r="F341">
        <v>0.05</v>
      </c>
      <c r="G341">
        <v>0.02443969686721514</v>
      </c>
      <c r="H341" t="s">
        <v>372</v>
      </c>
      <c r="I341" t="s">
        <v>372</v>
      </c>
    </row>
    <row r="342" spans="1:9">
      <c r="A342" s="1" t="s">
        <v>349</v>
      </c>
      <c r="B342">
        <f>HYPERLINK("https://www.suredividend.com/sure-analysis-V/","Visa, Inc.")</f>
        <v>0</v>
      </c>
      <c r="C342" t="s">
        <v>632</v>
      </c>
      <c r="D342">
        <v>0.005830164765525001</v>
      </c>
      <c r="E342">
        <v>-0.1102353761222159</v>
      </c>
      <c r="F342">
        <v>0.14</v>
      </c>
      <c r="G342">
        <v>0.02287126941835527</v>
      </c>
      <c r="H342" t="s">
        <v>372</v>
      </c>
      <c r="I342" t="s">
        <v>586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632</v>
      </c>
      <c r="D343">
        <v>0.008507389431204</v>
      </c>
      <c r="E343">
        <v>-0.06504953459375695</v>
      </c>
      <c r="F343">
        <v>0.08</v>
      </c>
      <c r="G343">
        <v>0.02046226371694382</v>
      </c>
      <c r="H343" t="s">
        <v>372</v>
      </c>
      <c r="I343" t="s">
        <v>586</v>
      </c>
    </row>
    <row r="344" spans="1:9">
      <c r="A344" s="1" t="s">
        <v>351</v>
      </c>
      <c r="B344">
        <f>HYPERLINK("https://www.suredividend.com/sure-analysis-EMN/","Eastman Chemical Co.")</f>
        <v>0</v>
      </c>
      <c r="C344" t="s">
        <v>632</v>
      </c>
      <c r="D344">
        <v>0.033635187580853</v>
      </c>
      <c r="E344">
        <v>-0.06580693468851317</v>
      </c>
      <c r="F344">
        <v>0.05</v>
      </c>
      <c r="G344">
        <v>0.02040322419600349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HYPERLINK("https://www.suredividend.com/sure-analysis-SKM/","SK Telecom Co., Ltd.")</f>
        <v>0</v>
      </c>
      <c r="C345" t="s">
        <v>632</v>
      </c>
      <c r="D345">
        <v>0.041203281677301</v>
      </c>
      <c r="E345">
        <v>-0.07323221901642518</v>
      </c>
      <c r="F345">
        <v>0.05</v>
      </c>
      <c r="G345">
        <v>0.01933121461275245</v>
      </c>
      <c r="H345" t="s">
        <v>372</v>
      </c>
      <c r="I345" t="s">
        <v>637</v>
      </c>
    </row>
    <row r="346" spans="1:9">
      <c r="A346" s="1" t="s">
        <v>353</v>
      </c>
      <c r="B346">
        <f>HYPERLINK("https://www.suredividend.com/sure-analysis-NSRGY/","Nestlé SA")</f>
        <v>0</v>
      </c>
      <c r="C346" t="s">
        <v>632</v>
      </c>
      <c r="D346">
        <v>0.02332154584491</v>
      </c>
      <c r="E346">
        <v>-0.05396511651588487</v>
      </c>
      <c r="F346">
        <v>0.05</v>
      </c>
      <c r="G346">
        <v>0.01820285157770152</v>
      </c>
      <c r="H346" t="s">
        <v>372</v>
      </c>
      <c r="I346" t="s">
        <v>446</v>
      </c>
    </row>
    <row r="347" spans="1:9">
      <c r="A347" s="1" t="s">
        <v>354</v>
      </c>
      <c r="B347">
        <f>HYPERLINK("https://www.suredividend.com/sure-analysis-DNKN/","Dunkin' Brands Group, Inc.")</f>
        <v>0</v>
      </c>
      <c r="C347" t="s">
        <v>632</v>
      </c>
      <c r="D347">
        <v>0.014542586750788</v>
      </c>
      <c r="E347">
        <v>-0.0773110496754873</v>
      </c>
      <c r="F347">
        <v>0.08</v>
      </c>
      <c r="G347">
        <v>0.01540829004799882</v>
      </c>
      <c r="H347" t="s">
        <v>372</v>
      </c>
      <c r="I347" t="s">
        <v>586</v>
      </c>
    </row>
    <row r="348" spans="1:9">
      <c r="A348" s="1" t="s">
        <v>355</v>
      </c>
      <c r="B348">
        <f>HYPERLINK("https://www.suredividend.com/sure-analysis-MRVL/","Marvell Technology Group Ltd.")</f>
        <v>0</v>
      </c>
      <c r="C348" t="s">
        <v>632</v>
      </c>
      <c r="D348">
        <v>0.006307490144546001</v>
      </c>
      <c r="E348">
        <v>-0.1590831316041064</v>
      </c>
      <c r="F348">
        <v>0.2</v>
      </c>
      <c r="G348">
        <v>0.01511122344744598</v>
      </c>
      <c r="H348" t="s">
        <v>372</v>
      </c>
      <c r="I348" t="s">
        <v>586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632</v>
      </c>
      <c r="D349">
        <v>0.015323835747635</v>
      </c>
      <c r="E349">
        <v>-0.1011841553290159</v>
      </c>
      <c r="F349">
        <v>0.1</v>
      </c>
      <c r="G349">
        <v>0.01379717970864314</v>
      </c>
      <c r="H349" t="s">
        <v>372</v>
      </c>
      <c r="I349" t="s">
        <v>586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632</v>
      </c>
      <c r="D350">
        <v>0.005092592592592001</v>
      </c>
      <c r="E350">
        <v>-0.06121668690756277</v>
      </c>
      <c r="F350">
        <v>0.07000000000000001</v>
      </c>
      <c r="G350">
        <v>0.004498145008907883</v>
      </c>
      <c r="H350" t="s">
        <v>372</v>
      </c>
      <c r="I350" t="s">
        <v>586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632</v>
      </c>
      <c r="D351">
        <v>0.039266173157386</v>
      </c>
      <c r="E351">
        <v>-0.09367810980495084</v>
      </c>
      <c r="F351">
        <v>0.055</v>
      </c>
      <c r="G351">
        <v>0.004333798383251652</v>
      </c>
      <c r="H351" t="s">
        <v>372</v>
      </c>
      <c r="I351" t="s">
        <v>372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632</v>
      </c>
      <c r="D352">
        <v>0.014909378931183</v>
      </c>
      <c r="E352">
        <v>-0.08454345883348802</v>
      </c>
      <c r="F352">
        <v>0.075</v>
      </c>
      <c r="G352">
        <v>0.003476455968799419</v>
      </c>
      <c r="H352" t="s">
        <v>372</v>
      </c>
      <c r="I352" t="s">
        <v>586</v>
      </c>
    </row>
    <row r="353" spans="1:9">
      <c r="A353" s="1" t="s">
        <v>360</v>
      </c>
      <c r="B353">
        <f>HYPERLINK("https://www.suredividend.com/sure-analysis-TSM/","Taiwan Semiconductor Manufacturing Co., Ltd.")</f>
        <v>0</v>
      </c>
      <c r="C353" t="s">
        <v>632</v>
      </c>
      <c r="D353">
        <v>0.016940960953346</v>
      </c>
      <c r="E353">
        <v>-0.1061819465074419</v>
      </c>
      <c r="F353">
        <v>0.09</v>
      </c>
      <c r="G353">
        <v>0.002861324712975177</v>
      </c>
      <c r="H353" t="s">
        <v>372</v>
      </c>
      <c r="I353" t="s">
        <v>586</v>
      </c>
    </row>
    <row r="354" spans="1:9">
      <c r="A354" s="1" t="s">
        <v>361</v>
      </c>
      <c r="B354">
        <f>HYPERLINK("https://www.suredividend.com/sure-analysis-MA/","Mastercard, Inc.")</f>
        <v>0</v>
      </c>
      <c r="C354" t="s">
        <v>632</v>
      </c>
      <c r="D354">
        <v>0.004611489541262</v>
      </c>
      <c r="E354">
        <v>-0.1368040693314978</v>
      </c>
      <c r="F354">
        <v>0.15</v>
      </c>
      <c r="G354">
        <v>0.0002629240235414443</v>
      </c>
      <c r="H354" t="s">
        <v>372</v>
      </c>
      <c r="I354" t="s">
        <v>586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632</v>
      </c>
      <c r="D355">
        <v>0.017828609873013</v>
      </c>
      <c r="E355">
        <v>-0.1165289580010117</v>
      </c>
      <c r="F355">
        <v>0.1</v>
      </c>
      <c r="G355">
        <v>-0.004148212834629628</v>
      </c>
      <c r="H355" t="s">
        <v>372</v>
      </c>
      <c r="I355" t="s">
        <v>586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0.009667447523161002</v>
      </c>
      <c r="E356">
        <v>-0.02826847018696077</v>
      </c>
      <c r="F356">
        <v>0</v>
      </c>
      <c r="G356">
        <v>-0.01407695755922744</v>
      </c>
      <c r="H356" t="s">
        <v>372</v>
      </c>
      <c r="I356" t="s">
        <v>586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632</v>
      </c>
      <c r="D357">
        <v>0.01085726004922</v>
      </c>
      <c r="E357">
        <v>-0.1181759682064192</v>
      </c>
      <c r="F357">
        <v>0.07000000000000001</v>
      </c>
      <c r="G357">
        <v>-0.03842506673669477</v>
      </c>
      <c r="H357" t="s">
        <v>372</v>
      </c>
      <c r="I357" t="s">
        <v>586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0.005324877038571</v>
      </c>
      <c r="E358">
        <v>-0.06233724727729906</v>
      </c>
      <c r="F358">
        <v>0.017</v>
      </c>
      <c r="G358">
        <v>-0.0404026975765992</v>
      </c>
      <c r="H358" t="s">
        <v>372</v>
      </c>
      <c r="I358" t="s">
        <v>586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0.018873023329167</v>
      </c>
      <c r="E359">
        <v>-0.1120668079333828</v>
      </c>
      <c r="F359">
        <v>0.05</v>
      </c>
      <c r="G359">
        <v>-0.04159857366137243</v>
      </c>
      <c r="H359" t="s">
        <v>372</v>
      </c>
      <c r="I359" t="s">
        <v>446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632</v>
      </c>
      <c r="D360">
        <v>0.029772866789441</v>
      </c>
      <c r="E360">
        <v>-0.05929807585352664</v>
      </c>
      <c r="F360">
        <v>0.01</v>
      </c>
      <c r="G360">
        <v>-0.04989105661206183</v>
      </c>
      <c r="H360" t="s">
        <v>372</v>
      </c>
      <c r="I360" t="s">
        <v>446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0.006234482758620001</v>
      </c>
      <c r="E361">
        <v>-0.1385222061531318</v>
      </c>
      <c r="F361">
        <v>0.075</v>
      </c>
      <c r="G361">
        <v>-0.06276125557943069</v>
      </c>
      <c r="H361" t="s">
        <v>372</v>
      </c>
      <c r="I361" t="s">
        <v>586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0.008037453441359001</v>
      </c>
      <c r="E362">
        <v>-0.06254100687152764</v>
      </c>
      <c r="F362">
        <v>-0.05</v>
      </c>
      <c r="G362">
        <v>-0.09663238206490277</v>
      </c>
      <c r="H362" t="s">
        <v>372</v>
      </c>
      <c r="I362" t="s">
        <v>586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0.000491159135559</v>
      </c>
      <c r="E363">
        <v>-0.1342918936753242</v>
      </c>
      <c r="F363">
        <v>0.04</v>
      </c>
      <c r="G363">
        <v>-0.09891732173401324</v>
      </c>
      <c r="H363" t="s">
        <v>372</v>
      </c>
      <c r="I363" t="s">
        <v>586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0.178926380368098</v>
      </c>
      <c r="E364">
        <v>0.2753665346890597</v>
      </c>
      <c r="F364">
        <v>0.03</v>
      </c>
      <c r="G364">
        <v>0.3136275307297316</v>
      </c>
      <c r="H364" t="s">
        <v>446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0.048548310328415</v>
      </c>
      <c r="E365">
        <v>0.1010589537549518</v>
      </c>
      <c r="F365">
        <v>0.06</v>
      </c>
      <c r="G365">
        <v>0.198556010651892</v>
      </c>
      <c r="H365" t="s">
        <v>446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0.03112840466926</v>
      </c>
      <c r="E366">
        <v>-0.07397868125146245</v>
      </c>
      <c r="F366">
        <v>0.25</v>
      </c>
      <c r="G366">
        <v>0.1900064204877914</v>
      </c>
      <c r="H366" t="s">
        <v>446</v>
      </c>
      <c r="I366" t="s">
        <v>446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632</v>
      </c>
      <c r="D367">
        <v>0.032514317384075</v>
      </c>
      <c r="E367">
        <v>0.0702250526054784</v>
      </c>
      <c r="F367">
        <v>0.07000000000000001</v>
      </c>
      <c r="G367">
        <v>0.1669205861682024</v>
      </c>
      <c r="H367" t="s">
        <v>446</v>
      </c>
      <c r="I367" t="s">
        <v>446</v>
      </c>
    </row>
    <row r="368" spans="1:9">
      <c r="A368" s="1" t="s">
        <v>375</v>
      </c>
      <c r="B368">
        <f>HYPERLINK("https://www.suredividend.com/sure-analysis-TRGP/","Targa Resources Corp.")</f>
        <v>0</v>
      </c>
      <c r="C368" t="s">
        <v>632</v>
      </c>
      <c r="D368">
        <v>0.142655367231638</v>
      </c>
      <c r="E368">
        <v>0.1112956072698328</v>
      </c>
      <c r="F368">
        <v>0.03</v>
      </c>
      <c r="G368">
        <v>0.1658443318226668</v>
      </c>
      <c r="H368" t="s">
        <v>446</v>
      </c>
      <c r="I368" t="s">
        <v>636</v>
      </c>
    </row>
    <row r="369" spans="1:9">
      <c r="A369" s="1" t="s">
        <v>376</v>
      </c>
      <c r="B369">
        <f>HYPERLINK("https://www.suredividend.com/sure-analysis-CHRRF/","Chorus Aviation, Inc.")</f>
        <v>0</v>
      </c>
      <c r="C369" t="s">
        <v>632</v>
      </c>
      <c r="D369">
        <v>0.143712574850299</v>
      </c>
      <c r="E369">
        <v>0.06703607300034653</v>
      </c>
      <c r="F369">
        <v>0.05</v>
      </c>
      <c r="G369">
        <v>0.1638395526564984</v>
      </c>
      <c r="H369" t="s">
        <v>446</v>
      </c>
      <c r="I369" t="s">
        <v>637</v>
      </c>
    </row>
    <row r="370" spans="1:9">
      <c r="A370" s="1" t="s">
        <v>377</v>
      </c>
      <c r="B370">
        <f>HYPERLINK("https://www.suredividend.com/sure-analysis-BRX/","Brixmor Property Group, Inc.")</f>
        <v>0</v>
      </c>
      <c r="C370" t="s">
        <v>634</v>
      </c>
      <c r="D370">
        <v>0.07456140350877101</v>
      </c>
      <c r="E370">
        <v>-0.02586526421769075</v>
      </c>
      <c r="F370">
        <v>0.147</v>
      </c>
      <c r="G370">
        <v>0.1625204088479322</v>
      </c>
      <c r="H370" t="s">
        <v>446</v>
      </c>
      <c r="I370" t="s">
        <v>372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632</v>
      </c>
      <c r="D371">
        <v>0.06319385140905201</v>
      </c>
      <c r="E371">
        <v>0.07740355760763196</v>
      </c>
      <c r="F371">
        <v>0.04</v>
      </c>
      <c r="G371">
        <v>0.1624008714163074</v>
      </c>
      <c r="H371" t="s">
        <v>446</v>
      </c>
      <c r="I371" t="s">
        <v>372</v>
      </c>
    </row>
    <row r="372" spans="1:9">
      <c r="A372" s="1" t="s">
        <v>379</v>
      </c>
      <c r="B372">
        <f>HYPERLINK("https://www.suredividend.com/sure-analysis-TEF/","Telefónica SA")</f>
        <v>0</v>
      </c>
      <c r="C372" t="s">
        <v>632</v>
      </c>
      <c r="D372">
        <v>0.126436781609195</v>
      </c>
      <c r="E372">
        <v>0.06194915283376856</v>
      </c>
      <c r="F372">
        <v>0.018</v>
      </c>
      <c r="G372">
        <v>0.1609290137040007</v>
      </c>
      <c r="H372" t="s">
        <v>446</v>
      </c>
      <c r="I372" t="s">
        <v>637</v>
      </c>
    </row>
    <row r="373" spans="1:9">
      <c r="A373" s="1" t="s">
        <v>380</v>
      </c>
      <c r="B373">
        <f>HYPERLINK("https://www.suredividend.com/sure-analysis-TFC/","Truist Financial Corp.")</f>
        <v>0</v>
      </c>
      <c r="C373" t="s">
        <v>632</v>
      </c>
      <c r="D373">
        <v>0.049764998617638</v>
      </c>
      <c r="E373">
        <v>0.04465479252582805</v>
      </c>
      <c r="F373">
        <v>0.07000000000000001</v>
      </c>
      <c r="G373">
        <v>0.1525653388168977</v>
      </c>
      <c r="H373" t="s">
        <v>446</v>
      </c>
      <c r="I373" t="s">
        <v>372</v>
      </c>
    </row>
    <row r="374" spans="1:9">
      <c r="A374" s="1" t="s">
        <v>381</v>
      </c>
      <c r="B374">
        <f>HYPERLINK("https://www.suredividend.com/sure-analysis-CHL/","China Mobile Ltd.")</f>
        <v>0</v>
      </c>
      <c r="C374" t="s">
        <v>632</v>
      </c>
      <c r="D374">
        <v>0.057742586365025</v>
      </c>
      <c r="E374">
        <v>0.07518565826649515</v>
      </c>
      <c r="F374">
        <v>0.028</v>
      </c>
      <c r="G374">
        <v>0.1476082616233407</v>
      </c>
      <c r="H374" t="s">
        <v>446</v>
      </c>
      <c r="I374" t="s">
        <v>637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632</v>
      </c>
      <c r="D375">
        <v>0.132673506200676</v>
      </c>
      <c r="E375">
        <v>0.05330669368924457</v>
      </c>
      <c r="F375">
        <v>0.03</v>
      </c>
      <c r="G375">
        <v>0.1459874025164059</v>
      </c>
      <c r="H375" t="s">
        <v>446</v>
      </c>
      <c r="I375" t="s">
        <v>637</v>
      </c>
    </row>
    <row r="376" spans="1:9">
      <c r="A376" s="1" t="s">
        <v>383</v>
      </c>
      <c r="B376">
        <f>HYPERLINK("https://www.suredividend.com/sure-analysis-NYCB/","New York Community Bancorp, Inc.")</f>
        <v>0</v>
      </c>
      <c r="C376" t="s">
        <v>632</v>
      </c>
      <c r="D376">
        <v>0.08272506082725001</v>
      </c>
      <c r="E376">
        <v>0.03998155434076645</v>
      </c>
      <c r="F376">
        <v>0.05</v>
      </c>
      <c r="G376">
        <v>0.1447984698081366</v>
      </c>
      <c r="H376" t="s">
        <v>446</v>
      </c>
      <c r="I376" t="s">
        <v>637</v>
      </c>
    </row>
    <row r="377" spans="1:9">
      <c r="A377" s="1" t="s">
        <v>384</v>
      </c>
      <c r="B377">
        <f>HYPERLINK("https://www.suredividend.com/sure-analysis-GEO/","The GEO Group, Inc.")</f>
        <v>0</v>
      </c>
      <c r="C377" t="s">
        <v>634</v>
      </c>
      <c r="D377">
        <v>0.174863387978142</v>
      </c>
      <c r="E377">
        <v>0.01792500121884211</v>
      </c>
      <c r="F377">
        <v>0.03</v>
      </c>
      <c r="G377">
        <v>0.1444709614105573</v>
      </c>
      <c r="H377" t="s">
        <v>446</v>
      </c>
      <c r="I377" t="s">
        <v>637</v>
      </c>
    </row>
    <row r="378" spans="1:9">
      <c r="A378" s="1" t="s">
        <v>385</v>
      </c>
      <c r="B378">
        <f>HYPERLINK("https://www.suredividend.com/sure-analysis-EPR/","EPR Properties")</f>
        <v>0</v>
      </c>
      <c r="C378" t="s">
        <v>634</v>
      </c>
      <c r="D378">
        <v>0.112710280373831</v>
      </c>
      <c r="E378">
        <v>0.05523418397771729</v>
      </c>
      <c r="F378">
        <v>0.05</v>
      </c>
      <c r="G378">
        <v>0.1421390053612026</v>
      </c>
      <c r="H378" t="s">
        <v>446</v>
      </c>
      <c r="I378" t="s">
        <v>637</v>
      </c>
    </row>
    <row r="379" spans="1:9">
      <c r="A379" s="1" t="s">
        <v>386</v>
      </c>
      <c r="B379">
        <f>HYPERLINK("https://www.suredividend.com/sure-analysis-IVZ/","Invesco Ltd.")</f>
        <v>0</v>
      </c>
      <c r="C379" t="s">
        <v>632</v>
      </c>
      <c r="D379">
        <v>0.100370027752081</v>
      </c>
      <c r="E379">
        <v>0.08158052251833947</v>
      </c>
      <c r="F379">
        <v>0.02</v>
      </c>
      <c r="G379">
        <v>0.1420485142289742</v>
      </c>
      <c r="H379" t="s">
        <v>446</v>
      </c>
      <c r="I379" t="s">
        <v>637</v>
      </c>
    </row>
    <row r="380" spans="1:9">
      <c r="A380" s="1" t="s">
        <v>387</v>
      </c>
      <c r="B380">
        <f>HYPERLINK("https://www.suredividend.com/sure-analysis-SVC/","Service Properties Trust")</f>
        <v>0</v>
      </c>
      <c r="C380" t="s">
        <v>634</v>
      </c>
      <c r="D380">
        <v>0.146666666666666</v>
      </c>
      <c r="E380">
        <v>0.1162884154841741</v>
      </c>
      <c r="F380">
        <v>0.02</v>
      </c>
      <c r="G380">
        <v>0.1417698068009599</v>
      </c>
      <c r="H380" t="s">
        <v>446</v>
      </c>
      <c r="I380" t="s">
        <v>637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632</v>
      </c>
      <c r="D381">
        <v>0.04160887656033201</v>
      </c>
      <c r="E381">
        <v>0.04995458048368229</v>
      </c>
      <c r="F381">
        <v>0.06</v>
      </c>
      <c r="G381">
        <v>0.1399524967944255</v>
      </c>
      <c r="H381" t="s">
        <v>446</v>
      </c>
      <c r="I381" t="s">
        <v>372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634</v>
      </c>
      <c r="D382">
        <v>0.11953444479396</v>
      </c>
      <c r="E382">
        <v>0.05978966607306524</v>
      </c>
      <c r="F382">
        <v>0.019</v>
      </c>
      <c r="G382">
        <v>0.1387383659295314</v>
      </c>
      <c r="H382" t="s">
        <v>446</v>
      </c>
      <c r="I382" t="s">
        <v>637</v>
      </c>
    </row>
    <row r="383" spans="1:9">
      <c r="A383" s="1" t="s">
        <v>390</v>
      </c>
      <c r="B383">
        <f>HYPERLINK("https://www.suredividend.com/sure-analysis-IPPLF/","Inter Pipeline Ltd.")</f>
        <v>0</v>
      </c>
      <c r="C383" t="s">
        <v>632</v>
      </c>
      <c r="D383">
        <v>0.107678714791523</v>
      </c>
      <c r="E383">
        <v>0.07459964903519167</v>
      </c>
      <c r="F383">
        <v>0.03</v>
      </c>
      <c r="G383">
        <v>0.1385286990501111</v>
      </c>
      <c r="H383" t="s">
        <v>446</v>
      </c>
      <c r="I383" t="s">
        <v>637</v>
      </c>
    </row>
    <row r="384" spans="1:9">
      <c r="A384" s="1" t="s">
        <v>391</v>
      </c>
      <c r="B384">
        <f>HYPERLINK("https://www.suredividend.com/sure-analysis-TCP/","TC Pipelines LP")</f>
        <v>0</v>
      </c>
      <c r="C384" t="s">
        <v>633</v>
      </c>
      <c r="D384">
        <v>0.099884748367268</v>
      </c>
      <c r="E384">
        <v>0.03556533718454302</v>
      </c>
      <c r="F384">
        <v>0.03</v>
      </c>
      <c r="G384">
        <v>0.1373171342979458</v>
      </c>
      <c r="H384" t="s">
        <v>446</v>
      </c>
      <c r="I384" t="s">
        <v>637</v>
      </c>
    </row>
    <row r="385" spans="1:9">
      <c r="A385" s="1" t="s">
        <v>392</v>
      </c>
      <c r="B385">
        <f>HYPERLINK("https://www.suredividend.com/sure-analysis-FE/","FirstEnergy Corp.")</f>
        <v>0</v>
      </c>
      <c r="C385" t="s">
        <v>632</v>
      </c>
      <c r="D385">
        <v>0.053846153846153</v>
      </c>
      <c r="E385">
        <v>0.05848208693096568</v>
      </c>
      <c r="F385">
        <v>0.04</v>
      </c>
      <c r="G385">
        <v>0.1366864796876679</v>
      </c>
      <c r="H385" t="s">
        <v>446</v>
      </c>
      <c r="I385" t="s">
        <v>372</v>
      </c>
    </row>
    <row r="386" spans="1:9">
      <c r="A386" s="1" t="s">
        <v>393</v>
      </c>
      <c r="B386">
        <f>HYPERLINK("https://www.suredividend.com/sure-analysis-SPH/","Suburban Propane Partners LP")</f>
        <v>0</v>
      </c>
      <c r="C386" t="s">
        <v>633</v>
      </c>
      <c r="D386">
        <v>0.141796083727211</v>
      </c>
      <c r="E386">
        <v>0.06192779307652452</v>
      </c>
      <c r="F386">
        <v>0.02</v>
      </c>
      <c r="G386">
        <v>0.1365103830673993</v>
      </c>
      <c r="H386" t="s">
        <v>446</v>
      </c>
      <c r="I386" t="s">
        <v>637</v>
      </c>
    </row>
    <row r="387" spans="1:9">
      <c r="A387" s="1" t="s">
        <v>394</v>
      </c>
      <c r="B387">
        <f>HYPERLINK("https://www.suredividend.com/sure-analysis-NRZ/","New Residential Investment Corp.")</f>
        <v>0</v>
      </c>
      <c r="C387" t="s">
        <v>634</v>
      </c>
      <c r="D387">
        <v>0.145385587863463</v>
      </c>
      <c r="E387">
        <v>0.06817704385981327</v>
      </c>
      <c r="F387">
        <v>0.024</v>
      </c>
      <c r="G387">
        <v>0.1358154666513067</v>
      </c>
      <c r="H387" t="s">
        <v>446</v>
      </c>
      <c r="I387" t="s">
        <v>637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634</v>
      </c>
      <c r="D388">
        <v>0.067756315007429</v>
      </c>
      <c r="E388">
        <v>0.05509975352824203</v>
      </c>
      <c r="F388">
        <v>0.03</v>
      </c>
      <c r="G388">
        <v>0.1327845563825731</v>
      </c>
      <c r="H388" t="s">
        <v>446</v>
      </c>
      <c r="I388" t="s">
        <v>372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634</v>
      </c>
      <c r="D389">
        <v>0.048395123164966</v>
      </c>
      <c r="E389">
        <v>0.06859713178877391</v>
      </c>
      <c r="F389">
        <v>0.027</v>
      </c>
      <c r="G389">
        <v>0.130091401157977</v>
      </c>
      <c r="H389" t="s">
        <v>446</v>
      </c>
      <c r="I389" t="s">
        <v>372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634</v>
      </c>
      <c r="D390">
        <v>0.092970222389747</v>
      </c>
      <c r="E390">
        <v>0.03163219905139525</v>
      </c>
      <c r="F390">
        <v>0.025</v>
      </c>
      <c r="G390">
        <v>0.1250144293513062</v>
      </c>
      <c r="H390" t="s">
        <v>446</v>
      </c>
      <c r="I390" t="s">
        <v>637</v>
      </c>
    </row>
    <row r="391" spans="1:9">
      <c r="A391" s="1" t="s">
        <v>398</v>
      </c>
      <c r="B391">
        <f>HYPERLINK("https://www.suredividend.com/sure-analysis-OHI/","Omega Healthcare Investors, Inc.")</f>
        <v>0</v>
      </c>
      <c r="C391" t="s">
        <v>634</v>
      </c>
      <c r="D391">
        <v>0.08957219251336801</v>
      </c>
      <c r="E391">
        <v>0.03769131598252828</v>
      </c>
      <c r="F391">
        <v>0.02</v>
      </c>
      <c r="G391">
        <v>0.1235240562201978</v>
      </c>
      <c r="H391" t="s">
        <v>446</v>
      </c>
      <c r="I391" t="s">
        <v>637</v>
      </c>
    </row>
    <row r="392" spans="1:9">
      <c r="A392" s="1" t="s">
        <v>399</v>
      </c>
      <c r="B392">
        <f>HYPERLINK("https://www.suredividend.com/sure-analysis-CNA/","CNA Financial Corp.")</f>
        <v>0</v>
      </c>
      <c r="C392" t="s">
        <v>632</v>
      </c>
      <c r="D392">
        <v>0.048468529114776</v>
      </c>
      <c r="E392">
        <v>0.03915413428039649</v>
      </c>
      <c r="F392">
        <v>0.04</v>
      </c>
      <c r="G392">
        <v>0.119037022883741</v>
      </c>
      <c r="H392" t="s">
        <v>446</v>
      </c>
      <c r="I392" t="s">
        <v>372</v>
      </c>
    </row>
    <row r="393" spans="1:9">
      <c r="A393" s="1" t="s">
        <v>400</v>
      </c>
      <c r="B393">
        <f>HYPERLINK("https://www.suredividend.com/sure-analysis-UBA/","Urstadt Biddle Properties, Inc.")</f>
        <v>0</v>
      </c>
      <c r="C393" t="s">
        <v>634</v>
      </c>
      <c r="D393">
        <v>0.101914414414414</v>
      </c>
      <c r="E393">
        <v>0.04374869111319768</v>
      </c>
      <c r="F393">
        <v>0</v>
      </c>
      <c r="G393">
        <v>0.117964056544815</v>
      </c>
      <c r="H393" t="s">
        <v>446</v>
      </c>
      <c r="I393" t="s">
        <v>637</v>
      </c>
    </row>
    <row r="394" spans="1:9">
      <c r="A394" s="1" t="s">
        <v>401</v>
      </c>
      <c r="B394">
        <f>HYPERLINK("https://www.suredividend.com/sure-analysis-CWCO/","Consolidated Water Co. Ltd.")</f>
        <v>0</v>
      </c>
      <c r="C394" t="s">
        <v>632</v>
      </c>
      <c r="D394">
        <v>0.031539888682745</v>
      </c>
      <c r="E394">
        <v>0.06830312708380082</v>
      </c>
      <c r="F394">
        <v>0.023</v>
      </c>
      <c r="G394">
        <v>0.1179389179188595</v>
      </c>
      <c r="H394" t="s">
        <v>446</v>
      </c>
      <c r="I394" t="s">
        <v>446</v>
      </c>
    </row>
    <row r="395" spans="1:9">
      <c r="A395" s="1" t="s">
        <v>402</v>
      </c>
      <c r="B395">
        <f>HYPERLINK("https://www.suredividend.com/sure-analysis-HAS/","Hasbro, Inc.")</f>
        <v>0</v>
      </c>
      <c r="C395" t="s">
        <v>632</v>
      </c>
      <c r="D395">
        <v>0.035338443549434</v>
      </c>
      <c r="E395">
        <v>0.01025894969163854</v>
      </c>
      <c r="F395">
        <v>0.08</v>
      </c>
      <c r="G395">
        <v>0.1177839358302331</v>
      </c>
      <c r="H395" t="s">
        <v>446</v>
      </c>
      <c r="I395" t="s">
        <v>446</v>
      </c>
    </row>
    <row r="396" spans="1:9">
      <c r="A396" s="1" t="s">
        <v>403</v>
      </c>
      <c r="B396">
        <f>HYPERLINK("https://www.suredividend.com/sure-analysis-MGP/","MGM Growth Properties LLC")</f>
        <v>0</v>
      </c>
      <c r="C396" t="s">
        <v>634</v>
      </c>
      <c r="D396">
        <v>0.06797070382279301</v>
      </c>
      <c r="E396">
        <v>0.04571425713962407</v>
      </c>
      <c r="F396">
        <v>0.02</v>
      </c>
      <c r="G396">
        <v>0.1172935679289822</v>
      </c>
      <c r="H396" t="s">
        <v>446</v>
      </c>
      <c r="I396" t="s">
        <v>372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632</v>
      </c>
      <c r="D397">
        <v>0.04778156996587</v>
      </c>
      <c r="E397">
        <v>0.02612962226548166</v>
      </c>
      <c r="F397">
        <v>0.05</v>
      </c>
      <c r="G397">
        <v>0.1168401297628949</v>
      </c>
      <c r="H397" t="s">
        <v>446</v>
      </c>
      <c r="I397" t="s">
        <v>372</v>
      </c>
    </row>
    <row r="398" spans="1:9">
      <c r="A398" s="1" t="s">
        <v>405</v>
      </c>
      <c r="B398">
        <f>HYPERLINK("https://www.suredividend.com/sure-analysis-JPM/","JPMorgan Chase &amp; Co.")</f>
        <v>0</v>
      </c>
      <c r="C398" t="s">
        <v>632</v>
      </c>
      <c r="D398">
        <v>0.038515031560928</v>
      </c>
      <c r="E398">
        <v>0.02353668092540695</v>
      </c>
      <c r="F398">
        <v>0.06</v>
      </c>
      <c r="G398">
        <v>0.1163115800203192</v>
      </c>
      <c r="H398" t="s">
        <v>446</v>
      </c>
      <c r="I398" t="s">
        <v>446</v>
      </c>
    </row>
    <row r="399" spans="1:9">
      <c r="A399" s="1" t="s">
        <v>406</v>
      </c>
      <c r="B399">
        <f>HYPERLINK("https://www.suredividend.com/sure-analysis-SKT/","Tanger Factory Outlet Centers, Inc.")</f>
        <v>0</v>
      </c>
      <c r="C399" t="s">
        <v>634</v>
      </c>
      <c r="D399">
        <v>0.182478632478632</v>
      </c>
      <c r="E399">
        <v>0.06460088822882759</v>
      </c>
      <c r="F399">
        <v>0</v>
      </c>
      <c r="G399">
        <v>0.1160681533487329</v>
      </c>
      <c r="H399" t="s">
        <v>446</v>
      </c>
      <c r="I399" t="s">
        <v>636</v>
      </c>
    </row>
    <row r="400" spans="1:9">
      <c r="A400" s="1" t="s">
        <v>407</v>
      </c>
      <c r="B400">
        <f>HYPERLINK("https://www.suredividend.com/sure-analysis-WMB/","The Williams Cos., Inc.")</f>
        <v>0</v>
      </c>
      <c r="C400" t="s">
        <v>632</v>
      </c>
      <c r="D400">
        <v>0.07807807807807801</v>
      </c>
      <c r="E400">
        <v>0.0002001200880705767</v>
      </c>
      <c r="F400">
        <v>0.05</v>
      </c>
      <c r="G400">
        <v>0.1148213198343606</v>
      </c>
      <c r="H400" t="s">
        <v>446</v>
      </c>
      <c r="I400" t="s">
        <v>637</v>
      </c>
    </row>
    <row r="401" spans="1:9">
      <c r="A401" s="1" t="s">
        <v>408</v>
      </c>
      <c r="B401">
        <f>HYPERLINK("https://www.suredividend.com/sure-analysis-GSK/","GlaxoSmithKline Plc")</f>
        <v>0</v>
      </c>
      <c r="C401" t="s">
        <v>632</v>
      </c>
      <c r="D401">
        <v>0.05197478835978801</v>
      </c>
      <c r="E401">
        <v>0.04004757653240709</v>
      </c>
      <c r="F401">
        <v>0.03</v>
      </c>
      <c r="G401">
        <v>0.1126803792176263</v>
      </c>
      <c r="H401" t="s">
        <v>446</v>
      </c>
      <c r="I401" t="s">
        <v>372</v>
      </c>
    </row>
    <row r="402" spans="1:9">
      <c r="A402" s="1" t="s">
        <v>409</v>
      </c>
      <c r="B402">
        <f>HYPERLINK("https://www.suredividend.com/sure-analysis-TRP/","TC Energy Corp.")</f>
        <v>0</v>
      </c>
      <c r="C402" t="s">
        <v>632</v>
      </c>
      <c r="D402">
        <v>0.052084185808974</v>
      </c>
      <c r="E402">
        <v>0.02718120321946738</v>
      </c>
      <c r="F402">
        <v>0.04</v>
      </c>
      <c r="G402">
        <v>0.1123872305710178</v>
      </c>
      <c r="H402" t="s">
        <v>446</v>
      </c>
      <c r="I402" t="s">
        <v>372</v>
      </c>
    </row>
    <row r="403" spans="1:9">
      <c r="A403" s="1" t="s">
        <v>410</v>
      </c>
      <c r="B403">
        <f>HYPERLINK("https://www.suredividend.com/sure-analysis-OGZPY/","Gazprom PJSC")</f>
        <v>0</v>
      </c>
      <c r="C403" t="s">
        <v>632</v>
      </c>
      <c r="D403">
        <v>0.094077448747152</v>
      </c>
      <c r="E403">
        <v>-0.04430193912130265</v>
      </c>
      <c r="F403">
        <v>0.08</v>
      </c>
      <c r="G403">
        <v>0.111738266797123</v>
      </c>
      <c r="H403" t="s">
        <v>446</v>
      </c>
      <c r="I403" t="s">
        <v>637</v>
      </c>
    </row>
    <row r="404" spans="1:9">
      <c r="A404" s="1" t="s">
        <v>411</v>
      </c>
      <c r="B404">
        <f>HYPERLINK("https://www.suredividend.com/sure-analysis-UBS/","UBS Group AG")</f>
        <v>0</v>
      </c>
      <c r="C404" t="s">
        <v>632</v>
      </c>
      <c r="D404">
        <v>0.051474785918173</v>
      </c>
      <c r="E404">
        <v>0.02687056716520586</v>
      </c>
      <c r="F404">
        <v>0.04</v>
      </c>
      <c r="G404">
        <v>0.1109437881269986</v>
      </c>
      <c r="H404" t="s">
        <v>446</v>
      </c>
      <c r="I404" t="s">
        <v>372</v>
      </c>
    </row>
    <row r="405" spans="1:9">
      <c r="A405" s="1" t="s">
        <v>412</v>
      </c>
      <c r="B405">
        <f>HYPERLINK("https://www.suredividend.com/sure-analysis-MGA/","Magna International, Inc.")</f>
        <v>0</v>
      </c>
      <c r="C405" t="s">
        <v>632</v>
      </c>
      <c r="D405">
        <v>0.03447591490088001</v>
      </c>
      <c r="E405">
        <v>0.04681048447660019</v>
      </c>
      <c r="F405">
        <v>0.035</v>
      </c>
      <c r="G405">
        <v>0.1105217016235722</v>
      </c>
      <c r="H405" t="s">
        <v>446</v>
      </c>
      <c r="I405" t="s">
        <v>446</v>
      </c>
    </row>
    <row r="406" spans="1:9">
      <c r="A406" s="1" t="s">
        <v>413</v>
      </c>
      <c r="B406">
        <f>HYPERLINK("https://www.suredividend.com/sure-analysis-MPW/","Medical Properties Trust, Inc.")</f>
        <v>0</v>
      </c>
      <c r="C406" t="s">
        <v>634</v>
      </c>
      <c r="D406">
        <v>0.061843640606767</v>
      </c>
      <c r="E406">
        <v>0.009839461233171809</v>
      </c>
      <c r="F406">
        <v>0.047</v>
      </c>
      <c r="G406">
        <v>0.1094031881521444</v>
      </c>
      <c r="H406" t="s">
        <v>446</v>
      </c>
      <c r="I406" t="s">
        <v>372</v>
      </c>
    </row>
    <row r="407" spans="1:9">
      <c r="A407" s="1" t="s">
        <v>414</v>
      </c>
      <c r="B407">
        <f>HYPERLINK("https://www.suredividend.com/sure-analysis-CTL/","CenturyLink, Inc.")</f>
        <v>0</v>
      </c>
      <c r="C407" t="s">
        <v>632</v>
      </c>
      <c r="D407">
        <v>0.09090909090909001</v>
      </c>
      <c r="E407">
        <v>0.02092403696034695</v>
      </c>
      <c r="F407">
        <v>0.013</v>
      </c>
      <c r="G407">
        <v>0.1036794431173289</v>
      </c>
      <c r="H407" t="s">
        <v>446</v>
      </c>
      <c r="I407" t="s">
        <v>637</v>
      </c>
    </row>
    <row r="408" spans="1:9">
      <c r="A408" s="1" t="s">
        <v>415</v>
      </c>
      <c r="B408">
        <f>HYPERLINK("https://www.suredividend.com/sure-analysis-KHC/","The Kraft Heinz Co.")</f>
        <v>0</v>
      </c>
      <c r="C408" t="s">
        <v>632</v>
      </c>
      <c r="D408">
        <v>0.054926192928252</v>
      </c>
      <c r="E408">
        <v>0.03140132854125688</v>
      </c>
      <c r="F408">
        <v>0.03</v>
      </c>
      <c r="G408">
        <v>0.1023401798411441</v>
      </c>
      <c r="H408" t="s">
        <v>446</v>
      </c>
      <c r="I408" t="s">
        <v>372</v>
      </c>
    </row>
    <row r="409" spans="1:9">
      <c r="A409" s="1" t="s">
        <v>416</v>
      </c>
      <c r="B409">
        <f>HYPERLINK("https://www.suredividend.com/sure-analysis-OUT/","OUTFRONT Media, Inc.")</f>
        <v>0</v>
      </c>
      <c r="C409" t="s">
        <v>632</v>
      </c>
      <c r="D409">
        <v>0.07357859531772501</v>
      </c>
      <c r="E409">
        <v>0.04911351470932779</v>
      </c>
      <c r="F409">
        <v>0.01</v>
      </c>
      <c r="G409">
        <v>0.1019309246397715</v>
      </c>
      <c r="H409" t="s">
        <v>446</v>
      </c>
      <c r="I409" t="s">
        <v>372</v>
      </c>
    </row>
    <row r="410" spans="1:9">
      <c r="A410" s="1" t="s">
        <v>417</v>
      </c>
      <c r="B410">
        <f>HYPERLINK("https://www.suredividend.com/sure-analysis-AM/","Antero Midstream Corp.")</f>
        <v>0</v>
      </c>
      <c r="C410" t="s">
        <v>632</v>
      </c>
      <c r="D410">
        <v>0.230337078651685</v>
      </c>
      <c r="E410">
        <v>0.04009837995080767</v>
      </c>
      <c r="F410">
        <v>-0.07099999999999999</v>
      </c>
      <c r="G410">
        <v>0.09944412614837339</v>
      </c>
      <c r="H410" t="s">
        <v>446</v>
      </c>
      <c r="I410" t="s">
        <v>637</v>
      </c>
    </row>
    <row r="411" spans="1:9">
      <c r="A411" s="1" t="s">
        <v>418</v>
      </c>
      <c r="B411">
        <f>HYPERLINK("https://www.suredividend.com/sure-analysis-HTA/","Healthcare Trust of America, Inc.")</f>
        <v>0</v>
      </c>
      <c r="C411" t="s">
        <v>634</v>
      </c>
      <c r="D411">
        <v>0.049392395139161</v>
      </c>
      <c r="E411">
        <v>0.02597672321528366</v>
      </c>
      <c r="F411">
        <v>0.03</v>
      </c>
      <c r="G411">
        <v>0.09531100900296252</v>
      </c>
      <c r="H411" t="s">
        <v>446</v>
      </c>
      <c r="I411" t="s">
        <v>372</v>
      </c>
    </row>
    <row r="412" spans="1:9">
      <c r="A412" s="1" t="s">
        <v>419</v>
      </c>
      <c r="B412">
        <f>HYPERLINK("https://www.suredividend.com/sure-analysis-GNL/","Global Net Lease, Inc.")</f>
        <v>0</v>
      </c>
      <c r="C412" t="s">
        <v>634</v>
      </c>
      <c r="D412">
        <v>0.121103896103896</v>
      </c>
      <c r="E412">
        <v>-0.01888150427373569</v>
      </c>
      <c r="F412">
        <v>0.015</v>
      </c>
      <c r="G412">
        <v>0.09125907058736571</v>
      </c>
      <c r="H412" t="s">
        <v>446</v>
      </c>
      <c r="I412" t="s">
        <v>637</v>
      </c>
    </row>
    <row r="413" spans="1:9">
      <c r="A413" s="1" t="s">
        <v>420</v>
      </c>
      <c r="B413">
        <f>HYPERLINK("https://www.suredividend.com/sure-analysis-STX/","Seagate Technology Plc")</f>
        <v>0</v>
      </c>
      <c r="C413" t="s">
        <v>632</v>
      </c>
      <c r="D413">
        <v>0.05350476980506001</v>
      </c>
      <c r="E413">
        <v>0.003214440340289393</v>
      </c>
      <c r="F413">
        <v>0.04</v>
      </c>
      <c r="G413">
        <v>0.08831063923247773</v>
      </c>
      <c r="H413" t="s">
        <v>446</v>
      </c>
      <c r="I413" t="s">
        <v>372</v>
      </c>
    </row>
    <row r="414" spans="1:9">
      <c r="A414" s="1" t="s">
        <v>421</v>
      </c>
      <c r="B414">
        <f>HYPERLINK("https://www.suredividend.com/sure-analysis-HTGC/","Hercules Capital, Inc.")</f>
        <v>0</v>
      </c>
      <c r="C414" t="s">
        <v>634</v>
      </c>
      <c r="D414">
        <v>0.11357586512866</v>
      </c>
      <c r="E414">
        <v>-0.004838069705819348</v>
      </c>
      <c r="F414">
        <v>0</v>
      </c>
      <c r="G414">
        <v>0.08769772460176939</v>
      </c>
      <c r="H414" t="s">
        <v>446</v>
      </c>
      <c r="I414" t="s">
        <v>637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634</v>
      </c>
      <c r="D415">
        <v>0.052199850857568</v>
      </c>
      <c r="E415">
        <v>0.00864851059432814</v>
      </c>
      <c r="F415">
        <v>0.035</v>
      </c>
      <c r="G415">
        <v>0.08742597304304445</v>
      </c>
      <c r="H415" t="s">
        <v>446</v>
      </c>
      <c r="I415" t="s">
        <v>372</v>
      </c>
    </row>
    <row r="416" spans="1:9">
      <c r="A416" s="1" t="s">
        <v>423</v>
      </c>
      <c r="B416">
        <f>HYPERLINK("https://www.suredividend.com/sure-analysis-AGNC/","AGNC Investment Corp.")</f>
        <v>0</v>
      </c>
      <c r="C416" t="s">
        <v>634</v>
      </c>
      <c r="D416">
        <v>0.128571428571428</v>
      </c>
      <c r="E416">
        <v>0.02706608708935176</v>
      </c>
      <c r="F416">
        <v>-0.03</v>
      </c>
      <c r="G416">
        <v>0.08569564357261328</v>
      </c>
      <c r="H416" t="s">
        <v>446</v>
      </c>
      <c r="I416" t="s">
        <v>637</v>
      </c>
    </row>
    <row r="417" spans="1:9">
      <c r="A417" s="1" t="s">
        <v>424</v>
      </c>
      <c r="B417">
        <f>HYPERLINK("https://www.suredividend.com/sure-analysis-APAM/","Artisan Partners Asset Management, Inc.")</f>
        <v>0</v>
      </c>
      <c r="C417" t="s">
        <v>632</v>
      </c>
      <c r="D417">
        <v>0.06833467850417001</v>
      </c>
      <c r="E417">
        <v>-0.006376194417760717</v>
      </c>
      <c r="F417">
        <v>0.03</v>
      </c>
      <c r="G417">
        <v>0.08527870123037018</v>
      </c>
      <c r="H417" t="s">
        <v>446</v>
      </c>
      <c r="I417" t="s">
        <v>372</v>
      </c>
    </row>
    <row r="418" spans="1:9">
      <c r="A418" s="1" t="s">
        <v>425</v>
      </c>
      <c r="B418">
        <f>HYPERLINK("https://www.suredividend.com/sure-analysis-CAE/","CAE, Inc.")</f>
        <v>0</v>
      </c>
      <c r="C418" t="s">
        <v>632</v>
      </c>
      <c r="D418">
        <v>0.015547703180212</v>
      </c>
      <c r="E418">
        <v>0.01173544165838569</v>
      </c>
      <c r="F418">
        <v>0.07000000000000001</v>
      </c>
      <c r="G418">
        <v>0.08255692257447267</v>
      </c>
      <c r="H418" t="s">
        <v>446</v>
      </c>
      <c r="I418" t="s">
        <v>586</v>
      </c>
    </row>
    <row r="419" spans="1:9">
      <c r="A419" s="1" t="s">
        <v>426</v>
      </c>
      <c r="B419">
        <f>HYPERLINK("https://www.suredividend.com/sure-analysis-STAG/","STAG Industrial, Inc.")</f>
        <v>0</v>
      </c>
      <c r="C419" t="s">
        <v>634</v>
      </c>
      <c r="D419">
        <v>0.04779441117764401</v>
      </c>
      <c r="E419">
        <v>-0.007154196885807096</v>
      </c>
      <c r="F419">
        <v>0.05</v>
      </c>
      <c r="G419">
        <v>0.08123364400737576</v>
      </c>
      <c r="H419" t="s">
        <v>446</v>
      </c>
      <c r="I419" t="s">
        <v>372</v>
      </c>
    </row>
    <row r="420" spans="1:9">
      <c r="A420" s="1" t="s">
        <v>427</v>
      </c>
      <c r="B420">
        <f>HYPERLINK("https://www.suredividend.com/sure-analysis-EQR/","Equity Residential")</f>
        <v>0</v>
      </c>
      <c r="C420" t="s">
        <v>634</v>
      </c>
      <c r="D420">
        <v>0.045375218150087</v>
      </c>
      <c r="E420">
        <v>0.02022402134848544</v>
      </c>
      <c r="F420">
        <v>0.023</v>
      </c>
      <c r="G420">
        <v>0.08116332380149438</v>
      </c>
      <c r="H420" t="s">
        <v>446</v>
      </c>
      <c r="I420" t="s">
        <v>372</v>
      </c>
    </row>
    <row r="421" spans="1:9">
      <c r="A421" s="1" t="s">
        <v>428</v>
      </c>
      <c r="B421">
        <f>HYPERLINK("https://www.suredividend.com/sure-analysis-BCE/","BCE, Inc.")</f>
        <v>0</v>
      </c>
      <c r="C421" t="s">
        <v>632</v>
      </c>
      <c r="D421">
        <v>0.05841906009161101</v>
      </c>
      <c r="E421">
        <v>-0.002084462361619632</v>
      </c>
      <c r="F421">
        <v>0.03</v>
      </c>
      <c r="G421">
        <v>0.07973618585025477</v>
      </c>
      <c r="H421" t="s">
        <v>446</v>
      </c>
      <c r="I421" t="s">
        <v>372</v>
      </c>
    </row>
    <row r="422" spans="1:9">
      <c r="A422" s="1" t="s">
        <v>429</v>
      </c>
      <c r="B422">
        <f>HYPERLINK("https://www.suredividend.com/sure-analysis-WPP/","WPP Plc")</f>
        <v>0</v>
      </c>
      <c r="C422" t="s">
        <v>632</v>
      </c>
      <c r="D422">
        <v>0.081016679904686</v>
      </c>
      <c r="E422">
        <v>0.01654679251320079</v>
      </c>
      <c r="F422">
        <v>0.03</v>
      </c>
      <c r="G422">
        <v>0.07973127615421682</v>
      </c>
      <c r="H422" t="s">
        <v>446</v>
      </c>
      <c r="I422" t="s">
        <v>372</v>
      </c>
    </row>
    <row r="423" spans="1:9">
      <c r="A423" s="1" t="s">
        <v>430</v>
      </c>
      <c r="B423">
        <f>HYPERLINK("https://www.suredividend.com/sure-analysis-PHG/","Koninklijke Philips NV")</f>
        <v>0</v>
      </c>
      <c r="C423" t="s">
        <v>632</v>
      </c>
      <c r="D423">
        <v>0.02075421472937</v>
      </c>
      <c r="E423">
        <v>-0.04398717442098121</v>
      </c>
      <c r="F423">
        <v>0.11</v>
      </c>
      <c r="G423">
        <v>0.07947178097548147</v>
      </c>
      <c r="H423" t="s">
        <v>446</v>
      </c>
      <c r="I423" t="s">
        <v>446</v>
      </c>
    </row>
    <row r="424" spans="1:9">
      <c r="A424" s="1" t="s">
        <v>431</v>
      </c>
      <c r="B424">
        <f>HYPERLINK("https://www.suredividend.com/sure-analysis-VER/","VEREIT, Inc.")</f>
        <v>0</v>
      </c>
      <c r="C424" t="s">
        <v>632</v>
      </c>
      <c r="D424">
        <v>0.077330173775671</v>
      </c>
      <c r="E424">
        <v>0.008388873621460791</v>
      </c>
      <c r="F424">
        <v>0.021</v>
      </c>
      <c r="G424">
        <v>0.07932700319936381</v>
      </c>
      <c r="H424" t="s">
        <v>446</v>
      </c>
      <c r="I424" t="s">
        <v>372</v>
      </c>
    </row>
    <row r="425" spans="1:9">
      <c r="A425" s="1" t="s">
        <v>432</v>
      </c>
      <c r="B425">
        <f>HYPERLINK("https://www.suredividend.com/sure-analysis-CPT/","Camden Property Trust")</f>
        <v>0</v>
      </c>
      <c r="C425" t="s">
        <v>634</v>
      </c>
      <c r="D425">
        <v>0.036085897719725</v>
      </c>
      <c r="E425">
        <v>-0.005234952775004076</v>
      </c>
      <c r="F425">
        <v>0.05</v>
      </c>
      <c r="G425">
        <v>0.07811191578163679</v>
      </c>
      <c r="H425" t="s">
        <v>446</v>
      </c>
      <c r="I425" t="s">
        <v>446</v>
      </c>
    </row>
    <row r="426" spans="1:9">
      <c r="A426" s="1" t="s">
        <v>433</v>
      </c>
      <c r="B426">
        <f>HYPERLINK("https://www.suredividend.com/sure-analysis-MIC/","Macquarie Infrastructure Corp.")</f>
        <v>0</v>
      </c>
      <c r="C426" t="s">
        <v>632</v>
      </c>
      <c r="D426">
        <v>0.077369439071566</v>
      </c>
      <c r="E426">
        <v>0.05633987490022307</v>
      </c>
      <c r="F426">
        <v>0.02</v>
      </c>
      <c r="G426">
        <v>0.07746667239822735</v>
      </c>
      <c r="H426" t="s">
        <v>446</v>
      </c>
      <c r="I426" t="s">
        <v>637</v>
      </c>
    </row>
    <row r="427" spans="1:9">
      <c r="A427" s="1" t="s">
        <v>434</v>
      </c>
      <c r="B427">
        <f>HYPERLINK("https://www.suredividend.com/sure-analysis-ARCC/","Ares Capital Corp.")</f>
        <v>0</v>
      </c>
      <c r="C427" t="s">
        <v>635</v>
      </c>
      <c r="D427">
        <v>0.116788321167883</v>
      </c>
      <c r="E427">
        <v>-0.06102098471980433</v>
      </c>
      <c r="F427">
        <v>0.033</v>
      </c>
      <c r="G427">
        <v>0.07668179615303083</v>
      </c>
      <c r="H427" t="s">
        <v>446</v>
      </c>
      <c r="I427" t="s">
        <v>637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634</v>
      </c>
      <c r="D428">
        <v>0.051343642095781</v>
      </c>
      <c r="E428">
        <v>-0.02068509747230673</v>
      </c>
      <c r="F428">
        <v>0.046</v>
      </c>
      <c r="G428">
        <v>0.07319483561646511</v>
      </c>
      <c r="H428" t="s">
        <v>446</v>
      </c>
      <c r="I428" t="s">
        <v>372</v>
      </c>
    </row>
    <row r="429" spans="1:9">
      <c r="A429" s="1" t="s">
        <v>436</v>
      </c>
      <c r="B429">
        <f>HYPERLINK("https://www.suredividend.com/sure-analysis-JCI/","Johnson Controls International Plc")</f>
        <v>0</v>
      </c>
      <c r="C429" t="s">
        <v>632</v>
      </c>
      <c r="D429">
        <v>0.025685354408495</v>
      </c>
      <c r="E429">
        <v>-0.02872087800225631</v>
      </c>
      <c r="F429">
        <v>0.08</v>
      </c>
      <c r="G429">
        <v>0.0728594031460672</v>
      </c>
      <c r="H429" t="s">
        <v>446</v>
      </c>
      <c r="I429" t="s">
        <v>446</v>
      </c>
    </row>
    <row r="430" spans="1:9">
      <c r="A430" s="1" t="s">
        <v>437</v>
      </c>
      <c r="B430">
        <f>HYPERLINK("https://www.suredividend.com/sure-analysis-DIN/","Dine Brands Global, Inc.")</f>
        <v>0</v>
      </c>
      <c r="C430" t="s">
        <v>632</v>
      </c>
      <c r="D430">
        <v>0.026253847546623</v>
      </c>
      <c r="E430">
        <v>0.03627203521520705</v>
      </c>
      <c r="F430">
        <v>0.035</v>
      </c>
      <c r="G430">
        <v>0.07254155644773919</v>
      </c>
      <c r="H430" t="s">
        <v>446</v>
      </c>
      <c r="I430" t="s">
        <v>446</v>
      </c>
    </row>
    <row r="431" spans="1:9">
      <c r="A431" s="1" t="s">
        <v>438</v>
      </c>
      <c r="B431">
        <f>HYPERLINK("https://www.suredividend.com/sure-analysis-AQN/","Algonquin Power &amp; Utilities Corp.")</f>
        <v>0</v>
      </c>
      <c r="C431" t="s">
        <v>632</v>
      </c>
      <c r="D431">
        <v>0.041029087056449</v>
      </c>
      <c r="E431">
        <v>-0.03310663433375005</v>
      </c>
      <c r="F431">
        <v>0.065</v>
      </c>
      <c r="G431">
        <v>0.07222300496153822</v>
      </c>
      <c r="H431" t="s">
        <v>446</v>
      </c>
      <c r="I431" t="s">
        <v>446</v>
      </c>
    </row>
    <row r="432" spans="1:9">
      <c r="A432" s="1" t="s">
        <v>439</v>
      </c>
      <c r="B432">
        <f>HYPERLINK("https://www.suredividend.com/sure-analysis-CF/","CF Industries Holdings, Inc.")</f>
        <v>0</v>
      </c>
      <c r="C432" t="s">
        <v>632</v>
      </c>
      <c r="D432">
        <v>0.039447731755424</v>
      </c>
      <c r="E432">
        <v>0.03994052619031763</v>
      </c>
      <c r="F432">
        <v>0</v>
      </c>
      <c r="G432">
        <v>0.07167191436434739</v>
      </c>
      <c r="H432" t="s">
        <v>446</v>
      </c>
      <c r="I432" t="s">
        <v>446</v>
      </c>
    </row>
    <row r="433" spans="1:9">
      <c r="A433" s="1" t="s">
        <v>440</v>
      </c>
      <c r="B433">
        <f>HYPERLINK("https://www.suredividend.com/sure-analysis-DHC/","Diversified Healthcare Trust")</f>
        <v>0</v>
      </c>
      <c r="C433" t="s">
        <v>634</v>
      </c>
      <c r="D433">
        <v>0.138972809667673</v>
      </c>
      <c r="E433">
        <v>0.07263996185041832</v>
      </c>
      <c r="F433">
        <v>-0.01</v>
      </c>
      <c r="G433">
        <v>0.07125121502050624</v>
      </c>
      <c r="H433" t="s">
        <v>446</v>
      </c>
      <c r="I433" t="s">
        <v>637</v>
      </c>
    </row>
    <row r="434" spans="1:9">
      <c r="A434" s="1" t="s">
        <v>441</v>
      </c>
      <c r="B434">
        <f>HYPERLINK("https://www.suredividend.com/sure-analysis-GOOD/","Gladstone Commercial Corp.")</f>
        <v>0</v>
      </c>
      <c r="C434" t="s">
        <v>634</v>
      </c>
      <c r="D434">
        <v>0.09001199040767301</v>
      </c>
      <c r="E434">
        <v>-0.008289783600853085</v>
      </c>
      <c r="F434">
        <v>0</v>
      </c>
      <c r="G434">
        <v>0.07096274417615533</v>
      </c>
      <c r="H434" t="s">
        <v>446</v>
      </c>
      <c r="I434" t="s">
        <v>372</v>
      </c>
    </row>
    <row r="435" spans="1:9">
      <c r="A435" s="1" t="s">
        <v>442</v>
      </c>
      <c r="B435">
        <f>HYPERLINK("https://www.suredividend.com/sure-analysis-DRETF/","Dream Office Real Estate Investment Trust")</f>
        <v>0</v>
      </c>
      <c r="C435" t="s">
        <v>632</v>
      </c>
      <c r="D435">
        <v>0.053365558184183</v>
      </c>
      <c r="E435">
        <v>-0.006678878857254267</v>
      </c>
      <c r="F435">
        <v>0.031</v>
      </c>
      <c r="G435">
        <v>0.06958874716094932</v>
      </c>
      <c r="H435" t="s">
        <v>446</v>
      </c>
      <c r="I435" t="s">
        <v>372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632</v>
      </c>
      <c r="D436">
        <v>0.042975970425138</v>
      </c>
      <c r="E436">
        <v>-0.01563866216071053</v>
      </c>
      <c r="F436">
        <v>0.05</v>
      </c>
      <c r="G436">
        <v>0.06840467547852724</v>
      </c>
      <c r="H436" t="s">
        <v>446</v>
      </c>
      <c r="I436" t="s">
        <v>446</v>
      </c>
    </row>
    <row r="437" spans="1:9">
      <c r="A437" s="1" t="s">
        <v>444</v>
      </c>
      <c r="B437">
        <f>HYPERLINK("https://www.suredividend.com/sure-analysis-XRX/","Xerox Holdings Corp.")</f>
        <v>0</v>
      </c>
      <c r="C437" t="s">
        <v>632</v>
      </c>
      <c r="D437">
        <v>0.05561735261401501</v>
      </c>
      <c r="E437">
        <v>0.02152279362383802</v>
      </c>
      <c r="F437">
        <v>0</v>
      </c>
      <c r="G437">
        <v>0.06814463688661743</v>
      </c>
      <c r="H437" t="s">
        <v>446</v>
      </c>
      <c r="I437" t="s">
        <v>372</v>
      </c>
    </row>
    <row r="438" spans="1:9">
      <c r="A438" s="1" t="s">
        <v>445</v>
      </c>
      <c r="B438">
        <f>HYPERLINK("https://www.suredividend.com/sure-analysis-LAND/","Gladstone Land Corp.")</f>
        <v>0</v>
      </c>
      <c r="C438" t="s">
        <v>634</v>
      </c>
      <c r="D438">
        <v>0.035993288590604</v>
      </c>
      <c r="E438">
        <v>-0.01238346265372525</v>
      </c>
      <c r="F438">
        <v>0.05</v>
      </c>
      <c r="G438">
        <v>0.06721691750869074</v>
      </c>
      <c r="H438" t="s">
        <v>446</v>
      </c>
      <c r="I438" t="s">
        <v>446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632</v>
      </c>
      <c r="D439">
        <v>0.048215444516547</v>
      </c>
      <c r="E439">
        <v>-0.0394641441552479</v>
      </c>
      <c r="F439">
        <v>0.07199999999999999</v>
      </c>
      <c r="G439">
        <v>0.06627561482095601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HYPERLINK("https://www.suredividend.com/sure-analysis-QSR/","Restaurant Brands International, Inc.")</f>
        <v>0</v>
      </c>
      <c r="C440" t="s">
        <v>632</v>
      </c>
      <c r="D440">
        <v>0.03622435629448401</v>
      </c>
      <c r="E440">
        <v>-0.08665290620787802</v>
      </c>
      <c r="F440">
        <v>0.13</v>
      </c>
      <c r="G440">
        <v>0.0661290220226407</v>
      </c>
      <c r="H440" t="s">
        <v>446</v>
      </c>
      <c r="I440" t="s">
        <v>446</v>
      </c>
    </row>
    <row r="441" spans="1:9">
      <c r="A441" s="1" t="s">
        <v>448</v>
      </c>
      <c r="B441">
        <f>HYPERLINK("https://www.suredividend.com/sure-analysis-BGS/","B&amp;G Foods, Inc.")</f>
        <v>0</v>
      </c>
      <c r="C441" t="s">
        <v>632</v>
      </c>
      <c r="D441">
        <v>0.06800286327845301</v>
      </c>
      <c r="E441">
        <v>-0.0219912926754563</v>
      </c>
      <c r="F441">
        <v>0.03</v>
      </c>
      <c r="G441">
        <v>0.06611956229020044</v>
      </c>
      <c r="H441" t="s">
        <v>446</v>
      </c>
      <c r="I441" t="s">
        <v>372</v>
      </c>
    </row>
    <row r="442" spans="1:9">
      <c r="A442" s="1" t="s">
        <v>449</v>
      </c>
      <c r="B442">
        <f>HYPERLINK("https://www.suredividend.com/sure-analysis-LYB/","LyondellBasell Industries NV")</f>
        <v>0</v>
      </c>
      <c r="C442" t="s">
        <v>632</v>
      </c>
      <c r="D442">
        <v>0.06032749209997101</v>
      </c>
      <c r="E442">
        <v>-0.08357759385587027</v>
      </c>
      <c r="F442">
        <v>0.1</v>
      </c>
      <c r="G442">
        <v>0.06512918388177447</v>
      </c>
      <c r="H442" t="s">
        <v>446</v>
      </c>
      <c r="I442" t="s">
        <v>372</v>
      </c>
    </row>
    <row r="443" spans="1:9">
      <c r="A443" s="1" t="s">
        <v>450</v>
      </c>
      <c r="B443">
        <f>HYPERLINK("https://www.suredividend.com/sure-analysis-BMWYY/","Bayerische Motoren Werke AG")</f>
        <v>0</v>
      </c>
      <c r="C443" t="s">
        <v>632</v>
      </c>
      <c r="D443">
        <v>0.039419159081057</v>
      </c>
      <c r="E443">
        <v>-0.2012649660691215</v>
      </c>
      <c r="F443">
        <v>0.285</v>
      </c>
      <c r="G443">
        <v>0.06347784515948773</v>
      </c>
      <c r="H443" t="s">
        <v>446</v>
      </c>
      <c r="I443" t="s">
        <v>446</v>
      </c>
    </row>
    <row r="444" spans="1:9">
      <c r="A444" s="1" t="s">
        <v>451</v>
      </c>
      <c r="B444">
        <f>HYPERLINK("https://www.suredividend.com/sure-analysis-CNP/","CenterPoint Energy, Inc.")</f>
        <v>0</v>
      </c>
      <c r="C444" t="s">
        <v>632</v>
      </c>
      <c r="D444">
        <v>0.05344918378093701</v>
      </c>
      <c r="E444">
        <v>-0.03368437145922665</v>
      </c>
      <c r="F444">
        <v>0.04</v>
      </c>
      <c r="G444">
        <v>0.06273587957673787</v>
      </c>
      <c r="H444" t="s">
        <v>446</v>
      </c>
      <c r="I444" t="s">
        <v>372</v>
      </c>
    </row>
    <row r="445" spans="1:9">
      <c r="A445" s="1" t="s">
        <v>452</v>
      </c>
      <c r="B445">
        <f>HYPERLINK("https://www.suredividend.com/sure-analysis-AVGO/","Broadcom, Inc.")</f>
        <v>0</v>
      </c>
      <c r="C445" t="s">
        <v>632</v>
      </c>
      <c r="D445">
        <v>0.034753363228699</v>
      </c>
      <c r="E445">
        <v>-0.0507478933628589</v>
      </c>
      <c r="F445">
        <v>0.075</v>
      </c>
      <c r="G445">
        <v>0.05985913313550828</v>
      </c>
      <c r="H445" t="s">
        <v>446</v>
      </c>
      <c r="I445" t="s">
        <v>446</v>
      </c>
    </row>
    <row r="446" spans="1:9">
      <c r="A446" s="1" t="s">
        <v>453</v>
      </c>
      <c r="B446">
        <f>HYPERLINK("https://www.suredividend.com/sure-analysis-RIO/","Rio Tinto Plc")</f>
        <v>0</v>
      </c>
      <c r="C446" t="s">
        <v>632</v>
      </c>
      <c r="D446">
        <v>0.063949635520212</v>
      </c>
      <c r="E446">
        <v>-0.007944995024677382</v>
      </c>
      <c r="F446">
        <v>0.01</v>
      </c>
      <c r="G446">
        <v>0.05864036990484944</v>
      </c>
      <c r="H446" t="s">
        <v>446</v>
      </c>
      <c r="I446" t="s">
        <v>637</v>
      </c>
    </row>
    <row r="447" spans="1:9">
      <c r="A447" s="1" t="s">
        <v>454</v>
      </c>
      <c r="B447">
        <f>HYPERLINK("https://www.suredividend.com/sure-analysis-PEAK/","Healthpeak Properties, Inc.")</f>
        <v>0</v>
      </c>
      <c r="C447" t="s">
        <v>634</v>
      </c>
      <c r="D447">
        <v>0.05536849981294401</v>
      </c>
      <c r="E447">
        <v>-0.02131607150221693</v>
      </c>
      <c r="F447">
        <v>0.03</v>
      </c>
      <c r="G447">
        <v>0.05815708102057604</v>
      </c>
      <c r="H447" t="s">
        <v>446</v>
      </c>
      <c r="I447" t="s">
        <v>446</v>
      </c>
    </row>
    <row r="448" spans="1:9">
      <c r="A448" s="1" t="s">
        <v>455</v>
      </c>
      <c r="B448">
        <f>HYPERLINK("https://www.suredividend.com/sure-analysis-BRMK/","Broadmark Realty Capital, Inc.")</f>
        <v>0</v>
      </c>
      <c r="C448" t="s">
        <v>632</v>
      </c>
      <c r="D448">
        <v>0.05487804878048701</v>
      </c>
      <c r="E448">
        <v>-0.03817074134753962</v>
      </c>
      <c r="F448">
        <v>0.03</v>
      </c>
      <c r="G448">
        <v>0.05711835323975789</v>
      </c>
      <c r="H448" t="s">
        <v>446</v>
      </c>
      <c r="I448" t="s">
        <v>372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632</v>
      </c>
      <c r="D449">
        <v>0.05165474060822801</v>
      </c>
      <c r="E449">
        <v>-0.05897225333956979</v>
      </c>
      <c r="F449">
        <v>0.08</v>
      </c>
      <c r="G449">
        <v>0.05655785221016529</v>
      </c>
      <c r="H449" t="s">
        <v>446</v>
      </c>
      <c r="I449" t="s">
        <v>446</v>
      </c>
    </row>
    <row r="450" spans="1:9">
      <c r="A450" s="1" t="s">
        <v>457</v>
      </c>
      <c r="B450">
        <f>HYPERLINK("https://www.suredividend.com/sure-analysis-IDEXY/","Industria de Diseño Textil SA")</f>
        <v>0</v>
      </c>
      <c r="C450" t="s">
        <v>632</v>
      </c>
      <c r="D450">
        <v>0.017825454545454</v>
      </c>
      <c r="E450">
        <v>-0.03933943162756326</v>
      </c>
      <c r="F450">
        <v>0.08</v>
      </c>
      <c r="G450">
        <v>0.05455442484632922</v>
      </c>
      <c r="H450" t="s">
        <v>446</v>
      </c>
      <c r="I450" t="s">
        <v>586</v>
      </c>
    </row>
    <row r="451" spans="1:9">
      <c r="A451" s="1" t="s">
        <v>458</v>
      </c>
      <c r="B451">
        <f>HYPERLINK("https://www.suredividend.com/sure-analysis-DREUF/","Dream Industrial Real Estate Investment Trust")</f>
        <v>0</v>
      </c>
      <c r="C451" t="s">
        <v>634</v>
      </c>
      <c r="D451">
        <v>0.06414259463959701</v>
      </c>
      <c r="E451">
        <v>-0.05895120926801756</v>
      </c>
      <c r="F451">
        <v>0.052</v>
      </c>
      <c r="G451">
        <v>0.05424115222326975</v>
      </c>
      <c r="H451" t="s">
        <v>446</v>
      </c>
      <c r="I451" t="s">
        <v>372</v>
      </c>
    </row>
    <row r="452" spans="1:9">
      <c r="A452" s="1" t="s">
        <v>459</v>
      </c>
      <c r="B452">
        <f>HYPERLINK("https://www.suredividend.com/sure-analysis-GRMN/","Garmin Ltd.")</f>
        <v>0</v>
      </c>
      <c r="C452" t="s">
        <v>632</v>
      </c>
      <c r="D452">
        <v>0.024799572421165</v>
      </c>
      <c r="E452">
        <v>-0.04839697558296818</v>
      </c>
      <c r="F452">
        <v>0.08</v>
      </c>
      <c r="G452">
        <v>0.05351146520450478</v>
      </c>
      <c r="H452" t="s">
        <v>446</v>
      </c>
      <c r="I452" t="s">
        <v>446</v>
      </c>
    </row>
    <row r="453" spans="1:9">
      <c r="A453" s="1" t="s">
        <v>460</v>
      </c>
      <c r="B453">
        <f>HYPERLINK("https://www.suredividend.com/sure-analysis-BHP/","BHP Group Ltd.")</f>
        <v>0</v>
      </c>
      <c r="C453" t="s">
        <v>632</v>
      </c>
      <c r="D453">
        <v>0.045810269135331</v>
      </c>
      <c r="E453">
        <v>-0.01735065775257993</v>
      </c>
      <c r="F453">
        <v>0.03</v>
      </c>
      <c r="G453">
        <v>0.05117138574769076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HYPERLINK("https://www.suredividend.com/sure-analysis-TJX/","The TJX Cos., Inc.")</f>
        <v>0</v>
      </c>
      <c r="C454" t="s">
        <v>632</v>
      </c>
      <c r="D454">
        <v>0.008649868371568</v>
      </c>
      <c r="E454">
        <v>-0.02028765408556477</v>
      </c>
      <c r="F454">
        <v>0.059</v>
      </c>
      <c r="G454">
        <v>0.05107457254049819</v>
      </c>
      <c r="H454" t="s">
        <v>446</v>
      </c>
      <c r="I454" t="s">
        <v>586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632</v>
      </c>
      <c r="D455">
        <v>0.006141248720573001</v>
      </c>
      <c r="E455">
        <v>-0.07359085089359974</v>
      </c>
      <c r="F455">
        <v>0.13</v>
      </c>
      <c r="G455">
        <v>0.04966796387077199</v>
      </c>
      <c r="H455" t="s">
        <v>446</v>
      </c>
      <c r="I455" t="s">
        <v>586</v>
      </c>
    </row>
    <row r="456" spans="1:9">
      <c r="A456" s="1" t="s">
        <v>463</v>
      </c>
      <c r="B456">
        <f>HYPERLINK("https://www.suredividend.com/sure-analysis-ARE/","Alexandria Real Estate Equities, Inc.")</f>
        <v>0</v>
      </c>
      <c r="C456" t="s">
        <v>634</v>
      </c>
      <c r="D456">
        <v>0.025993690851735</v>
      </c>
      <c r="E456">
        <v>-0.03739435136009728</v>
      </c>
      <c r="F456">
        <v>0.06</v>
      </c>
      <c r="G456">
        <v>0.04835920988224074</v>
      </c>
      <c r="H456" t="s">
        <v>446</v>
      </c>
      <c r="I456" t="s">
        <v>446</v>
      </c>
    </row>
    <row r="457" spans="1:9">
      <c r="A457" s="1" t="s">
        <v>464</v>
      </c>
      <c r="B457">
        <f>HYPERLINK("https://www.suredividend.com/sure-analysis-NWL/","Newell Brands, Inc.")</f>
        <v>0</v>
      </c>
      <c r="C457" t="s">
        <v>632</v>
      </c>
      <c r="D457">
        <v>0.05495818399044201</v>
      </c>
      <c r="E457">
        <v>-0.04931294645204587</v>
      </c>
      <c r="F457">
        <v>0.045</v>
      </c>
      <c r="G457">
        <v>0.04439095333456455</v>
      </c>
      <c r="H457" t="s">
        <v>446</v>
      </c>
      <c r="I457" t="s">
        <v>372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632</v>
      </c>
      <c r="D458">
        <v>0.04980563654033</v>
      </c>
      <c r="E458">
        <v>-0.09490757843439812</v>
      </c>
      <c r="F458">
        <v>0.1</v>
      </c>
      <c r="G458">
        <v>0.04302858361199124</v>
      </c>
      <c r="H458" t="s">
        <v>446</v>
      </c>
      <c r="I458" t="s">
        <v>372</v>
      </c>
    </row>
    <row r="459" spans="1:9">
      <c r="A459" s="1" t="s">
        <v>466</v>
      </c>
      <c r="B459">
        <f>HYPERLINK("https://www.suredividend.com/sure-analysis-DDAIF/","Daimler AG")</f>
        <v>0</v>
      </c>
      <c r="C459" t="s">
        <v>632</v>
      </c>
      <c r="D459">
        <v>0.017311021350259</v>
      </c>
      <c r="E459">
        <v>0.003855517690591448</v>
      </c>
      <c r="F459">
        <v>0.02</v>
      </c>
      <c r="G459">
        <v>0.0408933527939388</v>
      </c>
      <c r="H459" t="s">
        <v>446</v>
      </c>
      <c r="I459" t="s">
        <v>586</v>
      </c>
    </row>
    <row r="460" spans="1:9">
      <c r="A460" s="1" t="s">
        <v>467</v>
      </c>
      <c r="B460">
        <f>HYPERLINK("https://www.suredividend.com/sure-analysis-WRK/","WestRock Co.")</f>
        <v>0</v>
      </c>
      <c r="C460" t="s">
        <v>632</v>
      </c>
      <c r="D460">
        <v>0.04426137950293201</v>
      </c>
      <c r="E460">
        <v>-0.04130881223938587</v>
      </c>
      <c r="F460">
        <v>0.06</v>
      </c>
      <c r="G460">
        <v>0.04022257850013422</v>
      </c>
      <c r="H460" t="s">
        <v>446</v>
      </c>
      <c r="I460" t="s">
        <v>446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632</v>
      </c>
      <c r="D461">
        <v>0.038514173998044</v>
      </c>
      <c r="E461">
        <v>-0.08954000476582702</v>
      </c>
      <c r="F461">
        <v>0.1</v>
      </c>
      <c r="G461">
        <v>0.04019028927344381</v>
      </c>
      <c r="H461" t="s">
        <v>446</v>
      </c>
      <c r="I461" t="s">
        <v>446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632</v>
      </c>
      <c r="D462">
        <v>0.017939814814814</v>
      </c>
      <c r="E462">
        <v>-0.02790322085323071</v>
      </c>
      <c r="F462">
        <v>0.05</v>
      </c>
      <c r="G462">
        <v>0.03942083254602435</v>
      </c>
      <c r="H462" t="s">
        <v>446</v>
      </c>
      <c r="I462" t="s">
        <v>586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634</v>
      </c>
      <c r="D463">
        <v>0.067854571634269</v>
      </c>
      <c r="E463">
        <v>-0.02349236168227364</v>
      </c>
      <c r="F463">
        <v>0.02</v>
      </c>
      <c r="G463">
        <v>0.03895019292443025</v>
      </c>
      <c r="H463" t="s">
        <v>446</v>
      </c>
      <c r="I463" t="s">
        <v>372</v>
      </c>
    </row>
    <row r="464" spans="1:9">
      <c r="A464" s="1" t="s">
        <v>471</v>
      </c>
      <c r="B464">
        <f>HYPERLINK("https://www.suredividend.com/sure-analysis-ABR/","Arbor Realty Trust, Inc.")</f>
        <v>0</v>
      </c>
      <c r="C464" t="s">
        <v>634</v>
      </c>
      <c r="D464">
        <v>0.102409638554216</v>
      </c>
      <c r="E464">
        <v>-0.1469182816488666</v>
      </c>
      <c r="F464">
        <v>0.095</v>
      </c>
      <c r="G464">
        <v>0.03818766933642004</v>
      </c>
      <c r="H464" t="s">
        <v>446</v>
      </c>
      <c r="I464" t="s">
        <v>372</v>
      </c>
    </row>
    <row r="465" spans="1:9">
      <c r="A465" s="1" t="s">
        <v>472</v>
      </c>
      <c r="B465">
        <f>HYPERLINK("https://www.suredividend.com/sure-analysis-FL/","Foot Locker, Inc.")</f>
        <v>0</v>
      </c>
      <c r="C465" t="s">
        <v>632</v>
      </c>
      <c r="D465">
        <v>0.03536585365853601</v>
      </c>
      <c r="E465">
        <v>0.01879248178299053</v>
      </c>
      <c r="F465">
        <v>0</v>
      </c>
      <c r="G465">
        <v>0.03678837262822943</v>
      </c>
      <c r="H465" t="s">
        <v>446</v>
      </c>
      <c r="I465" t="s">
        <v>446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632</v>
      </c>
      <c r="D466">
        <v>0.02650978168415</v>
      </c>
      <c r="E466">
        <v>-0.08598060423849729</v>
      </c>
      <c r="F466">
        <v>0.1</v>
      </c>
      <c r="G466">
        <v>0.03310001557666742</v>
      </c>
      <c r="H466" t="s">
        <v>446</v>
      </c>
      <c r="I466" t="s">
        <v>586</v>
      </c>
    </row>
    <row r="467" spans="1:9">
      <c r="A467" s="1" t="s">
        <v>474</v>
      </c>
      <c r="B467">
        <f>HYPERLINK("https://www.suredividend.com/sure-analysis-FLR/","Fluor Corp.")</f>
        <v>0</v>
      </c>
      <c r="C467" t="s">
        <v>632</v>
      </c>
      <c r="D467">
        <v>0.076120959332638</v>
      </c>
      <c r="E467">
        <v>-0.01261896693693487</v>
      </c>
      <c r="F467">
        <v>0.02</v>
      </c>
      <c r="G467">
        <v>0.03035716407844169</v>
      </c>
      <c r="H467" t="s">
        <v>446</v>
      </c>
      <c r="I467" t="s">
        <v>637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632</v>
      </c>
      <c r="D468">
        <v>0.051020408163265</v>
      </c>
      <c r="E468">
        <v>-0.04832848173141857</v>
      </c>
      <c r="F468">
        <v>0.03</v>
      </c>
      <c r="G468">
        <v>0.03013705780113951</v>
      </c>
      <c r="H468" t="s">
        <v>446</v>
      </c>
      <c r="I468" t="s">
        <v>372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0.026923076923076</v>
      </c>
      <c r="E469">
        <v>-0.05916243681239541</v>
      </c>
      <c r="F469">
        <v>0.06</v>
      </c>
      <c r="G469">
        <v>0.02928530218058056</v>
      </c>
      <c r="H469" t="s">
        <v>446</v>
      </c>
      <c r="I469" t="s">
        <v>586</v>
      </c>
    </row>
    <row r="470" spans="1:9">
      <c r="A470" s="1" t="s">
        <v>477</v>
      </c>
      <c r="B470">
        <f>HYPERLINK("https://www.suredividend.com/sure-analysis-PKX/","POSCO")</f>
        <v>0</v>
      </c>
      <c r="C470" t="s">
        <v>632</v>
      </c>
      <c r="D470">
        <v>0.042256428058415</v>
      </c>
      <c r="E470">
        <v>-0.03474799185913036</v>
      </c>
      <c r="F470">
        <v>0.02</v>
      </c>
      <c r="G470">
        <v>0.02340701636949638</v>
      </c>
      <c r="H470" t="s">
        <v>446</v>
      </c>
      <c r="I470" t="s">
        <v>372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632</v>
      </c>
      <c r="D471">
        <v>0.018275538894095</v>
      </c>
      <c r="E471">
        <v>-0.06316035433986533</v>
      </c>
      <c r="F471">
        <v>0.07000000000000001</v>
      </c>
      <c r="G471">
        <v>0.01859817824611265</v>
      </c>
      <c r="H471" t="s">
        <v>446</v>
      </c>
      <c r="I471" t="s">
        <v>586</v>
      </c>
    </row>
    <row r="472" spans="1:9">
      <c r="A472" s="1" t="s">
        <v>479</v>
      </c>
      <c r="B472">
        <f>HYPERLINK("https://www.suredividend.com/sure-analysis-WDR/","Waddell &amp; Reed Financial, Inc.")</f>
        <v>0</v>
      </c>
      <c r="C472" t="s">
        <v>632</v>
      </c>
      <c r="D472">
        <v>0.070126227208976</v>
      </c>
      <c r="E472">
        <v>-0.05058818518714692</v>
      </c>
      <c r="F472">
        <v>-0.01</v>
      </c>
      <c r="G472">
        <v>0.01630250500532981</v>
      </c>
      <c r="H472" t="s">
        <v>446</v>
      </c>
      <c r="I472" t="s">
        <v>372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634</v>
      </c>
      <c r="D473">
        <v>0.060121329847595</v>
      </c>
      <c r="E473">
        <v>-0.07529230687541721</v>
      </c>
      <c r="F473">
        <v>0.025</v>
      </c>
      <c r="G473">
        <v>0.01612632686937343</v>
      </c>
      <c r="H473" t="s">
        <v>446</v>
      </c>
      <c r="I473" t="s">
        <v>372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0.020060527453523</v>
      </c>
      <c r="E474">
        <v>-0.07105742030290241</v>
      </c>
      <c r="F474">
        <v>0.06</v>
      </c>
      <c r="G474">
        <v>0.007611792698204445</v>
      </c>
      <c r="H474" t="s">
        <v>446</v>
      </c>
      <c r="I474" t="s">
        <v>446</v>
      </c>
    </row>
    <row r="475" spans="1:9">
      <c r="A475" s="1" t="s">
        <v>482</v>
      </c>
      <c r="B475">
        <f>HYPERLINK("https://www.suredividend.com/sure-analysis-GLPI/","Gaming &amp; Leisure Properties, Inc.")</f>
        <v>0</v>
      </c>
      <c r="C475" t="s">
        <v>634</v>
      </c>
      <c r="D475">
        <v>0.070749736008447</v>
      </c>
      <c r="E475">
        <v>-0.02138067110202058</v>
      </c>
      <c r="F475">
        <v>-0.021</v>
      </c>
      <c r="G475">
        <v>0.006318941320587301</v>
      </c>
      <c r="H475" t="s">
        <v>446</v>
      </c>
      <c r="I475" t="s">
        <v>372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0.014193548387096</v>
      </c>
      <c r="E476">
        <v>-0.04989870601803115</v>
      </c>
      <c r="F476">
        <v>0.036</v>
      </c>
      <c r="G476">
        <v>0.001047034770377264</v>
      </c>
      <c r="H476" t="s">
        <v>446</v>
      </c>
      <c r="I476" t="s">
        <v>586</v>
      </c>
    </row>
    <row r="477" spans="1:9">
      <c r="A477" s="1" t="s">
        <v>484</v>
      </c>
      <c r="B477">
        <f>HYPERLINK("https://www.suredividend.com/sure-analysis-DRI/","Darden Restaurants, Inc.")</f>
        <v>0</v>
      </c>
      <c r="C477" t="s">
        <v>632</v>
      </c>
      <c r="D477">
        <v>0.018112586189153</v>
      </c>
      <c r="E477">
        <v>-0.1175416269661915</v>
      </c>
      <c r="F477">
        <v>0.13</v>
      </c>
      <c r="G477">
        <v>-0.002822038471796517</v>
      </c>
      <c r="H477" t="s">
        <v>446</v>
      </c>
      <c r="I477" t="s">
        <v>586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0.030495600511393</v>
      </c>
      <c r="E478">
        <v>-0.05164857611310858</v>
      </c>
      <c r="F478">
        <v>0.04</v>
      </c>
      <c r="G478">
        <v>-0.01371451915763289</v>
      </c>
      <c r="H478" t="s">
        <v>446</v>
      </c>
      <c r="I478" t="s">
        <v>446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632</v>
      </c>
      <c r="D479">
        <v>0.039310344827586</v>
      </c>
      <c r="E479">
        <v>-0.1121401913093391</v>
      </c>
      <c r="F479">
        <v>0.03</v>
      </c>
      <c r="G479">
        <v>-0.02048886992859</v>
      </c>
      <c r="H479" t="s">
        <v>446</v>
      </c>
      <c r="I479" t="s">
        <v>446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632</v>
      </c>
      <c r="D480">
        <v>0.006535947712418001</v>
      </c>
      <c r="E480">
        <v>-0.1216255163736163</v>
      </c>
      <c r="F480">
        <v>0.08500000000000001</v>
      </c>
      <c r="G480">
        <v>-0.03734412165353873</v>
      </c>
      <c r="H480" t="s">
        <v>446</v>
      </c>
      <c r="I480" t="s">
        <v>586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632</v>
      </c>
      <c r="D481">
        <v>0.028811524609843</v>
      </c>
      <c r="E481">
        <v>-0.1191744079042869</v>
      </c>
      <c r="F481">
        <v>0.04</v>
      </c>
      <c r="G481">
        <v>-0.0435562959742064</v>
      </c>
      <c r="H481" t="s">
        <v>446</v>
      </c>
      <c r="I481" t="s">
        <v>446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632</v>
      </c>
      <c r="D482">
        <v>0.024680237794991</v>
      </c>
      <c r="E482">
        <v>-0.1158010283399076</v>
      </c>
      <c r="F482">
        <v>0.04</v>
      </c>
      <c r="G482">
        <v>-0.04759255551783625</v>
      </c>
      <c r="H482" t="s">
        <v>446</v>
      </c>
      <c r="I482" t="s">
        <v>586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0.037384812286689</v>
      </c>
      <c r="E483">
        <v>-0.1112141147365089</v>
      </c>
      <c r="F483">
        <v>0.029</v>
      </c>
      <c r="G483">
        <v>-0.0578167662833402</v>
      </c>
      <c r="H483" t="s">
        <v>446</v>
      </c>
      <c r="I483" t="s">
        <v>446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0.021729289271163</v>
      </c>
      <c r="E484">
        <v>-0.2053416250092218</v>
      </c>
      <c r="F484">
        <v>0.02</v>
      </c>
      <c r="G484">
        <v>-0.1419144011528822</v>
      </c>
      <c r="H484" t="s">
        <v>446</v>
      </c>
      <c r="I484" t="s">
        <v>446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0.306345733041575</v>
      </c>
      <c r="E485">
        <v>0.145157605760373</v>
      </c>
      <c r="F485">
        <v>0.03</v>
      </c>
      <c r="G485">
        <v>0.2406645707554209</v>
      </c>
      <c r="H485" t="s">
        <v>586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0.10506329113924</v>
      </c>
      <c r="E486">
        <v>0.1515918384064963</v>
      </c>
      <c r="F486">
        <v>0.05</v>
      </c>
      <c r="G486">
        <v>0.2302713098059845</v>
      </c>
      <c r="H486" t="s">
        <v>586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0.06848635235732001</v>
      </c>
      <c r="E487">
        <v>0.1411898789591177</v>
      </c>
      <c r="F487">
        <v>0.04</v>
      </c>
      <c r="G487">
        <v>0.2219373748901268</v>
      </c>
      <c r="H487" t="s">
        <v>586</v>
      </c>
      <c r="I487" t="s">
        <v>446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0.09119079148874301</v>
      </c>
      <c r="E488">
        <v>0.09979508227145861</v>
      </c>
      <c r="F488">
        <v>0.08</v>
      </c>
      <c r="G488">
        <v>0.2153815756738013</v>
      </c>
      <c r="H488" t="s">
        <v>586</v>
      </c>
      <c r="I488" t="s">
        <v>446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0.102065613608748</v>
      </c>
      <c r="E489">
        <v>0.05973815245467806</v>
      </c>
      <c r="F489">
        <v>0.11</v>
      </c>
      <c r="G489">
        <v>0.2087708476934778</v>
      </c>
      <c r="H489" t="s">
        <v>586</v>
      </c>
      <c r="I489" t="s">
        <v>372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633</v>
      </c>
      <c r="D490">
        <v>0.189248601119104</v>
      </c>
      <c r="E490">
        <v>0.08717450228734003</v>
      </c>
      <c r="F490">
        <v>0.04</v>
      </c>
      <c r="G490">
        <v>0.2009178136592482</v>
      </c>
      <c r="H490" t="s">
        <v>586</v>
      </c>
      <c r="I490" t="s">
        <v>637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632</v>
      </c>
      <c r="D491">
        <v>0.121500559910414</v>
      </c>
      <c r="E491">
        <v>0.06087925589129739</v>
      </c>
      <c r="F491">
        <v>0.09</v>
      </c>
      <c r="G491">
        <v>0.1965990552987413</v>
      </c>
      <c r="H491" t="s">
        <v>586</v>
      </c>
      <c r="I491" t="s">
        <v>372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632</v>
      </c>
      <c r="D492">
        <v>0.172185430463576</v>
      </c>
      <c r="E492">
        <v>0.04257474230731795</v>
      </c>
      <c r="F492">
        <v>0.061</v>
      </c>
      <c r="G492">
        <v>0.1917971000015013</v>
      </c>
      <c r="H492" t="s">
        <v>586</v>
      </c>
      <c r="I492" t="s">
        <v>372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0.081519930675909</v>
      </c>
      <c r="E493">
        <v>0.09983592332381797</v>
      </c>
      <c r="F493">
        <v>0.03</v>
      </c>
      <c r="G493">
        <v>0.1916095543874818</v>
      </c>
      <c r="H493" t="s">
        <v>586</v>
      </c>
      <c r="I493" t="s">
        <v>446</v>
      </c>
    </row>
    <row r="494" spans="1:9">
      <c r="A494" s="1" t="s">
        <v>501</v>
      </c>
      <c r="B494">
        <f>HYPERLINK("https://www.suredividend.com/sure-analysis-VET/","Vermilion Energy, Inc.")</f>
        <v>0</v>
      </c>
      <c r="C494" t="s">
        <v>632</v>
      </c>
      <c r="D494">
        <v>0.628151260504201</v>
      </c>
      <c r="E494">
        <v>0.01783944692269146</v>
      </c>
      <c r="F494">
        <v>0.05</v>
      </c>
      <c r="G494">
        <v>0.1909770041333696</v>
      </c>
      <c r="H494" t="s">
        <v>586</v>
      </c>
      <c r="I494" t="s">
        <v>372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632</v>
      </c>
      <c r="D495">
        <v>0.11480122324159</v>
      </c>
      <c r="E495">
        <v>0.06116027782180922</v>
      </c>
      <c r="F495">
        <v>0.07000000000000001</v>
      </c>
      <c r="G495">
        <v>0.1876286872510033</v>
      </c>
      <c r="H495" t="s">
        <v>586</v>
      </c>
      <c r="I495" t="s">
        <v>372</v>
      </c>
    </row>
    <row r="496" spans="1:9">
      <c r="A496" s="1" t="s">
        <v>503</v>
      </c>
      <c r="B496">
        <f>HYPERLINK("https://www.suredividend.com/sure-analysis-USAC/","USA Compression Partners LP")</f>
        <v>0</v>
      </c>
      <c r="C496" t="s">
        <v>633</v>
      </c>
      <c r="D496">
        <v>0.207509881422924</v>
      </c>
      <c r="E496">
        <v>0.04646484134803996</v>
      </c>
      <c r="F496">
        <v>0.01</v>
      </c>
      <c r="G496">
        <v>0.1870080447430911</v>
      </c>
      <c r="H496" t="s">
        <v>586</v>
      </c>
      <c r="I496" t="s">
        <v>637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632</v>
      </c>
      <c r="D497">
        <v>0.068078668683812</v>
      </c>
      <c r="E497">
        <v>0.09697711612415794</v>
      </c>
      <c r="F497">
        <v>0.04</v>
      </c>
      <c r="G497">
        <v>0.1829138393890604</v>
      </c>
      <c r="H497" t="s">
        <v>586</v>
      </c>
      <c r="I497" t="s">
        <v>446</v>
      </c>
    </row>
    <row r="498" spans="1:9">
      <c r="A498" s="1" t="s">
        <v>505</v>
      </c>
      <c r="B498">
        <f>HYPERLINK("https://www.suredividend.com/sure-analysis-XOM/","Exxon Mobil Corp.")</f>
        <v>0</v>
      </c>
      <c r="C498" t="s">
        <v>632</v>
      </c>
      <c r="D498">
        <v>0.100461893764434</v>
      </c>
      <c r="E498">
        <v>0.0392840960313845</v>
      </c>
      <c r="F498">
        <v>0.08</v>
      </c>
      <c r="G498">
        <v>0.1811894521199962</v>
      </c>
      <c r="H498" t="s">
        <v>586</v>
      </c>
      <c r="I498" t="s">
        <v>372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0.178571428571428</v>
      </c>
      <c r="E499">
        <v>0.09681123419972182</v>
      </c>
      <c r="F499">
        <v>0.01</v>
      </c>
      <c r="G499">
        <v>0.1793400121119357</v>
      </c>
      <c r="H499" t="s">
        <v>586</v>
      </c>
      <c r="I499" t="s">
        <v>372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0.077541040866224</v>
      </c>
      <c r="E500">
        <v>0.1134608367611913</v>
      </c>
      <c r="F500">
        <v>0.01</v>
      </c>
      <c r="G500">
        <v>0.1738525262348904</v>
      </c>
      <c r="H500" t="s">
        <v>586</v>
      </c>
      <c r="I500" t="s">
        <v>446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632</v>
      </c>
      <c r="D501">
        <v>0.08561020036429801</v>
      </c>
      <c r="E501">
        <v>0.07138576451424172</v>
      </c>
      <c r="F501">
        <v>0.04</v>
      </c>
      <c r="G501">
        <v>0.1713667978635314</v>
      </c>
      <c r="H501" t="s">
        <v>586</v>
      </c>
      <c r="I501" t="s">
        <v>446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0.07811637841216901</v>
      </c>
      <c r="E502">
        <v>-0.1086616288228874</v>
      </c>
      <c r="F502">
        <v>0.25</v>
      </c>
      <c r="G502">
        <v>0.1678863100190351</v>
      </c>
      <c r="H502" t="s">
        <v>586</v>
      </c>
      <c r="I502" t="s">
        <v>372</v>
      </c>
    </row>
    <row r="503" spans="1:9">
      <c r="A503" s="1" t="s">
        <v>510</v>
      </c>
      <c r="B503">
        <f>HYPERLINK("https://www.suredividend.com/sure-analysis-IMO/","Imperial Oil Ltd.")</f>
        <v>0</v>
      </c>
      <c r="C503" t="s">
        <v>632</v>
      </c>
      <c r="D503">
        <v>0.05334511258245701</v>
      </c>
      <c r="E503">
        <v>0.1022893782972785</v>
      </c>
      <c r="F503">
        <v>0.03</v>
      </c>
      <c r="G503">
        <v>0.167685089780008</v>
      </c>
      <c r="H503" t="s">
        <v>586</v>
      </c>
      <c r="I503" t="s">
        <v>446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632</v>
      </c>
      <c r="D504">
        <v>0.06905192816371901</v>
      </c>
      <c r="E504">
        <v>-0.008006914811720667</v>
      </c>
      <c r="F504">
        <v>0.13</v>
      </c>
      <c r="G504">
        <v>0.164327747848068</v>
      </c>
      <c r="H504" t="s">
        <v>586</v>
      </c>
      <c r="I504" t="s">
        <v>446</v>
      </c>
    </row>
    <row r="505" spans="1:9">
      <c r="A505" s="1" t="s">
        <v>512</v>
      </c>
      <c r="B505">
        <f>HYPERLINK("https://www.suredividend.com/sure-analysis-CMA/","Comerica, Inc.")</f>
        <v>0</v>
      </c>
      <c r="C505" t="s">
        <v>632</v>
      </c>
      <c r="D505">
        <v>0.072386058981233</v>
      </c>
      <c r="E505">
        <v>0.08076375495590482</v>
      </c>
      <c r="F505">
        <v>0.03</v>
      </c>
      <c r="G505">
        <v>0.1608341808031555</v>
      </c>
      <c r="H505" t="s">
        <v>586</v>
      </c>
      <c r="I505" t="s">
        <v>446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634</v>
      </c>
      <c r="D506">
        <v>0.40680473372781</v>
      </c>
      <c r="E506">
        <v>0.1216230094657016</v>
      </c>
      <c r="F506">
        <v>-0.02</v>
      </c>
      <c r="G506">
        <v>0.1599998947690058</v>
      </c>
      <c r="H506" t="s">
        <v>586</v>
      </c>
      <c r="I506" t="s">
        <v>637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632</v>
      </c>
      <c r="D507">
        <v>0.06802721088435301</v>
      </c>
      <c r="E507">
        <v>0.06351233698603864</v>
      </c>
      <c r="F507">
        <v>0.04</v>
      </c>
      <c r="G507">
        <v>0.1527216241309621</v>
      </c>
      <c r="H507" t="s">
        <v>586</v>
      </c>
      <c r="I507" t="s">
        <v>446</v>
      </c>
    </row>
    <row r="508" spans="1:9">
      <c r="A508" s="1" t="s">
        <v>515</v>
      </c>
      <c r="B508">
        <f>HYPERLINK("https://www.suredividend.com/sure-analysis-OXY/","Occidental Petroleum Corp.")</f>
        <v>0</v>
      </c>
      <c r="C508" t="s">
        <v>632</v>
      </c>
      <c r="D508">
        <v>0.232876712328767</v>
      </c>
      <c r="E508">
        <v>0.1198615197969346</v>
      </c>
      <c r="F508">
        <v>0.02</v>
      </c>
      <c r="G508">
        <v>0.1478995852988318</v>
      </c>
      <c r="H508" t="s">
        <v>586</v>
      </c>
      <c r="I508" t="s">
        <v>372</v>
      </c>
    </row>
    <row r="509" spans="1:9">
      <c r="A509" s="1" t="s">
        <v>516</v>
      </c>
      <c r="B509">
        <f>HYPERLINK("https://www.suredividend.com/sure-analysis-APLE/","Apple Hospitality REIT, Inc.")</f>
        <v>0</v>
      </c>
      <c r="C509" t="s">
        <v>634</v>
      </c>
      <c r="D509">
        <v>0.063291139240506</v>
      </c>
      <c r="E509">
        <v>0.06518980957996523</v>
      </c>
      <c r="F509">
        <v>0.039</v>
      </c>
      <c r="G509">
        <v>0.1438464260347037</v>
      </c>
      <c r="H509" t="s">
        <v>586</v>
      </c>
      <c r="I509" t="s">
        <v>446</v>
      </c>
    </row>
    <row r="510" spans="1:9">
      <c r="A510" s="1" t="s">
        <v>517</v>
      </c>
      <c r="B510">
        <f>HYPERLINK("https://www.suredividend.com/sure-analysis-BKR/","Baker Hughes Co.")</f>
        <v>0</v>
      </c>
      <c r="C510" t="s">
        <v>632</v>
      </c>
      <c r="D510">
        <v>0.05483625285605401</v>
      </c>
      <c r="E510">
        <v>-0.00198808730186284</v>
      </c>
      <c r="F510">
        <v>0.11</v>
      </c>
      <c r="G510">
        <v>0.1420225908877695</v>
      </c>
      <c r="H510" t="s">
        <v>586</v>
      </c>
      <c r="I510" t="s">
        <v>446</v>
      </c>
    </row>
    <row r="511" spans="1:9">
      <c r="A511" s="1" t="s">
        <v>518</v>
      </c>
      <c r="B511">
        <f>HYPERLINK("https://www.suredividend.com/sure-analysis-CIM/","Chimera Investment Corp.")</f>
        <v>0</v>
      </c>
      <c r="C511" t="s">
        <v>632</v>
      </c>
      <c r="D511">
        <v>0.205479452054794</v>
      </c>
      <c r="E511">
        <v>0.04468288168190782</v>
      </c>
      <c r="F511">
        <v>0</v>
      </c>
      <c r="G511">
        <v>0.1404507094008658</v>
      </c>
      <c r="H511" t="s">
        <v>586</v>
      </c>
      <c r="I511" t="s">
        <v>637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633</v>
      </c>
      <c r="D512">
        <v>0.143922651933701</v>
      </c>
      <c r="E512">
        <v>0.03979762515132412</v>
      </c>
      <c r="F512">
        <v>0.025</v>
      </c>
      <c r="G512">
        <v>0.1402679571071284</v>
      </c>
      <c r="H512" t="s">
        <v>586</v>
      </c>
      <c r="I512" t="s">
        <v>372</v>
      </c>
    </row>
    <row r="513" spans="1:9">
      <c r="A513" s="1" t="s">
        <v>520</v>
      </c>
      <c r="B513">
        <f>HYPERLINK("https://www.suredividend.com/sure-analysis-CRT/","Cross Timbers Royalty Trust")</f>
        <v>0</v>
      </c>
      <c r="C513" t="s">
        <v>632</v>
      </c>
      <c r="D513">
        <v>0.154101721170395</v>
      </c>
      <c r="E513">
        <v>0.01632564293957728</v>
      </c>
      <c r="F513">
        <v>0.04</v>
      </c>
      <c r="G513">
        <v>0.1396133362894019</v>
      </c>
      <c r="H513" t="s">
        <v>586</v>
      </c>
      <c r="I513" t="s">
        <v>637</v>
      </c>
    </row>
    <row r="514" spans="1:9">
      <c r="A514" s="1" t="s">
        <v>521</v>
      </c>
      <c r="B514">
        <f>HYPERLINK("https://www.suredividend.com/sure-analysis-PACW/","PacWest Bancorp")</f>
        <v>0</v>
      </c>
      <c r="C514" t="s">
        <v>632</v>
      </c>
      <c r="D514">
        <v>0.1266213712168</v>
      </c>
      <c r="E514">
        <v>0.09078368115024116</v>
      </c>
      <c r="F514">
        <v>0</v>
      </c>
      <c r="G514">
        <v>0.1373540584263522</v>
      </c>
      <c r="H514" t="s">
        <v>586</v>
      </c>
      <c r="I514" t="s">
        <v>637</v>
      </c>
    </row>
    <row r="515" spans="1:9">
      <c r="A515" s="1" t="s">
        <v>522</v>
      </c>
      <c r="B515">
        <f>HYPERLINK("https://www.suredividend.com/sure-analysis-OLN/","Olin Corp.")</f>
        <v>0</v>
      </c>
      <c r="C515" t="s">
        <v>632</v>
      </c>
      <c r="D515">
        <v>0.066061106523534</v>
      </c>
      <c r="E515">
        <v>0.07019016533866718</v>
      </c>
      <c r="F515">
        <v>0.02</v>
      </c>
      <c r="G515">
        <v>0.1345963659020675</v>
      </c>
      <c r="H515" t="s">
        <v>586</v>
      </c>
      <c r="I515" t="s">
        <v>446</v>
      </c>
    </row>
    <row r="516" spans="1:9">
      <c r="A516" s="1" t="s">
        <v>523</v>
      </c>
      <c r="B516">
        <f>HYPERLINK("https://www.suredividend.com/sure-analysis-INN/","Summit Hotel Properties, Inc.")</f>
        <v>0</v>
      </c>
      <c r="C516" t="s">
        <v>634</v>
      </c>
      <c r="D516">
        <v>0.072874493927125</v>
      </c>
      <c r="E516">
        <v>0.03964449980411033</v>
      </c>
      <c r="F516">
        <v>0.046</v>
      </c>
      <c r="G516">
        <v>0.1335248378528271</v>
      </c>
      <c r="H516" t="s">
        <v>586</v>
      </c>
      <c r="I516" t="s">
        <v>446</v>
      </c>
    </row>
    <row r="517" spans="1:9">
      <c r="A517" s="1" t="s">
        <v>524</v>
      </c>
      <c r="B517">
        <f>HYPERLINK("https://www.suredividend.com/sure-analysis-COP/","ConocoPhillips")</f>
        <v>0</v>
      </c>
      <c r="C517" t="s">
        <v>632</v>
      </c>
      <c r="D517">
        <v>0.046439169139465</v>
      </c>
      <c r="E517">
        <v>0.007598770053559356</v>
      </c>
      <c r="F517">
        <v>0.09</v>
      </c>
      <c r="G517">
        <v>0.1318808626387546</v>
      </c>
      <c r="H517" t="s">
        <v>586</v>
      </c>
      <c r="I517" t="s">
        <v>446</v>
      </c>
    </row>
    <row r="518" spans="1:9">
      <c r="A518" s="1" t="s">
        <v>525</v>
      </c>
      <c r="B518">
        <f>HYPERLINK("https://www.suredividend.com/sure-analysis-PBT/","Permian Basin Royalty Trust")</f>
        <v>0</v>
      </c>
      <c r="C518" t="s">
        <v>632</v>
      </c>
      <c r="D518">
        <v>0.153949425287356</v>
      </c>
      <c r="E518">
        <v>0.01846264619397853</v>
      </c>
      <c r="F518">
        <v>0.06</v>
      </c>
      <c r="G518">
        <v>0.131301890968879</v>
      </c>
      <c r="H518" t="s">
        <v>586</v>
      </c>
      <c r="I518" t="s">
        <v>372</v>
      </c>
    </row>
    <row r="519" spans="1:9">
      <c r="A519" s="1" t="s">
        <v>526</v>
      </c>
      <c r="B519">
        <f>HYPERLINK("https://www.suredividend.com/sure-analysis-CNQ/","Canadian Natural Resources Ltd.")</f>
        <v>0</v>
      </c>
      <c r="C519" t="s">
        <v>632</v>
      </c>
      <c r="D519">
        <v>0.07373266747962601</v>
      </c>
      <c r="E519">
        <v>-0.01466537009636038</v>
      </c>
      <c r="F519">
        <v>0.1</v>
      </c>
      <c r="G519">
        <v>0.1289475209047322</v>
      </c>
      <c r="H519" t="s">
        <v>586</v>
      </c>
      <c r="I519" t="s">
        <v>446</v>
      </c>
    </row>
    <row r="520" spans="1:9">
      <c r="A520" s="1" t="s">
        <v>527</v>
      </c>
      <c r="B520">
        <f>HYPERLINK("https://www.suredividend.com/sure-analysis-WSR/","Whitestone REIT")</f>
        <v>0</v>
      </c>
      <c r="C520" t="s">
        <v>634</v>
      </c>
      <c r="D520">
        <v>0.132427843803056</v>
      </c>
      <c r="E520">
        <v>0.06315096675749388</v>
      </c>
      <c r="F520">
        <v>0</v>
      </c>
      <c r="G520">
        <v>0.1250085769522831</v>
      </c>
      <c r="H520" t="s">
        <v>586</v>
      </c>
      <c r="I520" t="s">
        <v>372</v>
      </c>
    </row>
    <row r="521" spans="1:9">
      <c r="A521" s="1" t="s">
        <v>528</v>
      </c>
      <c r="B521">
        <f>HYPERLINK("https://www.suredividend.com/sure-analysis-PTR/","PetroChina Co., Ltd.")</f>
        <v>0</v>
      </c>
      <c r="C521" t="s">
        <v>632</v>
      </c>
      <c r="D521">
        <v>0.063795418589321</v>
      </c>
      <c r="E521">
        <v>0.01071073942919298</v>
      </c>
      <c r="F521">
        <v>0.07000000000000001</v>
      </c>
      <c r="G521">
        <v>0.1246867588479501</v>
      </c>
      <c r="H521" t="s">
        <v>586</v>
      </c>
      <c r="I521" t="s">
        <v>446</v>
      </c>
    </row>
    <row r="522" spans="1:9">
      <c r="A522" s="1" t="s">
        <v>529</v>
      </c>
      <c r="B522">
        <f>HYPERLINK("https://www.suredividend.com/sure-analysis-LUV/","Southwest Airlines Co.")</f>
        <v>0</v>
      </c>
      <c r="C522" t="s">
        <v>632</v>
      </c>
      <c r="D522">
        <v>0.009703504043126001</v>
      </c>
      <c r="E522">
        <v>0.03470310744903027</v>
      </c>
      <c r="F522">
        <v>0.08</v>
      </c>
      <c r="G522">
        <v>0.1237966013328251</v>
      </c>
      <c r="H522" t="s">
        <v>586</v>
      </c>
      <c r="I522" t="s">
        <v>586</v>
      </c>
    </row>
    <row r="523" spans="1:9">
      <c r="A523" s="1" t="s">
        <v>530</v>
      </c>
      <c r="B523">
        <f>HYPERLINK("https://www.suredividend.com/sure-analysis-SLB/","Schlumberger NV")</f>
        <v>0</v>
      </c>
      <c r="C523" t="s">
        <v>632</v>
      </c>
      <c r="D523">
        <v>0.102072864321608</v>
      </c>
      <c r="E523">
        <v>0.04668834061075966</v>
      </c>
      <c r="F523">
        <v>0.05</v>
      </c>
      <c r="G523">
        <v>0.1220829248563313</v>
      </c>
      <c r="H523" t="s">
        <v>586</v>
      </c>
      <c r="I523" t="s">
        <v>446</v>
      </c>
    </row>
    <row r="524" spans="1:9">
      <c r="A524" s="1" t="s">
        <v>531</v>
      </c>
      <c r="B524">
        <f>HYPERLINK("https://www.suredividend.com/sure-analysis-WFC/","Wells Fargo &amp; Co.")</f>
        <v>0</v>
      </c>
      <c r="C524" t="s">
        <v>632</v>
      </c>
      <c r="D524">
        <v>0.08629441624365401</v>
      </c>
      <c r="E524">
        <v>0.06898914087821706</v>
      </c>
      <c r="F524">
        <v>0.03</v>
      </c>
      <c r="G524">
        <v>0.12095280974019</v>
      </c>
      <c r="H524" t="s">
        <v>586</v>
      </c>
      <c r="I524" t="s">
        <v>372</v>
      </c>
    </row>
    <row r="525" spans="1:9">
      <c r="A525" s="1" t="s">
        <v>532</v>
      </c>
      <c r="B525">
        <f>HYPERLINK("https://www.suredividend.com/sure-analysis-AXS/","AXIS Capital Holdings Ltd.")</f>
        <v>0</v>
      </c>
      <c r="C525" t="s">
        <v>632</v>
      </c>
      <c r="D525">
        <v>0.03798648333721701</v>
      </c>
      <c r="E525">
        <v>0.03917565966602332</v>
      </c>
      <c r="F525">
        <v>0.05</v>
      </c>
      <c r="G525">
        <v>0.1207423827331151</v>
      </c>
      <c r="H525" t="s">
        <v>586</v>
      </c>
      <c r="I525" t="s">
        <v>586</v>
      </c>
    </row>
    <row r="526" spans="1:9">
      <c r="A526" s="1" t="s">
        <v>533</v>
      </c>
      <c r="B526">
        <f>HYPERLINK("https://www.suredividend.com/sure-analysis-STWD/","Starwood Property Trust, Inc.")</f>
        <v>0</v>
      </c>
      <c r="C526" t="s">
        <v>634</v>
      </c>
      <c r="D526">
        <v>0.125572269457161</v>
      </c>
      <c r="E526">
        <v>0.009119269928744345</v>
      </c>
      <c r="F526">
        <v>0.014</v>
      </c>
      <c r="G526">
        <v>0.1183792779594575</v>
      </c>
      <c r="H526" t="s">
        <v>586</v>
      </c>
      <c r="I526" t="s">
        <v>637</v>
      </c>
    </row>
    <row r="527" spans="1:9">
      <c r="A527" s="1" t="s">
        <v>534</v>
      </c>
      <c r="B527">
        <f>HYPERLINK("https://www.suredividend.com/sure-analysis-HP/","Helmerich &amp; Payne, Inc.")</f>
        <v>0</v>
      </c>
      <c r="C527" t="s">
        <v>632</v>
      </c>
      <c r="D527">
        <v>0.168079096045197</v>
      </c>
      <c r="E527">
        <v>-0.08665290620787802</v>
      </c>
      <c r="F527">
        <v>0.17</v>
      </c>
      <c r="G527">
        <v>0.1179935819441997</v>
      </c>
      <c r="H527" t="s">
        <v>586</v>
      </c>
      <c r="I527" t="s">
        <v>372</v>
      </c>
    </row>
    <row r="528" spans="1:9">
      <c r="A528" s="1" t="s">
        <v>535</v>
      </c>
      <c r="B528">
        <f>HYPERLINK("https://www.suredividend.com/sure-analysis-PBR/","Petróleo Brasileiro SA")</f>
        <v>0</v>
      </c>
      <c r="C528" t="s">
        <v>632</v>
      </c>
      <c r="D528">
        <v>0.022458042895442</v>
      </c>
      <c r="E528">
        <v>0.00635307866476853</v>
      </c>
      <c r="F528">
        <v>0.1</v>
      </c>
      <c r="G528">
        <v>0.1169826763026394</v>
      </c>
      <c r="H528" t="s">
        <v>586</v>
      </c>
      <c r="I528" t="s">
        <v>586</v>
      </c>
    </row>
    <row r="529" spans="1:9">
      <c r="A529" s="1" t="s">
        <v>536</v>
      </c>
      <c r="B529">
        <f>HYPERLINK("https://www.suredividend.com/sure-analysis-HST/","Host Hotels &amp; Resorts, Inc.")</f>
        <v>0</v>
      </c>
      <c r="C529" t="s">
        <v>634</v>
      </c>
      <c r="D529">
        <v>0.05639097744360901</v>
      </c>
      <c r="E529">
        <v>0.09825062397617712</v>
      </c>
      <c r="F529">
        <v>0</v>
      </c>
      <c r="G529">
        <v>0.116981602655609</v>
      </c>
      <c r="H529" t="s">
        <v>586</v>
      </c>
      <c r="I529" t="s">
        <v>446</v>
      </c>
    </row>
    <row r="530" spans="1:9">
      <c r="A530" s="1" t="s">
        <v>537</v>
      </c>
      <c r="B530">
        <f>HYPERLINK("https://www.suredividend.com/sure-analysis-BPY/","Brookfield Property Partners LP")</f>
        <v>0</v>
      </c>
      <c r="C530" t="s">
        <v>634</v>
      </c>
      <c r="D530">
        <v>0.118303571428571</v>
      </c>
      <c r="E530">
        <v>-0.02241079899542509</v>
      </c>
      <c r="F530">
        <v>0.04</v>
      </c>
      <c r="G530">
        <v>0.1093390435774493</v>
      </c>
      <c r="H530" t="s">
        <v>586</v>
      </c>
      <c r="I530" t="s">
        <v>372</v>
      </c>
    </row>
    <row r="531" spans="1:9">
      <c r="A531" s="1" t="s">
        <v>538</v>
      </c>
      <c r="B531">
        <f>HYPERLINK("https://www.suredividend.com/sure-analysis-SBRA/","Sabra Health Care REIT, Inc.")</f>
        <v>0</v>
      </c>
      <c r="C531" t="s">
        <v>634</v>
      </c>
      <c r="D531">
        <v>0.118961788031723</v>
      </c>
      <c r="E531">
        <v>0.001867560781160238</v>
      </c>
      <c r="F531">
        <v>0.031</v>
      </c>
      <c r="G531">
        <v>0.1070110528575325</v>
      </c>
      <c r="H531" t="s">
        <v>586</v>
      </c>
      <c r="I531" t="s">
        <v>372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632</v>
      </c>
      <c r="D532">
        <v>0.026341088252259</v>
      </c>
      <c r="E532">
        <v>0.04985420868150792</v>
      </c>
      <c r="F532">
        <v>0.054</v>
      </c>
      <c r="G532">
        <v>0.1065463359503094</v>
      </c>
      <c r="H532" t="s">
        <v>586</v>
      </c>
      <c r="I532" t="s">
        <v>586</v>
      </c>
    </row>
    <row r="533" spans="1:9">
      <c r="A533" s="1" t="s">
        <v>540</v>
      </c>
      <c r="B533">
        <f>HYPERLINK("https://www.suredividend.com/sure-analysis-GLAD/","Gladstone Capital Corp.")</f>
        <v>0</v>
      </c>
      <c r="C533" t="s">
        <v>632</v>
      </c>
      <c r="D533">
        <v>0.113013698630136</v>
      </c>
      <c r="E533">
        <v>0.02352439551964203</v>
      </c>
      <c r="F533">
        <v>0</v>
      </c>
      <c r="G533">
        <v>0.1063499028125414</v>
      </c>
      <c r="H533" t="s">
        <v>586</v>
      </c>
      <c r="I533" t="s">
        <v>372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0.111210762331838</v>
      </c>
      <c r="E534">
        <v>0.01480190948335536</v>
      </c>
      <c r="F534">
        <v>0.004</v>
      </c>
      <c r="G534">
        <v>0.1058756346499119</v>
      </c>
      <c r="H534" t="s">
        <v>586</v>
      </c>
      <c r="I534" t="s">
        <v>372</v>
      </c>
    </row>
    <row r="535" spans="1:9">
      <c r="A535" s="1" t="s">
        <v>542</v>
      </c>
      <c r="B535">
        <f>HYPERLINK("https://www.suredividend.com/sure-analysis-NLY/","Annaly Capital Management, Inc.")</f>
        <v>0</v>
      </c>
      <c r="C535" t="s">
        <v>634</v>
      </c>
      <c r="D535">
        <v>0.133241758241758</v>
      </c>
      <c r="E535">
        <v>-0.007813457628780496</v>
      </c>
      <c r="F535">
        <v>0.004</v>
      </c>
      <c r="G535">
        <v>0.104341700086483</v>
      </c>
      <c r="H535" t="s">
        <v>586</v>
      </c>
      <c r="I535" t="s">
        <v>637</v>
      </c>
    </row>
    <row r="536" spans="1:9">
      <c r="A536" s="1" t="s">
        <v>543</v>
      </c>
      <c r="B536">
        <f>HYPERLINK("https://www.suredividend.com/sure-analysis-SSREY/","Swiss Re AG")</f>
        <v>0</v>
      </c>
      <c r="C536" t="s">
        <v>632</v>
      </c>
      <c r="D536">
        <v>0.08267651888341501</v>
      </c>
      <c r="E536">
        <v>-0.01430608663533295</v>
      </c>
      <c r="F536">
        <v>0.05</v>
      </c>
      <c r="G536">
        <v>0.1022067112051877</v>
      </c>
      <c r="H536" t="s">
        <v>586</v>
      </c>
      <c r="I536" t="s">
        <v>446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635</v>
      </c>
      <c r="D537">
        <v>0.09128996692392501</v>
      </c>
      <c r="E537">
        <v>-0.001548337445003156</v>
      </c>
      <c r="F537">
        <v>0.03</v>
      </c>
      <c r="G537">
        <v>0.1021811431026503</v>
      </c>
      <c r="H537" t="s">
        <v>586</v>
      </c>
      <c r="I537" t="s">
        <v>372</v>
      </c>
    </row>
    <row r="538" spans="1:9">
      <c r="A538" s="1" t="s">
        <v>545</v>
      </c>
      <c r="B538">
        <f>HYPERLINK("https://www.suredividend.com/sure-analysis-E/","Eni SpA")</f>
        <v>0</v>
      </c>
      <c r="C538" t="s">
        <v>632</v>
      </c>
      <c r="D538">
        <v>0.05691449742268</v>
      </c>
      <c r="E538">
        <v>-0.006792687421326549</v>
      </c>
      <c r="F538">
        <v>0.06</v>
      </c>
      <c r="G538">
        <v>0.1014420527643607</v>
      </c>
      <c r="H538" t="s">
        <v>586</v>
      </c>
      <c r="I538" t="s">
        <v>446</v>
      </c>
    </row>
    <row r="539" spans="1:9">
      <c r="A539" s="1" t="s">
        <v>546</v>
      </c>
      <c r="B539">
        <f>HYPERLINK("https://www.suredividend.com/sure-analysis-LADR/","Ladder Capital Corp.")</f>
        <v>0</v>
      </c>
      <c r="C539" t="s">
        <v>634</v>
      </c>
      <c r="D539">
        <v>0.176811594202898</v>
      </c>
      <c r="E539">
        <v>-0.02756533520359794</v>
      </c>
      <c r="F539">
        <v>0.02</v>
      </c>
      <c r="G539">
        <v>0.09816196003357347</v>
      </c>
      <c r="H539" t="s">
        <v>586</v>
      </c>
      <c r="I539" t="s">
        <v>372</v>
      </c>
    </row>
    <row r="540" spans="1:9">
      <c r="A540" s="1" t="s">
        <v>547</v>
      </c>
      <c r="B540">
        <f>HYPERLINK("https://www.suredividend.com/sure-analysis-HAL/","Halliburton Co.")</f>
        <v>0</v>
      </c>
      <c r="C540" t="s">
        <v>632</v>
      </c>
      <c r="D540">
        <v>0.047291835084882</v>
      </c>
      <c r="E540">
        <v>-0.06162903380708717</v>
      </c>
      <c r="F540">
        <v>0.149</v>
      </c>
      <c r="G540">
        <v>0.09682439494612161</v>
      </c>
      <c r="H540" t="s">
        <v>586</v>
      </c>
      <c r="I540" t="s">
        <v>446</v>
      </c>
    </row>
    <row r="541" spans="1:9">
      <c r="A541" s="1" t="s">
        <v>548</v>
      </c>
      <c r="B541">
        <f>HYPERLINK("https://www.suredividend.com/sure-analysis-NOV/","National Oilwell Varco, Inc.")</f>
        <v>0</v>
      </c>
      <c r="C541" t="s">
        <v>632</v>
      </c>
      <c r="D541">
        <v>0.010515247108307</v>
      </c>
      <c r="E541">
        <v>0.09542373926378955</v>
      </c>
      <c r="F541">
        <v>0</v>
      </c>
      <c r="G541">
        <v>0.09542373926378955</v>
      </c>
      <c r="H541" t="s">
        <v>586</v>
      </c>
      <c r="I541" t="s">
        <v>586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632</v>
      </c>
      <c r="D542">
        <v>0.07990985576923</v>
      </c>
      <c r="E542">
        <v>0.00428995736704274</v>
      </c>
      <c r="F542">
        <v>0.06</v>
      </c>
      <c r="G542">
        <v>0.09536747231113907</v>
      </c>
      <c r="H542" t="s">
        <v>586</v>
      </c>
      <c r="I542" t="s">
        <v>372</v>
      </c>
    </row>
    <row r="543" spans="1:9">
      <c r="A543" s="1" t="s">
        <v>550</v>
      </c>
      <c r="B543">
        <f>HYPERLINK("https://www.suredividend.com/sure-analysis-ALARF/","Alaris Equity Partners Income Trust")</f>
        <v>0</v>
      </c>
      <c r="C543" t="s">
        <v>632</v>
      </c>
      <c r="D543">
        <v>0.124683263895089</v>
      </c>
      <c r="E543">
        <v>-0.01232179250822907</v>
      </c>
      <c r="F543">
        <v>0.02</v>
      </c>
      <c r="G543">
        <v>0.09453323322657381</v>
      </c>
      <c r="H543" t="s">
        <v>586</v>
      </c>
      <c r="I543" t="s">
        <v>372</v>
      </c>
    </row>
    <row r="544" spans="1:9">
      <c r="A544" s="1" t="s">
        <v>551</v>
      </c>
      <c r="B544">
        <f>HYPERLINK("https://www.suredividend.com/sure-analysis-JWN/","Nordstrom, Inc.")</f>
        <v>0</v>
      </c>
      <c r="C544" t="s">
        <v>632</v>
      </c>
      <c r="D544">
        <v>0.06208053691275101</v>
      </c>
      <c r="E544">
        <v>0.03269091424250115</v>
      </c>
      <c r="F544">
        <v>0.03</v>
      </c>
      <c r="G544">
        <v>0.09306648085947078</v>
      </c>
      <c r="H544" t="s">
        <v>586</v>
      </c>
      <c r="I544" t="s">
        <v>446</v>
      </c>
    </row>
    <row r="545" spans="1:9">
      <c r="A545" s="1" t="s">
        <v>552</v>
      </c>
      <c r="B545">
        <f>HYPERLINK("https://www.suredividend.com/sure-analysis-SCM/","Stellus Capital Investment Corp.")</f>
        <v>0</v>
      </c>
      <c r="C545" t="s">
        <v>632</v>
      </c>
      <c r="D545">
        <v>0.153940476190476</v>
      </c>
      <c r="E545">
        <v>0</v>
      </c>
      <c r="F545">
        <v>0</v>
      </c>
      <c r="G545">
        <v>0.09287491921693625</v>
      </c>
      <c r="H545" t="s">
        <v>586</v>
      </c>
      <c r="I545" t="s">
        <v>372</v>
      </c>
    </row>
    <row r="546" spans="1:9">
      <c r="A546" s="1" t="s">
        <v>553</v>
      </c>
      <c r="B546">
        <f>HYPERLINK("https://www.suredividend.com/sure-analysis-SBR/","Sabine Royalty Trust")</f>
        <v>0</v>
      </c>
      <c r="C546" t="s">
        <v>632</v>
      </c>
      <c r="D546">
        <v>0.09172667588113301</v>
      </c>
      <c r="E546">
        <v>-0.04490656066766818</v>
      </c>
      <c r="F546">
        <v>0.05</v>
      </c>
      <c r="G546">
        <v>0.08959024940276361</v>
      </c>
      <c r="H546" t="s">
        <v>586</v>
      </c>
      <c r="I546" t="s">
        <v>372</v>
      </c>
    </row>
    <row r="547" spans="1:9">
      <c r="A547" s="1" t="s">
        <v>554</v>
      </c>
      <c r="B547">
        <f>HYPERLINK("https://www.suredividend.com/sure-analysis-PSEC/","Prospect Capital Corp.")</f>
        <v>0</v>
      </c>
      <c r="C547" t="s">
        <v>635</v>
      </c>
      <c r="D547">
        <v>0.142574257425742</v>
      </c>
      <c r="E547">
        <v>-0.02063629819387969</v>
      </c>
      <c r="F547">
        <v>0</v>
      </c>
      <c r="G547">
        <v>0.08942708719457837</v>
      </c>
      <c r="H547" t="s">
        <v>586</v>
      </c>
      <c r="I547" t="s">
        <v>637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632</v>
      </c>
      <c r="D548">
        <v>0.125207296849087</v>
      </c>
      <c r="E548">
        <v>0.08339054096014231</v>
      </c>
      <c r="F548">
        <v>-0.03</v>
      </c>
      <c r="G548">
        <v>0.08883923243658853</v>
      </c>
      <c r="H548" t="s">
        <v>586</v>
      </c>
      <c r="I548" t="s">
        <v>372</v>
      </c>
    </row>
    <row r="549" spans="1:9">
      <c r="A549" s="1" t="s">
        <v>556</v>
      </c>
      <c r="B549">
        <f>HYPERLINK("https://www.suredividend.com/sure-analysis-HOG/","Harley-Davidson, Inc.")</f>
        <v>0</v>
      </c>
      <c r="C549" t="s">
        <v>632</v>
      </c>
      <c r="D549">
        <v>0.050482879719051</v>
      </c>
      <c r="E549">
        <v>0.01877260406885561</v>
      </c>
      <c r="F549">
        <v>0.037</v>
      </c>
      <c r="G549">
        <v>0.08877427579005603</v>
      </c>
      <c r="H549" t="s">
        <v>586</v>
      </c>
      <c r="I549" t="s">
        <v>446</v>
      </c>
    </row>
    <row r="550" spans="1:9">
      <c r="A550" s="1" t="s">
        <v>557</v>
      </c>
      <c r="B550">
        <f>HYPERLINK("https://www.suredividend.com/sure-analysis-LVS/","Las Vegas Sands Corp.")</f>
        <v>0</v>
      </c>
      <c r="C550" t="s">
        <v>632</v>
      </c>
      <c r="D550">
        <v>0.033219761499148</v>
      </c>
      <c r="E550">
        <v>0.02833148801102414</v>
      </c>
      <c r="F550">
        <v>0.04</v>
      </c>
      <c r="G550">
        <v>0.08832176121993607</v>
      </c>
      <c r="H550" t="s">
        <v>586</v>
      </c>
      <c r="I550" t="s">
        <v>586</v>
      </c>
    </row>
    <row r="551" spans="1:9">
      <c r="A551" s="1" t="s">
        <v>558</v>
      </c>
      <c r="B551">
        <f>HYPERLINK("https://www.suredividend.com/sure-analysis-ARI/","Apollo Commercial Real Estate Finance, Inc.")</f>
        <v>0</v>
      </c>
      <c r="C551" t="s">
        <v>634</v>
      </c>
      <c r="D551">
        <v>0.18412348401323</v>
      </c>
      <c r="E551">
        <v>0.0176667414835574</v>
      </c>
      <c r="F551">
        <v>-0.042</v>
      </c>
      <c r="G551">
        <v>0.08790516046735419</v>
      </c>
      <c r="H551" t="s">
        <v>586</v>
      </c>
      <c r="I551" t="s">
        <v>637</v>
      </c>
    </row>
    <row r="552" spans="1:9">
      <c r="A552" s="1" t="s">
        <v>559</v>
      </c>
      <c r="B552">
        <f>HYPERLINK("https://www.suredividend.com/sure-analysis-SIX/","Six Flags Entertainment Corp.")</f>
        <v>0</v>
      </c>
      <c r="C552" t="s">
        <v>632</v>
      </c>
      <c r="D552">
        <v>0.051502145922746</v>
      </c>
      <c r="E552">
        <v>0.05184819673115193</v>
      </c>
      <c r="F552">
        <v>0.03</v>
      </c>
      <c r="G552">
        <v>0.08340364263308664</v>
      </c>
      <c r="H552" t="s">
        <v>586</v>
      </c>
      <c r="I552" t="s">
        <v>446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632</v>
      </c>
      <c r="D553">
        <v>0.087454764776839</v>
      </c>
      <c r="E553">
        <v>-0.1785872633316177</v>
      </c>
      <c r="F553">
        <v>0.229</v>
      </c>
      <c r="G553">
        <v>0.08284525592653069</v>
      </c>
      <c r="H553" t="s">
        <v>586</v>
      </c>
      <c r="I553" t="s">
        <v>372</v>
      </c>
    </row>
    <row r="554" spans="1:9">
      <c r="A554" s="1" t="s">
        <v>561</v>
      </c>
      <c r="B554">
        <f>HYPERLINK("https://www.suredividend.com/sure-analysis-PSO/","Pearson Plc")</f>
        <v>0</v>
      </c>
      <c r="C554" t="s">
        <v>632</v>
      </c>
      <c r="D554">
        <v>0.034243319268635</v>
      </c>
      <c r="E554">
        <v>0.03390809835982478</v>
      </c>
      <c r="F554">
        <v>0.02</v>
      </c>
      <c r="G554">
        <v>0.08056502214280314</v>
      </c>
      <c r="H554" t="s">
        <v>586</v>
      </c>
      <c r="I554" t="s">
        <v>586</v>
      </c>
    </row>
    <row r="555" spans="1:9">
      <c r="A555" s="1" t="s">
        <v>562</v>
      </c>
      <c r="B555">
        <f>HYPERLINK("https://www.suredividend.com/sure-analysis-FUN/","Cedar Fair LP")</f>
        <v>0</v>
      </c>
      <c r="C555" t="s">
        <v>632</v>
      </c>
      <c r="D555">
        <v>0.066785714285714</v>
      </c>
      <c r="E555">
        <v>0</v>
      </c>
      <c r="F555">
        <v>0.05</v>
      </c>
      <c r="G555">
        <v>0.08011095322655604</v>
      </c>
      <c r="H555" t="s">
        <v>586</v>
      </c>
      <c r="I555" t="s">
        <v>446</v>
      </c>
    </row>
    <row r="556" spans="1:9">
      <c r="A556" s="1" t="s">
        <v>563</v>
      </c>
      <c r="B556">
        <f>HYPERLINK("https://www.suredividend.com/sure-analysis-CAKE/","Cheesecake Factory, Inc.")</f>
        <v>0</v>
      </c>
      <c r="C556" t="s">
        <v>632</v>
      </c>
      <c r="D556">
        <v>0.026905829596412</v>
      </c>
      <c r="E556">
        <v>-0.04732090128268418</v>
      </c>
      <c r="F556">
        <v>0.12</v>
      </c>
      <c r="G556">
        <v>0.07816033229302688</v>
      </c>
      <c r="H556" t="s">
        <v>586</v>
      </c>
      <c r="I556" t="s">
        <v>586</v>
      </c>
    </row>
    <row r="557" spans="1:9">
      <c r="A557" s="1" t="s">
        <v>564</v>
      </c>
      <c r="B557">
        <f>HYPERLINK("https://www.suredividend.com/sure-analysis-EADSY/","Airbus SE")</f>
        <v>0</v>
      </c>
      <c r="C557" t="s">
        <v>632</v>
      </c>
      <c r="D557">
        <v>0.028677309007981</v>
      </c>
      <c r="E557">
        <v>0.005190980886603747</v>
      </c>
      <c r="F557">
        <v>0.06</v>
      </c>
      <c r="G557">
        <v>0.07769411498811962</v>
      </c>
      <c r="H557" t="s">
        <v>586</v>
      </c>
      <c r="I557" t="s">
        <v>586</v>
      </c>
    </row>
    <row r="558" spans="1:9">
      <c r="A558" s="1" t="s">
        <v>565</v>
      </c>
      <c r="B558">
        <f>HYPERLINK("https://www.suredividend.com/sure-analysis-MAIN/","Main Street Capital Corp.")</f>
        <v>0</v>
      </c>
      <c r="C558" t="s">
        <v>632</v>
      </c>
      <c r="D558">
        <v>0.08219178082191701</v>
      </c>
      <c r="E558">
        <v>-0.03535690847649042</v>
      </c>
      <c r="F558">
        <v>0.02</v>
      </c>
      <c r="G558">
        <v>0.07700064360830527</v>
      </c>
      <c r="H558" t="s">
        <v>586</v>
      </c>
      <c r="I558" t="s">
        <v>372</v>
      </c>
    </row>
    <row r="559" spans="1:9">
      <c r="A559" s="1" t="s">
        <v>566</v>
      </c>
      <c r="B559">
        <f>HYPERLINK("https://www.suredividend.com/sure-analysis-PBA/","Pembina Pipeline Corp.")</f>
        <v>0</v>
      </c>
      <c r="C559" t="s">
        <v>632</v>
      </c>
      <c r="D559">
        <v>0.08481430727009001</v>
      </c>
      <c r="E559">
        <v>-0.04676707625536691</v>
      </c>
      <c r="F559">
        <v>0.05</v>
      </c>
      <c r="G559">
        <v>0.0749111908772897</v>
      </c>
      <c r="H559" t="s">
        <v>586</v>
      </c>
      <c r="I559" t="s">
        <v>372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634</v>
      </c>
      <c r="D560">
        <v>0.194117647058823</v>
      </c>
      <c r="E560">
        <v>-0.02472191044052729</v>
      </c>
      <c r="F560">
        <v>0.001</v>
      </c>
      <c r="G560">
        <v>0.07288182369148322</v>
      </c>
      <c r="H560" t="s">
        <v>586</v>
      </c>
      <c r="I560" t="s">
        <v>372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634</v>
      </c>
      <c r="D561">
        <v>0.07486631016042701</v>
      </c>
      <c r="E561">
        <v>-0.08237338666412064</v>
      </c>
      <c r="F561">
        <v>0.11</v>
      </c>
      <c r="G561">
        <v>0.07231275636855972</v>
      </c>
      <c r="H561" t="s">
        <v>586</v>
      </c>
      <c r="I561" t="s">
        <v>372</v>
      </c>
    </row>
    <row r="562" spans="1:9">
      <c r="A562" s="1" t="s">
        <v>569</v>
      </c>
      <c r="B562">
        <f>HYPERLINK("https://www.suredividend.com/sure-analysis-SJR/","Shaw Communications, Inc.")</f>
        <v>0</v>
      </c>
      <c r="C562" t="s">
        <v>632</v>
      </c>
      <c r="D562">
        <v>0.06543346217559301</v>
      </c>
      <c r="E562">
        <v>-0.01844848259090459</v>
      </c>
      <c r="F562">
        <v>0.05</v>
      </c>
      <c r="G562">
        <v>0.07223418609490695</v>
      </c>
      <c r="H562" t="s">
        <v>586</v>
      </c>
      <c r="I562" t="s">
        <v>446</v>
      </c>
    </row>
    <row r="563" spans="1:9">
      <c r="A563" s="1" t="s">
        <v>570</v>
      </c>
      <c r="B563">
        <f>HYPERLINK("https://www.suredividend.com/sure-analysis-KTB/","Kontoor Brands, Inc.")</f>
        <v>0</v>
      </c>
      <c r="C563" t="s">
        <v>632</v>
      </c>
      <c r="D563">
        <v>0.07294832826747701</v>
      </c>
      <c r="E563">
        <v>0.03985508205752408</v>
      </c>
      <c r="F563">
        <v>0.03</v>
      </c>
      <c r="G563">
        <v>0.0710507345192497</v>
      </c>
      <c r="H563" t="s">
        <v>586</v>
      </c>
      <c r="I563" t="s">
        <v>372</v>
      </c>
    </row>
    <row r="564" spans="1:9">
      <c r="A564" s="1" t="s">
        <v>571</v>
      </c>
      <c r="B564">
        <f>HYPERLINK("https://www.suredividend.com/sure-analysis-SCHL/","Scholastic Corp.")</f>
        <v>0</v>
      </c>
      <c r="C564" t="s">
        <v>632</v>
      </c>
      <c r="D564">
        <v>0.02909796314258</v>
      </c>
      <c r="E564">
        <v>-0.006087238240864434</v>
      </c>
      <c r="F564">
        <v>0.05</v>
      </c>
      <c r="G564">
        <v>0.0670611803387291</v>
      </c>
      <c r="H564" t="s">
        <v>586</v>
      </c>
      <c r="I564" t="s">
        <v>586</v>
      </c>
    </row>
    <row r="565" spans="1:9">
      <c r="A565" s="1" t="s">
        <v>572</v>
      </c>
      <c r="B565">
        <f>HYPERLINK("https://www.suredividend.com/sure-analysis-R/","Ryder System, Inc.")</f>
        <v>0</v>
      </c>
      <c r="C565" t="s">
        <v>632</v>
      </c>
      <c r="D565">
        <v>0.054674151818403</v>
      </c>
      <c r="E565">
        <v>-0.0310074989868877</v>
      </c>
      <c r="F565">
        <v>0.05</v>
      </c>
      <c r="G565">
        <v>0.06658299671067724</v>
      </c>
      <c r="H565" t="s">
        <v>586</v>
      </c>
      <c r="I565" t="s">
        <v>446</v>
      </c>
    </row>
    <row r="566" spans="1:9">
      <c r="A566" s="1" t="s">
        <v>573</v>
      </c>
      <c r="B566">
        <f>HYPERLINK("https://www.suredividend.com/sure-analysis-AB/","AllianceBernstein Holding LP")</f>
        <v>0</v>
      </c>
      <c r="C566" t="s">
        <v>632</v>
      </c>
      <c r="D566">
        <v>0.097881665449233</v>
      </c>
      <c r="E566">
        <v>-0.01028994884106504</v>
      </c>
      <c r="F566">
        <v>-0.002</v>
      </c>
      <c r="G566">
        <v>0.06603528007642523</v>
      </c>
      <c r="H566" t="s">
        <v>586</v>
      </c>
      <c r="I566" t="s">
        <v>372</v>
      </c>
    </row>
    <row r="567" spans="1:9">
      <c r="A567" s="1" t="s">
        <v>574</v>
      </c>
      <c r="B567">
        <f>HYPERLINK("https://www.suredividend.com/sure-analysis-CODI/","Compass Diversified Holdings")</f>
        <v>0</v>
      </c>
      <c r="C567" t="s">
        <v>632</v>
      </c>
      <c r="D567">
        <v>0.081401921989824</v>
      </c>
      <c r="E567">
        <v>-0.04571073023426908</v>
      </c>
      <c r="F567">
        <v>0.04</v>
      </c>
      <c r="G567">
        <v>0.064967547817675</v>
      </c>
      <c r="H567" t="s">
        <v>586</v>
      </c>
      <c r="I567" t="s">
        <v>372</v>
      </c>
    </row>
    <row r="568" spans="1:9">
      <c r="A568" s="1" t="s">
        <v>575</v>
      </c>
      <c r="B568">
        <f>HYPERLINK("https://www.suredividend.com/sure-analysis-VGR/","Vector Group Ltd.")</f>
        <v>0</v>
      </c>
      <c r="C568" t="s">
        <v>632</v>
      </c>
      <c r="D568">
        <v>0.121497158907458</v>
      </c>
      <c r="E568">
        <v>-0.03820006272852428</v>
      </c>
      <c r="F568">
        <v>0.03</v>
      </c>
      <c r="G568">
        <v>0.06431055683714271</v>
      </c>
      <c r="H568" t="s">
        <v>586</v>
      </c>
      <c r="I568" t="s">
        <v>372</v>
      </c>
    </row>
    <row r="569" spans="1:9">
      <c r="A569" s="1" t="s">
        <v>576</v>
      </c>
      <c r="B569">
        <f>HYPERLINK("https://www.suredividend.com/sure-analysis-PTEN/","Patterson-UTI Energy, Inc.")</f>
        <v>0</v>
      </c>
      <c r="C569" t="s">
        <v>632</v>
      </c>
      <c r="D569">
        <v>0.048951048951048</v>
      </c>
      <c r="E569">
        <v>0.2077700647906346</v>
      </c>
      <c r="F569">
        <v>-0.14</v>
      </c>
      <c r="G569">
        <v>0.06376904774821157</v>
      </c>
      <c r="H569" t="s">
        <v>586</v>
      </c>
      <c r="I569" t="s">
        <v>446</v>
      </c>
    </row>
    <row r="570" spans="1:9">
      <c r="A570" s="1" t="s">
        <v>577</v>
      </c>
      <c r="B570">
        <f>HYPERLINK("https://www.suredividend.com/sure-analysis-DX/","Dynex Capital, Inc.")</f>
        <v>0</v>
      </c>
      <c r="C570" t="s">
        <v>634</v>
      </c>
      <c r="D570">
        <v>0.118533071381794</v>
      </c>
      <c r="E570">
        <v>-0.01721662843035732</v>
      </c>
      <c r="F570">
        <v>0</v>
      </c>
      <c r="G570">
        <v>0.06376294867131471</v>
      </c>
      <c r="H570" t="s">
        <v>586</v>
      </c>
      <c r="I570" t="s">
        <v>637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0.018861209964412</v>
      </c>
      <c r="E571">
        <v>-0.05959956146911005</v>
      </c>
      <c r="F571">
        <v>0.1</v>
      </c>
      <c r="G571">
        <v>0.05507549512773635</v>
      </c>
      <c r="H571" t="s">
        <v>586</v>
      </c>
      <c r="I571" t="s">
        <v>586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632</v>
      </c>
      <c r="D572">
        <v>0.074944386227544</v>
      </c>
      <c r="E572">
        <v>-0.03812808248993393</v>
      </c>
      <c r="F572">
        <v>0.02</v>
      </c>
      <c r="G572">
        <v>0.05298519090844134</v>
      </c>
      <c r="H572" t="s">
        <v>586</v>
      </c>
      <c r="I572" t="s">
        <v>372</v>
      </c>
    </row>
    <row r="573" spans="1:9">
      <c r="A573" s="1" t="s">
        <v>580</v>
      </c>
      <c r="B573">
        <f>HYPERLINK("https://www.suredividend.com/sure-analysis-ALK/","Alaska Air Group, Inc.")</f>
        <v>0</v>
      </c>
      <c r="C573" t="s">
        <v>632</v>
      </c>
      <c r="D573">
        <v>0.01975476839237</v>
      </c>
      <c r="E573">
        <v>0.01736966809974083</v>
      </c>
      <c r="F573">
        <v>0.02</v>
      </c>
      <c r="G573">
        <v>0.05144727339733368</v>
      </c>
      <c r="H573" t="s">
        <v>586</v>
      </c>
      <c r="I573" t="s">
        <v>586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632</v>
      </c>
      <c r="D574">
        <v>0.060731538992408</v>
      </c>
      <c r="E574">
        <v>-0.00685667037055171</v>
      </c>
      <c r="F574">
        <v>0.02</v>
      </c>
      <c r="G574">
        <v>0.05048919724905687</v>
      </c>
      <c r="H574" t="s">
        <v>586</v>
      </c>
      <c r="I574" t="s">
        <v>446</v>
      </c>
    </row>
    <row r="575" spans="1:9">
      <c r="A575" s="1" t="s">
        <v>582</v>
      </c>
      <c r="B575">
        <f>HYPERLINK("https://www.suredividend.com/sure-analysis-RRD/","R.R. Donnelley &amp; Sons Co.")</f>
        <v>0</v>
      </c>
      <c r="C575" t="s">
        <v>632</v>
      </c>
      <c r="D575">
        <v>0.042553191489361</v>
      </c>
      <c r="E575">
        <v>0.05005169060192549</v>
      </c>
      <c r="F575">
        <v>0</v>
      </c>
      <c r="G575">
        <v>0.05005169060192549</v>
      </c>
      <c r="H575" t="s">
        <v>586</v>
      </c>
      <c r="I575" t="s">
        <v>586</v>
      </c>
    </row>
    <row r="576" spans="1:9">
      <c r="A576" s="1" t="s">
        <v>583</v>
      </c>
      <c r="B576">
        <f>HYPERLINK("https://www.suredividend.com/sure-analysis-ORC/","Orchid Island Capital, Inc.")</f>
        <v>0</v>
      </c>
      <c r="C576" t="s">
        <v>634</v>
      </c>
      <c r="D576">
        <v>0.17251461988304</v>
      </c>
      <c r="E576">
        <v>-0.04854440296325058</v>
      </c>
      <c r="F576">
        <v>-0.019</v>
      </c>
      <c r="G576">
        <v>0.04641859701750528</v>
      </c>
      <c r="H576" t="s">
        <v>586</v>
      </c>
      <c r="I576" t="s">
        <v>637</v>
      </c>
    </row>
    <row r="577" spans="1:9">
      <c r="A577" s="1" t="s">
        <v>584</v>
      </c>
      <c r="B577">
        <f>HYPERLINK("https://www.suredividend.com/sure-analysis-NTR/","Nutrien Ltd.")</f>
        <v>0</v>
      </c>
      <c r="C577" t="s">
        <v>632</v>
      </c>
      <c r="D577">
        <v>0.045681100137178</v>
      </c>
      <c r="E577">
        <v>-0.04841272520013062</v>
      </c>
      <c r="F577">
        <v>0.05</v>
      </c>
      <c r="G577">
        <v>0.04460542835121606</v>
      </c>
      <c r="H577" t="s">
        <v>586</v>
      </c>
      <c r="I577" t="s">
        <v>446</v>
      </c>
    </row>
    <row r="578" spans="1:9">
      <c r="A578" s="1" t="s">
        <v>585</v>
      </c>
      <c r="B578">
        <f>HYPERLINK("https://www.suredividend.com/sure-analysis-ABEV/","Ambev SA")</f>
        <v>0</v>
      </c>
      <c r="C578" t="s">
        <v>632</v>
      </c>
      <c r="D578">
        <v>0.051845493562231</v>
      </c>
      <c r="E578">
        <v>0.00593765234347976</v>
      </c>
      <c r="F578">
        <v>0.03</v>
      </c>
      <c r="G578">
        <v>0.04345897718400682</v>
      </c>
      <c r="H578" t="s">
        <v>586</v>
      </c>
      <c r="I578" t="s">
        <v>446</v>
      </c>
    </row>
    <row r="579" spans="1:9">
      <c r="A579" s="1" t="s">
        <v>586</v>
      </c>
      <c r="B579">
        <f>HYPERLINK("https://www.suredividend.com/sure-analysis-F/","Ford Motor Co.")</f>
        <v>0</v>
      </c>
      <c r="C579" t="s">
        <v>632</v>
      </c>
      <c r="D579">
        <v>0.04608294930875501</v>
      </c>
      <c r="E579">
        <v>-0.01782879960255301</v>
      </c>
      <c r="F579">
        <v>0.02</v>
      </c>
      <c r="G579">
        <v>0.03997033317277876</v>
      </c>
      <c r="H579" t="s">
        <v>586</v>
      </c>
      <c r="I579" t="s">
        <v>446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632</v>
      </c>
      <c r="D580">
        <v>0.05083798882681501</v>
      </c>
      <c r="E580">
        <v>0.008423013475743035</v>
      </c>
      <c r="F580">
        <v>0.03</v>
      </c>
      <c r="G580">
        <v>0.03867570388001518</v>
      </c>
      <c r="H580" t="s">
        <v>586</v>
      </c>
      <c r="I580" t="s">
        <v>446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632</v>
      </c>
      <c r="D581">
        <v>0.06406652307692301</v>
      </c>
      <c r="E581">
        <v>-0.02936726481872354</v>
      </c>
      <c r="F581">
        <v>0.02</v>
      </c>
      <c r="G581">
        <v>0.03400306888922344</v>
      </c>
      <c r="H581" t="s">
        <v>586</v>
      </c>
      <c r="I581" t="s">
        <v>446</v>
      </c>
    </row>
    <row r="582" spans="1:9">
      <c r="A582" s="1" t="s">
        <v>589</v>
      </c>
      <c r="B582">
        <f>HYPERLINK("https://www.suredividend.com/sure-analysis-CORR/","CorEnergy Infrastructure Trust, Inc.")</f>
        <v>0</v>
      </c>
      <c r="C582" t="s">
        <v>632</v>
      </c>
      <c r="D582">
        <v>0.27027027027027</v>
      </c>
      <c r="E582">
        <v>-0.052954233490492</v>
      </c>
      <c r="F582">
        <v>0.02</v>
      </c>
      <c r="G582">
        <v>0.03331139569413977</v>
      </c>
      <c r="H582" t="s">
        <v>586</v>
      </c>
      <c r="I582" t="s">
        <v>372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632</v>
      </c>
      <c r="D583">
        <v>0.06635700066357</v>
      </c>
      <c r="E583">
        <v>-0.04453760512981086</v>
      </c>
      <c r="F583">
        <v>0.04</v>
      </c>
      <c r="G583">
        <v>0.03152336105526943</v>
      </c>
      <c r="H583" t="s">
        <v>586</v>
      </c>
      <c r="I583" t="s">
        <v>446</v>
      </c>
    </row>
    <row r="584" spans="1:9">
      <c r="A584" s="1" t="s">
        <v>591</v>
      </c>
      <c r="B584">
        <f>HYPERLINK("https://www.suredividend.com/sure-analysis-CBRL/","Cracker Barrel Old Country Store, Inc.")</f>
        <v>0</v>
      </c>
      <c r="C584" t="s">
        <v>632</v>
      </c>
      <c r="D584">
        <v>0.044696578992607</v>
      </c>
      <c r="E584">
        <v>-0.05004575017911772</v>
      </c>
      <c r="F584">
        <v>0.031</v>
      </c>
      <c r="G584">
        <v>0.02743097696742836</v>
      </c>
      <c r="H584" t="s">
        <v>586</v>
      </c>
      <c r="I584" t="s">
        <v>446</v>
      </c>
    </row>
    <row r="585" spans="1:9">
      <c r="A585" s="1" t="s">
        <v>592</v>
      </c>
      <c r="B585">
        <f>HYPERLINK("https://www.suredividend.com/sure-analysis-HSBC/","HSBC Holdings Plc")</f>
        <v>0</v>
      </c>
      <c r="C585" t="s">
        <v>632</v>
      </c>
      <c r="D585">
        <v>0.08558807288790701</v>
      </c>
      <c r="E585">
        <v>-0.05017867256088782</v>
      </c>
      <c r="F585">
        <v>0.02</v>
      </c>
      <c r="G585">
        <v>0.02716519984646926</v>
      </c>
      <c r="H585" t="s">
        <v>586</v>
      </c>
      <c r="I585" t="s">
        <v>372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632</v>
      </c>
      <c r="D586">
        <v>0.016273393002441</v>
      </c>
      <c r="E586">
        <v>0.02639666101145233</v>
      </c>
      <c r="F586">
        <v>0</v>
      </c>
      <c r="G586">
        <v>0.02639666101145233</v>
      </c>
      <c r="H586" t="s">
        <v>586</v>
      </c>
      <c r="I586" t="s">
        <v>586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0.027031564808596</v>
      </c>
      <c r="E587">
        <v>-0.03438709107644156</v>
      </c>
      <c r="F587">
        <v>0.06</v>
      </c>
      <c r="G587">
        <v>0.02628846858048828</v>
      </c>
      <c r="H587" t="s">
        <v>586</v>
      </c>
      <c r="I587" t="s">
        <v>586</v>
      </c>
    </row>
    <row r="588" spans="1:9">
      <c r="A588" s="1" t="s">
        <v>595</v>
      </c>
      <c r="B588">
        <f>HYPERLINK("https://www.suredividend.com/sure-analysis-DDS/","Dillard's, Inc.")</f>
        <v>0</v>
      </c>
      <c r="C588" t="s">
        <v>632</v>
      </c>
      <c r="D588">
        <v>0.019595035924232</v>
      </c>
      <c r="E588">
        <v>-0.0248493478014139</v>
      </c>
      <c r="F588">
        <v>0.03</v>
      </c>
      <c r="G588">
        <v>0.02296034744963005</v>
      </c>
      <c r="H588" t="s">
        <v>586</v>
      </c>
      <c r="I588" t="s">
        <v>586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0.060458129928651</v>
      </c>
      <c r="E589">
        <v>-0.06042232524512392</v>
      </c>
      <c r="F589">
        <v>0.02</v>
      </c>
      <c r="G589">
        <v>0.01198537882543382</v>
      </c>
      <c r="H589" t="s">
        <v>586</v>
      </c>
      <c r="I589" t="s">
        <v>446</v>
      </c>
    </row>
    <row r="590" spans="1:9">
      <c r="A590" s="1" t="s">
        <v>597</v>
      </c>
      <c r="B590">
        <f>HYPERLINK("https://www.suredividend.com/sure-analysis-APA/","Apache Corp.")</f>
        <v>0</v>
      </c>
      <c r="C590" t="s">
        <v>632</v>
      </c>
      <c r="D590">
        <v>0.05583756345177601</v>
      </c>
      <c r="E590">
        <v>-0.1649264037659196</v>
      </c>
      <c r="F590">
        <v>0.2</v>
      </c>
      <c r="G590">
        <v>0.01195982343610869</v>
      </c>
      <c r="H590" t="s">
        <v>586</v>
      </c>
      <c r="I590" t="s">
        <v>446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0.07064267352185001</v>
      </c>
      <c r="E591">
        <v>-0.03829898281055866</v>
      </c>
      <c r="F591">
        <v>0.02</v>
      </c>
      <c r="G591">
        <v>0.008644048598021481</v>
      </c>
      <c r="H591" t="s">
        <v>586</v>
      </c>
      <c r="I591" t="s">
        <v>446</v>
      </c>
    </row>
    <row r="592" spans="1:9">
      <c r="A592" s="1" t="s">
        <v>599</v>
      </c>
      <c r="B592">
        <f>HYPERLINK("https://www.suredividend.com/sure-analysis-RCL/","Royal Caribbean Group")</f>
        <v>0</v>
      </c>
      <c r="C592" t="s">
        <v>632</v>
      </c>
      <c r="D592">
        <v>0.036228518346493</v>
      </c>
      <c r="E592">
        <v>-0.04991831979771533</v>
      </c>
      <c r="F592">
        <v>0.04</v>
      </c>
      <c r="G592">
        <v>0.006849765165025223</v>
      </c>
      <c r="H592" t="s">
        <v>586</v>
      </c>
      <c r="I592" t="s">
        <v>586</v>
      </c>
    </row>
    <row r="593" spans="1:9">
      <c r="A593" s="1" t="s">
        <v>600</v>
      </c>
      <c r="B593">
        <f>HYPERLINK("https://www.suredividend.com/sure-analysis-TCO/","Taubman Centers, Inc.")</f>
        <v>0</v>
      </c>
      <c r="C593" t="s">
        <v>634</v>
      </c>
      <c r="D593">
        <v>0.06024992561737501</v>
      </c>
      <c r="E593">
        <v>-0.01603729832525147</v>
      </c>
      <c r="F593">
        <v>0.02</v>
      </c>
      <c r="G593">
        <v>0.003641955708243438</v>
      </c>
      <c r="H593" t="s">
        <v>586</v>
      </c>
      <c r="I593" t="s">
        <v>446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0.241460773480662</v>
      </c>
      <c r="E594">
        <v>-0.07891325150216077</v>
      </c>
      <c r="F594">
        <v>0.01</v>
      </c>
      <c r="G594">
        <v>0.00107551029779529</v>
      </c>
      <c r="H594" t="s">
        <v>586</v>
      </c>
      <c r="I594" t="s">
        <v>637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0.06081668114682801</v>
      </c>
      <c r="E595">
        <v>-0.09467493754059308</v>
      </c>
      <c r="F595">
        <v>0.03</v>
      </c>
      <c r="G595">
        <v>-0.006756571916740839</v>
      </c>
      <c r="H595" t="s">
        <v>586</v>
      </c>
      <c r="I595" t="s">
        <v>446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0.001631321370309</v>
      </c>
      <c r="E596">
        <v>0.0411664322328702</v>
      </c>
      <c r="F596">
        <v>-0.05</v>
      </c>
      <c r="G596">
        <v>-0.01089188937877339</v>
      </c>
      <c r="H596" t="s">
        <v>586</v>
      </c>
      <c r="I596" t="s">
        <v>586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0.037390029325513</v>
      </c>
      <c r="E597">
        <v>-0.1127431139542314</v>
      </c>
      <c r="F597">
        <v>0.07000000000000001</v>
      </c>
      <c r="G597">
        <v>-0.01534121437541025</v>
      </c>
      <c r="H597" t="s">
        <v>586</v>
      </c>
      <c r="I597" t="s">
        <v>446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0.01875</v>
      </c>
      <c r="E598">
        <v>-0.06802018170216217</v>
      </c>
      <c r="F598">
        <v>0.02</v>
      </c>
      <c r="G598">
        <v>-0.03275245867958054</v>
      </c>
      <c r="H598" t="s">
        <v>586</v>
      </c>
      <c r="I598" t="s">
        <v>586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0.027378507871321</v>
      </c>
      <c r="E599">
        <v>-0.07302086944347896</v>
      </c>
      <c r="F599">
        <v>0.02</v>
      </c>
      <c r="G599">
        <v>-0.05448128683234854</v>
      </c>
      <c r="H599" t="s">
        <v>586</v>
      </c>
      <c r="I599" t="s">
        <v>586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0.01866515837104</v>
      </c>
      <c r="E600">
        <v>-0.1149704031341566</v>
      </c>
      <c r="F600">
        <v>0.05</v>
      </c>
      <c r="G600">
        <v>-0.06648126194056125</v>
      </c>
      <c r="H600" t="s">
        <v>586</v>
      </c>
      <c r="I600" t="s">
        <v>586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0.027639579878385</v>
      </c>
      <c r="E601">
        <v>-0.1505647410500791</v>
      </c>
      <c r="F601">
        <v>0.04</v>
      </c>
      <c r="G601">
        <v>-0.0932860194434445</v>
      </c>
      <c r="H601" t="s">
        <v>586</v>
      </c>
      <c r="I601" t="s">
        <v>586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0.173262032085561</v>
      </c>
      <c r="E602">
        <v>-0.005405722170026883</v>
      </c>
      <c r="F602">
        <v>-0.8</v>
      </c>
      <c r="G602">
        <v>-0.09922471429120705</v>
      </c>
      <c r="H602" t="s">
        <v>586</v>
      </c>
      <c r="I602" t="s">
        <v>637</v>
      </c>
    </row>
    <row r="603" spans="1:9">
      <c r="A603" s="1" t="s">
        <v>610</v>
      </c>
      <c r="B603">
        <f>HYPERLINK("https://www.suredividend.com/sure-analysis-BBBY/","Bed Bath &amp; Beyond, Inc.")</f>
        <v>0</v>
      </c>
      <c r="C603" t="s">
        <v>632</v>
      </c>
      <c r="D603">
        <v>0.02339986235375</v>
      </c>
      <c r="E603">
        <v>-0.1125071261951556</v>
      </c>
      <c r="F603">
        <v>0</v>
      </c>
      <c r="G603">
        <v>-0.1125071261951556</v>
      </c>
      <c r="H603" t="s">
        <v>586</v>
      </c>
      <c r="I603" t="s">
        <v>586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0.122222222222222</v>
      </c>
      <c r="E604">
        <v>-0.3556059850227458</v>
      </c>
      <c r="F604">
        <v>0.2</v>
      </c>
      <c r="G604">
        <v>-0.1556089243944586</v>
      </c>
      <c r="H604" t="s">
        <v>586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0.464690082644628</v>
      </c>
      <c r="E605">
        <v>-0.3023318048865278</v>
      </c>
      <c r="F605">
        <v>0</v>
      </c>
      <c r="G605">
        <v>-0.2465776469701877</v>
      </c>
      <c r="H605" t="s">
        <v>586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0.1100441450767333</v>
      </c>
      <c r="F606">
        <v>0.04</v>
      </c>
      <c r="G606">
        <v>0.1544459108798026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0.1098215575021688</v>
      </c>
      <c r="F607">
        <v>0.04</v>
      </c>
      <c r="G607">
        <v>0.1542144198022557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0.09957892756091491</v>
      </c>
      <c r="F608">
        <v>0.02</v>
      </c>
      <c r="G608">
        <v>0.143287308897398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-0.08541546756443619</v>
      </c>
      <c r="F609">
        <v>0.25</v>
      </c>
      <c r="G609">
        <v>0.1432306655444546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-0.06763713538730964</v>
      </c>
      <c r="F610">
        <v>0.2</v>
      </c>
      <c r="G610">
        <v>0.1188354375352283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0.003756245638377953</v>
      </c>
      <c r="F611">
        <v>0.068</v>
      </c>
      <c r="G611">
        <v>0.103207313703465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632</v>
      </c>
      <c r="E612">
        <v>-0.0409045368148423</v>
      </c>
      <c r="F612">
        <v>0.15</v>
      </c>
      <c r="G612">
        <v>0.1029597826629314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HYPERLINK("https://www.suredividend.com/sure-analysis-NOK/","Nokia Oyj")</f>
        <v>0</v>
      </c>
      <c r="C613" t="s">
        <v>632</v>
      </c>
      <c r="E613">
        <v>0.02848862174989741</v>
      </c>
      <c r="F613">
        <v>0.07000000000000001</v>
      </c>
      <c r="G613">
        <v>0.1004828252723902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HYPERLINK("https://www.suredividend.com/sure-analysis-MT/","ArcelorMittal SA")</f>
        <v>0</v>
      </c>
      <c r="C614" t="s">
        <v>632</v>
      </c>
      <c r="E614">
        <v>0.09462524524823701</v>
      </c>
      <c r="F614">
        <v>0</v>
      </c>
      <c r="G614">
        <v>0.09462524524823701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632</v>
      </c>
      <c r="E615">
        <v>0.04194462074695648</v>
      </c>
      <c r="F615">
        <v>0.05</v>
      </c>
      <c r="G615">
        <v>0.09404185178430424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HYPERLINK("https://www.suredividend.com/sure-analysis-BRK.B/","Berkshire Hathaway, Inc.")</f>
        <v>0</v>
      </c>
      <c r="C616" t="s">
        <v>632</v>
      </c>
      <c r="E616">
        <v>0.03996376359858944</v>
      </c>
      <c r="F616">
        <v>0.05</v>
      </c>
      <c r="G616">
        <v>0.09196195177851907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0.03608450859503121</v>
      </c>
      <c r="F617">
        <v>0.01</v>
      </c>
      <c r="G617">
        <v>0.09100166848850755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HYPERLINK("https://www.suredividend.com/sure-analysis-FCAU/","Fiat Chrysler Automobiles NV")</f>
        <v>0</v>
      </c>
      <c r="C618" t="s">
        <v>632</v>
      </c>
      <c r="E618">
        <v>0.03165442077053093</v>
      </c>
      <c r="F618">
        <v>0.03</v>
      </c>
      <c r="G618">
        <v>0.08878055791107808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0.027282266526757</v>
      </c>
      <c r="E619">
        <v>0.009674574092550348</v>
      </c>
      <c r="F619">
        <v>0.06</v>
      </c>
      <c r="G619">
        <v>0.08427833737634582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-0.07283746565020899</v>
      </c>
      <c r="F620">
        <v>0.12</v>
      </c>
      <c r="G620">
        <v>0.03842203847176595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-0.04920621162802963</v>
      </c>
      <c r="F621">
        <v>0.09</v>
      </c>
      <c r="G621">
        <v>0.03636522932544772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-0.09538356134566095</v>
      </c>
      <c r="F622">
        <v>0.12</v>
      </c>
      <c r="G622">
        <v>0.0131704112928599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0.04470367628385996</v>
      </c>
      <c r="F623">
        <v>-0.05</v>
      </c>
      <c r="G623">
        <v>-0.007531507530332937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0.019782393669634</v>
      </c>
      <c r="E624">
        <v>-0.07990744397957095</v>
      </c>
      <c r="F624">
        <v>0</v>
      </c>
      <c r="G624">
        <v>-0.07990744397957095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16.45</v>
      </c>
      <c r="D2">
        <v>3348.51265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0.069300911854103</v>
      </c>
      <c r="M2">
        <v>0.1276934826278513</v>
      </c>
      <c r="N2">
        <v>0.02</v>
      </c>
      <c r="O2">
        <v>0.189527348812857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0.5483333333333333</v>
      </c>
      <c r="V2">
        <v>4.6996</v>
      </c>
      <c r="W2">
        <v>5</v>
      </c>
      <c r="X2">
        <v>1.14</v>
      </c>
      <c r="Y2">
        <v>-0.438758</v>
      </c>
      <c r="Z2">
        <v>0.8019801980198019</v>
      </c>
      <c r="AA2">
        <v>0.1508828250401284</v>
      </c>
      <c r="AB2">
        <v>0.1613162118780096</v>
      </c>
      <c r="AC2">
        <v>0.985553772070626</v>
      </c>
      <c r="AD2">
        <v>0.9678972712680577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20.28</v>
      </c>
      <c r="D3">
        <v>241.577388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0.033037475345167</v>
      </c>
      <c r="M3">
        <v>0.0509476404473832</v>
      </c>
      <c r="N3">
        <v>0.09</v>
      </c>
      <c r="O3">
        <v>0.1678509099893382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0.78</v>
      </c>
      <c r="V3">
        <v>2.4506</v>
      </c>
      <c r="W3">
        <v>2.2</v>
      </c>
      <c r="X3">
        <v>0.67</v>
      </c>
      <c r="Y3">
        <v>-0.332675</v>
      </c>
      <c r="Z3">
        <v>0.4570957095709571</v>
      </c>
      <c r="AA3">
        <v>0.2857142857142858</v>
      </c>
      <c r="AB3">
        <v>0.8780096308186195</v>
      </c>
      <c r="AC3">
        <v>0.8394863563402889</v>
      </c>
      <c r="AD3">
        <v>0.9357945425361156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65.31</v>
      </c>
      <c r="D4">
        <v>620619.071461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1314</v>
      </c>
      <c r="K4">
        <v>44061</v>
      </c>
      <c r="L4">
        <v>0.00237023426734</v>
      </c>
      <c r="M4">
        <v>-0.02346084352598987</v>
      </c>
      <c r="N4">
        <v>0.18</v>
      </c>
      <c r="O4">
        <v>0.1550929918059039</v>
      </c>
      <c r="P4" t="s">
        <v>636</v>
      </c>
      <c r="Q4" t="s">
        <v>446</v>
      </c>
      <c r="R4">
        <v>10</v>
      </c>
      <c r="S4">
        <v>0.09381818181818184</v>
      </c>
      <c r="T4">
        <v>58</v>
      </c>
      <c r="U4">
        <v>1.126034482758621</v>
      </c>
      <c r="V4">
        <v>1.5595</v>
      </c>
      <c r="W4">
        <v>1.65</v>
      </c>
      <c r="X4">
        <v>0.1548</v>
      </c>
      <c r="Y4">
        <v>0.55537</v>
      </c>
      <c r="Z4">
        <v>0.00825082508250825</v>
      </c>
      <c r="AA4">
        <v>0.9678972712680577</v>
      </c>
      <c r="AB4">
        <v>0.985553772070626</v>
      </c>
      <c r="AC4">
        <v>0.4157303370786517</v>
      </c>
      <c r="AD4">
        <v>0.9117174959871589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20.75</v>
      </c>
      <c r="D5">
        <v>77268.6425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1313</v>
      </c>
      <c r="K5">
        <v>44080</v>
      </c>
      <c r="L5">
        <v>0.019528674698795</v>
      </c>
      <c r="M5">
        <v>0.07651635127086265</v>
      </c>
      <c r="N5">
        <v>0.05</v>
      </c>
      <c r="O5">
        <v>0.1497295793254649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0.6916666666666667</v>
      </c>
      <c r="V5">
        <v>1.7499</v>
      </c>
      <c r="W5">
        <v>2.3</v>
      </c>
      <c r="X5">
        <v>0.40522</v>
      </c>
      <c r="Y5">
        <v>-0.097041</v>
      </c>
      <c r="Z5">
        <v>0.2524752475247525</v>
      </c>
      <c r="AA5">
        <v>0.5634028892455859</v>
      </c>
      <c r="AB5">
        <v>0.5296950240770465</v>
      </c>
      <c r="AC5">
        <v>0.9213483146067416</v>
      </c>
      <c r="AD5">
        <v>0.8988764044943821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35.43</v>
      </c>
      <c r="D6">
        <v>30701.29962</v>
      </c>
      <c r="E6" t="s">
        <v>660</v>
      </c>
      <c r="F6" t="s">
        <v>632</v>
      </c>
      <c r="G6" t="s">
        <v>671</v>
      </c>
      <c r="H6" t="s">
        <v>701</v>
      </c>
      <c r="I6" t="s">
        <v>708</v>
      </c>
      <c r="J6" t="s">
        <v>1315</v>
      </c>
      <c r="K6">
        <v>44028</v>
      </c>
      <c r="L6">
        <v>0.05165114309906801</v>
      </c>
      <c r="M6">
        <v>0.0581453824997693</v>
      </c>
      <c r="N6">
        <v>0.05</v>
      </c>
      <c r="O6">
        <v>0.1487385226573219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0.7538297872340426</v>
      </c>
      <c r="V6">
        <v>0.8189000000000001</v>
      </c>
      <c r="W6">
        <v>4.7</v>
      </c>
      <c r="X6">
        <v>1.83</v>
      </c>
      <c r="Y6">
        <v>-0.344859</v>
      </c>
      <c r="Z6">
        <v>0.66996699669967</v>
      </c>
      <c r="AA6">
        <v>0.2648475120385232</v>
      </c>
      <c r="AB6">
        <v>0.5296950240770465</v>
      </c>
      <c r="AC6">
        <v>0.8555377207062601</v>
      </c>
      <c r="AD6">
        <v>0.8956661316211878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146.74</v>
      </c>
      <c r="D7">
        <v>17648.27306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1313</v>
      </c>
      <c r="K7">
        <v>44041</v>
      </c>
      <c r="L7">
        <v>0.026918359002317</v>
      </c>
      <c r="M7">
        <v>0.04286000497933218</v>
      </c>
      <c r="N7">
        <v>0.08</v>
      </c>
      <c r="O7">
        <v>0.1477726026619133</v>
      </c>
      <c r="P7" t="s">
        <v>636</v>
      </c>
      <c r="Q7" t="s">
        <v>637</v>
      </c>
      <c r="R7">
        <v>16</v>
      </c>
      <c r="S7">
        <v>0.2514322087842139</v>
      </c>
      <c r="T7">
        <v>181</v>
      </c>
      <c r="U7">
        <v>0.8107182320441989</v>
      </c>
      <c r="V7">
        <v>19.4767</v>
      </c>
      <c r="W7">
        <v>15.71</v>
      </c>
      <c r="X7">
        <v>3.95</v>
      </c>
      <c r="Y7">
        <v>0.004242999999999999</v>
      </c>
      <c r="Z7">
        <v>0.363036303630363</v>
      </c>
      <c r="AA7">
        <v>0.7014446227929373</v>
      </c>
      <c r="AB7">
        <v>0.8274478330658106</v>
      </c>
      <c r="AC7">
        <v>0.797752808988764</v>
      </c>
      <c r="AD7">
        <v>0.8924558587479936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86.23</v>
      </c>
      <c r="D8">
        <v>152181.2909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44048</v>
      </c>
      <c r="L8">
        <v>0.053461672271831</v>
      </c>
      <c r="M8">
        <v>0.0479815150717533</v>
      </c>
      <c r="N8">
        <v>0.05</v>
      </c>
      <c r="O8">
        <v>0.1417791840530469</v>
      </c>
      <c r="P8" t="s">
        <v>636</v>
      </c>
      <c r="Q8" t="s">
        <v>636</v>
      </c>
      <c r="R8">
        <v>48</v>
      </c>
      <c r="S8">
        <v>0.4432692307692308</v>
      </c>
      <c r="T8">
        <v>109</v>
      </c>
      <c r="U8">
        <v>0.7911009174311927</v>
      </c>
      <c r="V8">
        <v>4.7145</v>
      </c>
      <c r="W8">
        <v>10.4</v>
      </c>
      <c r="X8">
        <v>4.61</v>
      </c>
      <c r="Y8">
        <v>0.164798</v>
      </c>
      <c r="Z8">
        <v>0.6914191419141915</v>
      </c>
      <c r="AA8">
        <v>0.8218298555377207</v>
      </c>
      <c r="AB8">
        <v>0.5296950240770465</v>
      </c>
      <c r="AC8">
        <v>0.8218298555377207</v>
      </c>
      <c r="AD8">
        <v>0.8635634028892456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23.95</v>
      </c>
      <c r="D9">
        <v>6544.46683</v>
      </c>
      <c r="E9" t="s">
        <v>662</v>
      </c>
      <c r="F9" t="s">
        <v>632</v>
      </c>
      <c r="G9" t="s">
        <v>673</v>
      </c>
      <c r="H9" t="s">
        <v>702</v>
      </c>
      <c r="I9" t="s">
        <v>711</v>
      </c>
      <c r="J9" t="s">
        <v>1316</v>
      </c>
      <c r="K9">
        <v>44049</v>
      </c>
      <c r="L9">
        <v>0.053372726229625</v>
      </c>
      <c r="M9">
        <v>0.04607578117554278</v>
      </c>
      <c r="N9">
        <v>0.05</v>
      </c>
      <c r="O9">
        <v>0.1377318741878724</v>
      </c>
      <c r="P9" t="s">
        <v>636</v>
      </c>
      <c r="Q9" t="s">
        <v>636</v>
      </c>
      <c r="R9">
        <v>47</v>
      </c>
      <c r="S9">
        <v>0.5917948116664444</v>
      </c>
      <c r="T9">
        <v>30</v>
      </c>
      <c r="U9">
        <v>0.7983333333333333</v>
      </c>
      <c r="V9">
        <v>1.6526</v>
      </c>
      <c r="W9">
        <v>2.16</v>
      </c>
      <c r="X9">
        <v>1.27827679319952</v>
      </c>
      <c r="Y9">
        <v>-0.189492</v>
      </c>
      <c r="Z9">
        <v>0.6881188118811882</v>
      </c>
      <c r="AA9">
        <v>0.4430176565008025</v>
      </c>
      <c r="AB9">
        <v>0.5296950240770465</v>
      </c>
      <c r="AC9">
        <v>0.810593900481541</v>
      </c>
      <c r="AD9">
        <v>0.8459069020866774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59.49</v>
      </c>
      <c r="D10">
        <v>134086.2957</v>
      </c>
      <c r="E10" t="s">
        <v>663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44051</v>
      </c>
      <c r="L10">
        <v>0.029584804168767</v>
      </c>
      <c r="M10">
        <v>0.07143804508661367</v>
      </c>
      <c r="N10">
        <v>0.04</v>
      </c>
      <c r="O10">
        <v>0.136206698730498</v>
      </c>
      <c r="P10" t="s">
        <v>636</v>
      </c>
      <c r="Q10" t="s">
        <v>637</v>
      </c>
      <c r="R10">
        <v>11</v>
      </c>
      <c r="S10">
        <v>0.2825040128410915</v>
      </c>
      <c r="T10">
        <v>84</v>
      </c>
      <c r="U10">
        <v>0.7082142857142857</v>
      </c>
      <c r="V10">
        <v>-0.1023</v>
      </c>
      <c r="W10">
        <v>6.23</v>
      </c>
      <c r="X10">
        <v>1.76</v>
      </c>
      <c r="Y10">
        <v>0.190514</v>
      </c>
      <c r="Z10">
        <v>0.4125412541254125</v>
      </c>
      <c r="AA10">
        <v>0.8426966292134831</v>
      </c>
      <c r="AB10">
        <v>0.4012841091492777</v>
      </c>
      <c r="AC10">
        <v>0.9117174959871589</v>
      </c>
      <c r="AD10">
        <v>0.8378812199036918</v>
      </c>
    </row>
    <row r="11" spans="1:30">
      <c r="A11" s="1" t="s">
        <v>18</v>
      </c>
      <c r="B11">
        <f>HYPERLINK("https://www.suredividend.com/sure-analysis-CTBI/","Community Trust Bancorp, Inc. (Kentucky)")</f>
        <v>0</v>
      </c>
      <c r="C11">
        <v>28.25</v>
      </c>
      <c r="D11">
        <v>502.9065</v>
      </c>
      <c r="E11" t="s">
        <v>661</v>
      </c>
      <c r="F11" t="s">
        <v>632</v>
      </c>
      <c r="G11" t="s">
        <v>671</v>
      </c>
      <c r="H11" t="s">
        <v>701</v>
      </c>
      <c r="I11" t="s">
        <v>713</v>
      </c>
      <c r="J11" t="s">
        <v>1313</v>
      </c>
      <c r="K11">
        <v>44055</v>
      </c>
      <c r="L11">
        <v>0.053805309734513</v>
      </c>
      <c r="M11">
        <v>0.05544754580762179</v>
      </c>
      <c r="N11">
        <v>0.04</v>
      </c>
      <c r="O11">
        <v>0.1356886579557885</v>
      </c>
      <c r="P11" t="s">
        <v>636</v>
      </c>
      <c r="Q11" t="s">
        <v>636</v>
      </c>
      <c r="R11">
        <v>40</v>
      </c>
      <c r="S11">
        <v>0.4935064935064935</v>
      </c>
      <c r="T11">
        <v>37</v>
      </c>
      <c r="U11">
        <v>0.7635135135135135</v>
      </c>
      <c r="V11">
        <v>3.2424</v>
      </c>
      <c r="W11">
        <v>3.08</v>
      </c>
      <c r="X11">
        <v>1.52</v>
      </c>
      <c r="Y11">
        <v>-0.340416</v>
      </c>
      <c r="Z11">
        <v>0.6963696369636964</v>
      </c>
      <c r="AA11">
        <v>0.2760834670947031</v>
      </c>
      <c r="AB11">
        <v>0.4012841091492777</v>
      </c>
      <c r="AC11">
        <v>0.8475120385232745</v>
      </c>
      <c r="AD11">
        <v>0.8346709470304975</v>
      </c>
    </row>
    <row r="12" spans="1:30">
      <c r="A12" s="1" t="s">
        <v>19</v>
      </c>
      <c r="B12">
        <f>HYPERLINK("https://www.suredividend.com/sure-analysis-TDS/","Telephone &amp; Data Systems, Inc.")</f>
        <v>0</v>
      </c>
      <c r="C12">
        <v>18.61</v>
      </c>
      <c r="D12">
        <v>2127.044838</v>
      </c>
      <c r="E12" t="s">
        <v>665</v>
      </c>
      <c r="F12" t="s">
        <v>632</v>
      </c>
      <c r="G12" t="s">
        <v>671</v>
      </c>
      <c r="H12" t="s">
        <v>700</v>
      </c>
      <c r="I12" t="s">
        <v>714</v>
      </c>
      <c r="J12" t="s">
        <v>1314</v>
      </c>
      <c r="K12">
        <v>44063</v>
      </c>
      <c r="L12">
        <v>0.03600214938205201</v>
      </c>
      <c r="M12">
        <v>0.09277392832366083</v>
      </c>
      <c r="N12">
        <v>0.015</v>
      </c>
      <c r="O12">
        <v>0.1344269645749974</v>
      </c>
      <c r="P12" t="s">
        <v>636</v>
      </c>
      <c r="Q12" t="s">
        <v>636</v>
      </c>
      <c r="R12">
        <v>45</v>
      </c>
      <c r="S12">
        <v>0.5234375</v>
      </c>
      <c r="T12">
        <v>29</v>
      </c>
      <c r="U12">
        <v>0.6417241379310344</v>
      </c>
      <c r="V12">
        <v>1.4224</v>
      </c>
      <c r="W12">
        <v>1.28</v>
      </c>
      <c r="X12">
        <v>0.67</v>
      </c>
      <c r="Y12">
        <v>-0.274181</v>
      </c>
      <c r="Z12">
        <v>0.495049504950495</v>
      </c>
      <c r="AA12">
        <v>0.3483146067415731</v>
      </c>
      <c r="AB12">
        <v>0.1163723916532905</v>
      </c>
      <c r="AC12">
        <v>0.9438202247191012</v>
      </c>
      <c r="AD12">
        <v>0.8314606741573034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19.64</v>
      </c>
      <c r="D13">
        <v>9728.81148</v>
      </c>
      <c r="E13" t="s">
        <v>660</v>
      </c>
      <c r="F13" t="s">
        <v>632</v>
      </c>
      <c r="G13" t="s">
        <v>671</v>
      </c>
      <c r="H13" t="s">
        <v>700</v>
      </c>
      <c r="I13" t="s">
        <v>715</v>
      </c>
      <c r="J13" t="s">
        <v>1313</v>
      </c>
      <c r="K13">
        <v>44042</v>
      </c>
      <c r="L13">
        <v>0.05448065173116001</v>
      </c>
      <c r="M13">
        <v>0.04944505393164955</v>
      </c>
      <c r="N13">
        <v>0.04</v>
      </c>
      <c r="O13">
        <v>0.1311753802926183</v>
      </c>
      <c r="P13" t="s">
        <v>636</v>
      </c>
      <c r="Q13" t="s">
        <v>636</v>
      </c>
      <c r="R13">
        <v>40</v>
      </c>
      <c r="S13">
        <v>0.428</v>
      </c>
      <c r="T13">
        <v>25</v>
      </c>
      <c r="U13">
        <v>0.7856000000000001</v>
      </c>
      <c r="V13">
        <v>2.0521</v>
      </c>
      <c r="W13">
        <v>2.5</v>
      </c>
      <c r="X13">
        <v>1.07</v>
      </c>
      <c r="Y13">
        <v>-0.314724</v>
      </c>
      <c r="Z13">
        <v>0.6996699669966996</v>
      </c>
      <c r="AA13">
        <v>0.3049759229534511</v>
      </c>
      <c r="AB13">
        <v>0.4012841091492777</v>
      </c>
      <c r="AC13">
        <v>0.8314606741573034</v>
      </c>
      <c r="AD13">
        <v>0.8186195826645265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25.99</v>
      </c>
      <c r="D14">
        <v>88.75896899999999</v>
      </c>
      <c r="E14" t="s">
        <v>664</v>
      </c>
      <c r="F14" t="s">
        <v>632</v>
      </c>
      <c r="G14" t="s">
        <v>671</v>
      </c>
      <c r="H14" t="s">
        <v>702</v>
      </c>
      <c r="I14" t="s">
        <v>716</v>
      </c>
      <c r="J14" t="s">
        <v>1313</v>
      </c>
      <c r="K14">
        <v>44054</v>
      </c>
      <c r="L14">
        <v>0.040015390534821</v>
      </c>
      <c r="M14">
        <v>0.04248241957256749</v>
      </c>
      <c r="N14">
        <v>0.055</v>
      </c>
      <c r="O14">
        <v>0.129502313329773</v>
      </c>
      <c r="P14" t="s">
        <v>636</v>
      </c>
      <c r="Q14" t="s">
        <v>636</v>
      </c>
      <c r="R14">
        <v>33</v>
      </c>
      <c r="S14">
        <v>0.3525423728813559</v>
      </c>
      <c r="T14">
        <v>32</v>
      </c>
      <c r="U14">
        <v>0.8121875</v>
      </c>
      <c r="V14">
        <v>3.0106</v>
      </c>
      <c r="W14">
        <v>2.95</v>
      </c>
      <c r="X14">
        <v>1.04</v>
      </c>
      <c r="Y14">
        <v>-0.126387</v>
      </c>
      <c r="Z14">
        <v>0.5561056105610561</v>
      </c>
      <c r="AA14">
        <v>0.5248796147672552</v>
      </c>
      <c r="AB14">
        <v>0.6027287319422151</v>
      </c>
      <c r="AC14">
        <v>0.7913322632423756</v>
      </c>
      <c r="AD14">
        <v>0.812199036918138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45.24</v>
      </c>
      <c r="D15">
        <v>6174.3552</v>
      </c>
      <c r="E15" t="s">
        <v>663</v>
      </c>
      <c r="F15" t="s">
        <v>632</v>
      </c>
      <c r="G15" t="s">
        <v>674</v>
      </c>
      <c r="H15" t="s">
        <v>700</v>
      </c>
      <c r="I15" t="s">
        <v>717</v>
      </c>
      <c r="J15" t="s">
        <v>1315</v>
      </c>
      <c r="K15">
        <v>44052</v>
      </c>
      <c r="L15">
        <v>0.019230769230769</v>
      </c>
      <c r="M15">
        <v>0.06160131484466369</v>
      </c>
      <c r="N15">
        <v>0.05</v>
      </c>
      <c r="O15">
        <v>0.1292586014382371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0.7416393442622952</v>
      </c>
      <c r="V15">
        <v>1.7638</v>
      </c>
      <c r="W15">
        <v>4.05</v>
      </c>
      <c r="X15">
        <v>0.87</v>
      </c>
      <c r="Y15">
        <v>-0.161757</v>
      </c>
      <c r="Z15">
        <v>0.2491749174917492</v>
      </c>
      <c r="AA15">
        <v>0.4767255216693419</v>
      </c>
      <c r="AB15">
        <v>0.5296950240770465</v>
      </c>
      <c r="AC15">
        <v>0.869983948635634</v>
      </c>
      <c r="AD15">
        <v>0.810593900481541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41.73</v>
      </c>
      <c r="D16">
        <v>3795.522939</v>
      </c>
      <c r="E16" t="s">
        <v>661</v>
      </c>
      <c r="F16" t="s">
        <v>632</v>
      </c>
      <c r="G16" t="s">
        <v>671</v>
      </c>
      <c r="H16" t="s">
        <v>700</v>
      </c>
      <c r="I16" t="s">
        <v>718</v>
      </c>
      <c r="J16" t="s">
        <v>1317</v>
      </c>
      <c r="K16">
        <v>44062</v>
      </c>
      <c r="L16">
        <v>0.04193625688952701</v>
      </c>
      <c r="M16">
        <v>0.03682228682480226</v>
      </c>
      <c r="N16">
        <v>0.06</v>
      </c>
      <c r="O16">
        <v>0.1282835862306473</v>
      </c>
      <c r="P16" t="s">
        <v>636</v>
      </c>
      <c r="Q16" t="s">
        <v>636</v>
      </c>
      <c r="R16">
        <v>49</v>
      </c>
      <c r="S16">
        <v>0.6140350877192983</v>
      </c>
      <c r="T16">
        <v>50</v>
      </c>
      <c r="U16">
        <v>0.8345999999999999</v>
      </c>
      <c r="V16">
        <v>0.7938000000000001</v>
      </c>
      <c r="W16">
        <v>2.85</v>
      </c>
      <c r="X16">
        <v>1.75</v>
      </c>
      <c r="Y16">
        <v>-0.118504</v>
      </c>
      <c r="Z16">
        <v>0.5742574257425743</v>
      </c>
      <c r="AA16">
        <v>0.5377207062600321</v>
      </c>
      <c r="AB16">
        <v>0.6597110754414125</v>
      </c>
      <c r="AC16">
        <v>0.7447833065810593</v>
      </c>
      <c r="AD16">
        <v>0.8057784911717496</v>
      </c>
    </row>
    <row r="17" spans="1:30">
      <c r="A17" s="1" t="s">
        <v>24</v>
      </c>
      <c r="B17">
        <f>HYPERLINK("https://www.suredividend.com/sure-analysis-LOW/","Lowe's Cos., Inc.")</f>
        <v>0</v>
      </c>
      <c r="C17">
        <v>159.55</v>
      </c>
      <c r="D17">
        <v>120577.6788</v>
      </c>
      <c r="E17" t="s">
        <v>665</v>
      </c>
      <c r="F17" t="s">
        <v>632</v>
      </c>
      <c r="G17" t="s">
        <v>671</v>
      </c>
      <c r="H17" t="s">
        <v>700</v>
      </c>
      <c r="I17" t="s">
        <v>719</v>
      </c>
      <c r="J17" t="s">
        <v>1318</v>
      </c>
      <c r="K17">
        <v>44092</v>
      </c>
      <c r="L17">
        <v>0.013788780946411</v>
      </c>
      <c r="M17">
        <v>0.01276905381927329</v>
      </c>
      <c r="N17">
        <v>0.1</v>
      </c>
      <c r="O17">
        <v>0.1266534925290606</v>
      </c>
      <c r="P17" t="s">
        <v>636</v>
      </c>
      <c r="Q17" t="s">
        <v>637</v>
      </c>
      <c r="R17">
        <v>57</v>
      </c>
      <c r="S17">
        <v>0.2588235294117647</v>
      </c>
      <c r="T17">
        <v>170</v>
      </c>
      <c r="U17">
        <v>0.9385294117647059</v>
      </c>
      <c r="V17">
        <v>7.5362</v>
      </c>
      <c r="W17">
        <v>8.5</v>
      </c>
      <c r="X17">
        <v>2.2</v>
      </c>
      <c r="Y17">
        <v>0.441022</v>
      </c>
      <c r="Z17">
        <v>0.1303630363036304</v>
      </c>
      <c r="AA17">
        <v>0.9518459069020867</v>
      </c>
      <c r="AB17">
        <v>0.9165329052969503</v>
      </c>
      <c r="AC17">
        <v>0.637239165329053</v>
      </c>
      <c r="AD17">
        <v>0.7993579454253612</v>
      </c>
    </row>
    <row r="18" spans="1:30">
      <c r="A18" s="1" t="s">
        <v>25</v>
      </c>
      <c r="B18">
        <f>HYPERLINK("https://www.suredividend.com/sure-analysis-FMS/","Fresenius Medical Care AG &amp; Co. KGaA")</f>
        <v>0</v>
      </c>
      <c r="C18">
        <v>41.72</v>
      </c>
      <c r="D18">
        <v>24432.308209</v>
      </c>
      <c r="E18" t="s">
        <v>663</v>
      </c>
      <c r="F18" t="s">
        <v>632</v>
      </c>
      <c r="G18" t="s">
        <v>675</v>
      </c>
      <c r="H18" t="s">
        <v>700</v>
      </c>
      <c r="I18" t="s">
        <v>720</v>
      </c>
      <c r="J18" t="s">
        <v>1315</v>
      </c>
      <c r="K18">
        <v>44043</v>
      </c>
      <c r="L18">
        <v>0.017183604985618</v>
      </c>
      <c r="M18">
        <v>0.04902614903187841</v>
      </c>
      <c r="N18">
        <v>0.06</v>
      </c>
      <c r="O18">
        <v>0.1238891153238506</v>
      </c>
      <c r="P18" t="s">
        <v>636</v>
      </c>
      <c r="Q18" t="s">
        <v>637</v>
      </c>
      <c r="R18">
        <v>23</v>
      </c>
      <c r="S18">
        <v>0.2165861027190332</v>
      </c>
      <c r="T18">
        <v>53</v>
      </c>
      <c r="U18">
        <v>0.7871698113207547</v>
      </c>
      <c r="V18">
        <v>2.4308</v>
      </c>
      <c r="W18">
        <v>3.31</v>
      </c>
      <c r="X18">
        <v>0.7169</v>
      </c>
      <c r="Y18">
        <v>0.23835</v>
      </c>
      <c r="Z18">
        <v>0.1881188118811881</v>
      </c>
      <c r="AA18">
        <v>0.8747993579454254</v>
      </c>
      <c r="AB18">
        <v>0.6597110754414125</v>
      </c>
      <c r="AC18">
        <v>0.8266452648475121</v>
      </c>
      <c r="AD18">
        <v>0.7913322632423756</v>
      </c>
    </row>
    <row r="19" spans="1:30">
      <c r="A19" s="1" t="s">
        <v>26</v>
      </c>
      <c r="B19">
        <f>HYPERLINK("https://www.suredividend.com/sure-analysis-PSBQ/","PSB Holdings, Inc. (Wisconsin)")</f>
        <v>0</v>
      </c>
      <c r="C19">
        <v>18.35</v>
      </c>
      <c r="D19">
        <v>82.92364999999999</v>
      </c>
      <c r="E19" t="s">
        <v>666</v>
      </c>
      <c r="F19" t="s">
        <v>632</v>
      </c>
      <c r="G19" t="s">
        <v>671</v>
      </c>
      <c r="H19" t="s">
        <v>702</v>
      </c>
      <c r="I19" t="s">
        <v>721</v>
      </c>
      <c r="J19" t="s">
        <v>1313</v>
      </c>
      <c r="K19">
        <v>44039</v>
      </c>
      <c r="L19">
        <v>0.022343324250681</v>
      </c>
      <c r="M19">
        <v>0.06380196457174514</v>
      </c>
      <c r="N19">
        <v>0.04</v>
      </c>
      <c r="O19">
        <v>0.1236151629486946</v>
      </c>
      <c r="P19" t="s">
        <v>636</v>
      </c>
      <c r="Q19" t="s">
        <v>637</v>
      </c>
      <c r="R19">
        <v>27</v>
      </c>
      <c r="S19">
        <v>0.164</v>
      </c>
      <c r="T19">
        <v>25</v>
      </c>
      <c r="U19">
        <v>0.7340000000000001</v>
      </c>
      <c r="V19">
        <v>2.407</v>
      </c>
      <c r="W19">
        <v>2.5</v>
      </c>
      <c r="X19">
        <v>0.41</v>
      </c>
      <c r="Y19">
        <v>-0.294231</v>
      </c>
      <c r="Z19">
        <v>0.3003300330033004</v>
      </c>
      <c r="AA19">
        <v>0.3210272873194221</v>
      </c>
      <c r="AB19">
        <v>0.4012841091492777</v>
      </c>
      <c r="AC19">
        <v>0.884430176565008</v>
      </c>
      <c r="AD19">
        <v>0.7881219903691814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178.02</v>
      </c>
      <c r="D20">
        <v>38487.0339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44063</v>
      </c>
      <c r="L20">
        <v>0.016121784069205</v>
      </c>
      <c r="M20">
        <v>0.004431948873022673</v>
      </c>
      <c r="N20">
        <v>0.1</v>
      </c>
      <c r="O20">
        <v>0.1215842535630469</v>
      </c>
      <c r="P20" t="s">
        <v>636</v>
      </c>
      <c r="Q20" t="s">
        <v>372</v>
      </c>
      <c r="R20">
        <v>18</v>
      </c>
      <c r="S20">
        <v>0.2528634361233481</v>
      </c>
      <c r="T20">
        <v>182</v>
      </c>
      <c r="U20">
        <v>0.9781318681318681</v>
      </c>
      <c r="V20">
        <v>7.4752</v>
      </c>
      <c r="W20">
        <v>11.35</v>
      </c>
      <c r="X20">
        <v>2.87</v>
      </c>
      <c r="Y20">
        <v>-0.165088</v>
      </c>
      <c r="Z20">
        <v>0.1633663366336633</v>
      </c>
      <c r="AA20">
        <v>0.4735152487961476</v>
      </c>
      <c r="AB20">
        <v>0.9165329052969503</v>
      </c>
      <c r="AC20">
        <v>0.5842696629213483</v>
      </c>
      <c r="AD20">
        <v>0.7800963081861958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328</v>
      </c>
      <c r="D21">
        <v>54682.192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1319</v>
      </c>
      <c r="K21">
        <v>44056</v>
      </c>
      <c r="L21">
        <v>0.016493902439024</v>
      </c>
      <c r="M21">
        <v>0.003030358600914607</v>
      </c>
      <c r="N21">
        <v>0.1</v>
      </c>
      <c r="O21">
        <v>0.1167692430316321</v>
      </c>
      <c r="P21" t="s">
        <v>636</v>
      </c>
      <c r="Q21" t="s">
        <v>372</v>
      </c>
      <c r="R21">
        <v>16</v>
      </c>
      <c r="S21">
        <v>0.2436936936936937</v>
      </c>
      <c r="T21">
        <v>333</v>
      </c>
      <c r="U21">
        <v>0.984984984984985</v>
      </c>
      <c r="V21">
        <v>14.2782</v>
      </c>
      <c r="W21">
        <v>22.2</v>
      </c>
      <c r="X21">
        <v>5.41</v>
      </c>
      <c r="Y21">
        <v>-0.141698</v>
      </c>
      <c r="Z21">
        <v>0.16996699669967</v>
      </c>
      <c r="AA21">
        <v>0.5040128410914928</v>
      </c>
      <c r="AB21">
        <v>0.9165329052969503</v>
      </c>
      <c r="AC21">
        <v>0.5730337078651685</v>
      </c>
      <c r="AD21">
        <v>0.7431781701444623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59.99</v>
      </c>
      <c r="D22">
        <v>1107.565375</v>
      </c>
      <c r="E22" t="s">
        <v>664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44049</v>
      </c>
      <c r="L22">
        <v>0.014669111518586</v>
      </c>
      <c r="M22">
        <v>0.02234902737579447</v>
      </c>
      <c r="N22">
        <v>0.08</v>
      </c>
      <c r="O22">
        <v>0.115340350054441</v>
      </c>
      <c r="P22" t="s">
        <v>636</v>
      </c>
      <c r="Q22" t="s">
        <v>637</v>
      </c>
      <c r="R22">
        <v>47</v>
      </c>
      <c r="S22">
        <v>0.3384615384615384</v>
      </c>
      <c r="T22">
        <v>67</v>
      </c>
      <c r="U22">
        <v>0.8953731343283582</v>
      </c>
      <c r="V22">
        <v>2.4674</v>
      </c>
      <c r="W22">
        <v>2.6</v>
      </c>
      <c r="X22">
        <v>0.88</v>
      </c>
      <c r="Y22">
        <v>-0.148837</v>
      </c>
      <c r="Z22">
        <v>0.1435643564356436</v>
      </c>
      <c r="AA22">
        <v>0.492776886035313</v>
      </c>
      <c r="AB22">
        <v>0.8274478330658106</v>
      </c>
      <c r="AC22">
        <v>0.6725521669341894</v>
      </c>
      <c r="AD22">
        <v>0.738362760834671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148.51</v>
      </c>
      <c r="D23">
        <v>24086.8369</v>
      </c>
      <c r="E23" t="s">
        <v>666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0.011043027405561</v>
      </c>
      <c r="M23">
        <v>0.04150926573336267</v>
      </c>
      <c r="N23">
        <v>0.06</v>
      </c>
      <c r="O23">
        <v>0.1132252314339572</v>
      </c>
      <c r="P23" t="s">
        <v>636</v>
      </c>
      <c r="Q23" t="s">
        <v>372</v>
      </c>
      <c r="R23">
        <v>13</v>
      </c>
      <c r="S23">
        <v>0.1078947368421053</v>
      </c>
      <c r="T23">
        <v>182</v>
      </c>
      <c r="U23">
        <v>0.8159890109890109</v>
      </c>
      <c r="V23">
        <v>5.6925</v>
      </c>
      <c r="W23">
        <v>15.2</v>
      </c>
      <c r="X23">
        <v>1.64</v>
      </c>
      <c r="Y23">
        <v>0.06711199999999999</v>
      </c>
      <c r="Z23">
        <v>0.09735973597359736</v>
      </c>
      <c r="AA23">
        <v>0.7528089887640449</v>
      </c>
      <c r="AB23">
        <v>0.6597110754414125</v>
      </c>
      <c r="AC23">
        <v>0.7865168539325843</v>
      </c>
      <c r="AD23">
        <v>0.7335473515248796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118.81</v>
      </c>
      <c r="D24">
        <v>6484.626038</v>
      </c>
      <c r="E24" t="s">
        <v>664</v>
      </c>
      <c r="F24" t="s">
        <v>632</v>
      </c>
      <c r="G24" t="s">
        <v>671</v>
      </c>
      <c r="H24" t="s">
        <v>700</v>
      </c>
      <c r="I24" t="s">
        <v>726</v>
      </c>
      <c r="J24" t="s">
        <v>1319</v>
      </c>
      <c r="K24">
        <v>44035</v>
      </c>
      <c r="L24">
        <v>0.016833599865331</v>
      </c>
      <c r="M24">
        <v>0.02739437233137254</v>
      </c>
      <c r="N24">
        <v>0.07000000000000001</v>
      </c>
      <c r="O24">
        <v>0.1127648137002086</v>
      </c>
      <c r="P24" t="s">
        <v>636</v>
      </c>
      <c r="Q24" t="s">
        <v>637</v>
      </c>
      <c r="R24">
        <v>43</v>
      </c>
      <c r="S24">
        <v>0.3636363636363636</v>
      </c>
      <c r="T24">
        <v>136</v>
      </c>
      <c r="U24">
        <v>0.8736029411764706</v>
      </c>
      <c r="V24">
        <v>6.723100000000001</v>
      </c>
      <c r="W24">
        <v>5.5</v>
      </c>
      <c r="X24">
        <v>2</v>
      </c>
      <c r="Y24">
        <v>-0.181524</v>
      </c>
      <c r="Z24">
        <v>0.1782178217821782</v>
      </c>
      <c r="AA24">
        <v>0.4542536115569824</v>
      </c>
      <c r="AB24">
        <v>0.7504012841091493</v>
      </c>
      <c r="AC24">
        <v>0.6966292134831461</v>
      </c>
      <c r="AD24">
        <v>0.7319422150882825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138.21</v>
      </c>
      <c r="D25">
        <v>39656.87172</v>
      </c>
      <c r="E25" t="s">
        <v>667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44049</v>
      </c>
      <c r="L25">
        <v>0.030677953838361</v>
      </c>
      <c r="M25">
        <v>0.02319508719697416</v>
      </c>
      <c r="N25">
        <v>0.06</v>
      </c>
      <c r="O25">
        <v>0.1123016824049285</v>
      </c>
      <c r="P25" t="s">
        <v>636</v>
      </c>
      <c r="Q25" t="s">
        <v>637</v>
      </c>
      <c r="R25">
        <v>28</v>
      </c>
      <c r="S25">
        <v>0.383710407239819</v>
      </c>
      <c r="T25">
        <v>155</v>
      </c>
      <c r="U25">
        <v>0.8916774193548388</v>
      </c>
      <c r="V25">
        <v>11.3268</v>
      </c>
      <c r="W25">
        <v>11.05</v>
      </c>
      <c r="X25">
        <v>4.24</v>
      </c>
      <c r="Y25">
        <v>-0.256935</v>
      </c>
      <c r="Z25">
        <v>0.4257425742574257</v>
      </c>
      <c r="AA25">
        <v>0.3611556982343499</v>
      </c>
      <c r="AB25">
        <v>0.6597110754414125</v>
      </c>
      <c r="AC25">
        <v>0.6757624398073837</v>
      </c>
      <c r="AD25">
        <v>0.7271268057784911</v>
      </c>
    </row>
    <row r="26" spans="1:30">
      <c r="A26" s="1" t="s">
        <v>33</v>
      </c>
      <c r="B26">
        <f>HYPERLINK("https://www.suredividend.com/sure-analysis-PII/","Polaris Inc.")</f>
        <v>0</v>
      </c>
      <c r="C26">
        <v>90.84</v>
      </c>
      <c r="D26">
        <v>5571.98934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44042</v>
      </c>
      <c r="L26">
        <v>0.027080581241743</v>
      </c>
      <c r="M26">
        <v>0.02742763468825626</v>
      </c>
      <c r="N26">
        <v>0.06</v>
      </c>
      <c r="O26">
        <v>0.1113410602876626</v>
      </c>
      <c r="P26" t="s">
        <v>636</v>
      </c>
      <c r="Q26" t="s">
        <v>637</v>
      </c>
      <c r="R26">
        <v>25</v>
      </c>
      <c r="S26">
        <v>0.3784615384615385</v>
      </c>
      <c r="T26">
        <v>104</v>
      </c>
      <c r="U26">
        <v>0.8734615384615385</v>
      </c>
      <c r="V26">
        <v>-0.864</v>
      </c>
      <c r="W26">
        <v>6.5</v>
      </c>
      <c r="X26">
        <v>2.46</v>
      </c>
      <c r="Y26">
        <v>0.046062</v>
      </c>
      <c r="Z26">
        <v>0.3696369636963696</v>
      </c>
      <c r="AA26">
        <v>0.7399678972712681</v>
      </c>
      <c r="AB26">
        <v>0.6597110754414125</v>
      </c>
      <c r="AC26">
        <v>0.6982343499197432</v>
      </c>
      <c r="AD26">
        <v>0.7223113964686998</v>
      </c>
    </row>
    <row r="27" spans="1:30">
      <c r="A27" s="1" t="s">
        <v>34</v>
      </c>
      <c r="B27">
        <f>HYPERLINK("https://www.suredividend.com/sure-analysis-FDX/","FedEx Corp.")</f>
        <v>0</v>
      </c>
      <c r="C27">
        <v>250.17</v>
      </c>
      <c r="D27">
        <v>65692.64064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1319</v>
      </c>
      <c r="K27">
        <v>44094</v>
      </c>
      <c r="L27">
        <v>0.010392932805692</v>
      </c>
      <c r="M27">
        <v>0.04043013393248951</v>
      </c>
      <c r="N27">
        <v>0.06</v>
      </c>
      <c r="O27">
        <v>0.1111274993478739</v>
      </c>
      <c r="P27" t="s">
        <v>636</v>
      </c>
      <c r="Q27" t="s">
        <v>446</v>
      </c>
      <c r="R27">
        <v>0</v>
      </c>
      <c r="S27">
        <v>0.1710526315789474</v>
      </c>
      <c r="T27">
        <v>305</v>
      </c>
      <c r="U27">
        <v>0.8202295081967212</v>
      </c>
      <c r="V27">
        <v>6.8179</v>
      </c>
      <c r="W27">
        <v>15.2</v>
      </c>
      <c r="X27">
        <v>2.6</v>
      </c>
      <c r="Y27">
        <v>0.723409</v>
      </c>
      <c r="Z27">
        <v>0.08580858085808581</v>
      </c>
      <c r="AA27">
        <v>0.9823434991974318</v>
      </c>
      <c r="AB27">
        <v>0.6597110754414125</v>
      </c>
      <c r="AC27">
        <v>0.7752808988764045</v>
      </c>
      <c r="AD27">
        <v>0.7174959871589085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53.31</v>
      </c>
      <c r="D28">
        <v>3344.951943</v>
      </c>
      <c r="E28" t="s">
        <v>664</v>
      </c>
      <c r="F28" t="s">
        <v>632</v>
      </c>
      <c r="G28" t="s">
        <v>671</v>
      </c>
      <c r="H28" t="s">
        <v>700</v>
      </c>
      <c r="I28" t="s">
        <v>730</v>
      </c>
      <c r="J28" t="s">
        <v>1316</v>
      </c>
      <c r="K28">
        <v>44061</v>
      </c>
      <c r="L28">
        <v>0.039579816169574</v>
      </c>
      <c r="M28">
        <v>0.0372280626788577</v>
      </c>
      <c r="N28">
        <v>0.04</v>
      </c>
      <c r="O28">
        <v>0.1111047767778979</v>
      </c>
      <c r="P28" t="s">
        <v>636</v>
      </c>
      <c r="Q28" t="s">
        <v>636</v>
      </c>
      <c r="R28">
        <v>48</v>
      </c>
      <c r="S28">
        <v>0.5943661971830986</v>
      </c>
      <c r="T28">
        <v>64</v>
      </c>
      <c r="U28">
        <v>0.83296875</v>
      </c>
      <c r="V28">
        <v>3.165</v>
      </c>
      <c r="W28">
        <v>3.55</v>
      </c>
      <c r="X28">
        <v>2.11</v>
      </c>
      <c r="Y28">
        <v>-0.312395</v>
      </c>
      <c r="Z28">
        <v>0.5478547854785478</v>
      </c>
      <c r="AA28">
        <v>0.3081861958266453</v>
      </c>
      <c r="AB28">
        <v>0.4012841091492777</v>
      </c>
      <c r="AC28">
        <v>0.7463884430176564</v>
      </c>
      <c r="AD28">
        <v>0.7158908507223114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721</v>
      </c>
      <c r="D29">
        <v>572.474</v>
      </c>
      <c r="E29" t="s">
        <v>661</v>
      </c>
      <c r="F29" t="s">
        <v>632</v>
      </c>
      <c r="G29" t="s">
        <v>671</v>
      </c>
      <c r="H29" t="s">
        <v>702</v>
      </c>
      <c r="I29" t="s">
        <v>731</v>
      </c>
      <c r="J29" t="s">
        <v>1313</v>
      </c>
      <c r="K29">
        <v>44045</v>
      </c>
      <c r="L29">
        <v>0.019972260748959</v>
      </c>
      <c r="M29">
        <v>0.0397137040937372</v>
      </c>
      <c r="N29">
        <v>0.05</v>
      </c>
      <c r="O29">
        <v>0.1076929569036129</v>
      </c>
      <c r="P29" t="s">
        <v>636</v>
      </c>
      <c r="Q29" t="s">
        <v>637</v>
      </c>
      <c r="R29">
        <v>55</v>
      </c>
      <c r="S29">
        <v>0.1972602739726027</v>
      </c>
      <c r="T29">
        <v>876</v>
      </c>
      <c r="U29">
        <v>0.8230593607305936</v>
      </c>
      <c r="V29">
        <v>71.81789999999999</v>
      </c>
      <c r="W29">
        <v>73</v>
      </c>
      <c r="X29">
        <v>14.4</v>
      </c>
      <c r="Y29">
        <v>-0.075641</v>
      </c>
      <c r="Z29">
        <v>0.2673267326732673</v>
      </c>
      <c r="AA29">
        <v>0.5842696629213483</v>
      </c>
      <c r="AB29">
        <v>0.5296950240770465</v>
      </c>
      <c r="AC29">
        <v>0.7608346709470305</v>
      </c>
      <c r="AD29">
        <v>0.7030497592295345</v>
      </c>
    </row>
    <row r="30" spans="1:30">
      <c r="A30" s="1" t="s">
        <v>37</v>
      </c>
      <c r="B30">
        <f>HYPERLINK("https://www.suredividend.com/sure-analysis-DCI/","Donaldson Co., Inc.")</f>
        <v>0</v>
      </c>
      <c r="C30">
        <v>45.96</v>
      </c>
      <c r="D30">
        <v>5796.88884</v>
      </c>
      <c r="E30" t="s">
        <v>666</v>
      </c>
      <c r="F30" t="s">
        <v>632</v>
      </c>
      <c r="G30" t="s">
        <v>671</v>
      </c>
      <c r="H30" t="s">
        <v>700</v>
      </c>
      <c r="I30" t="s">
        <v>732</v>
      </c>
      <c r="J30" t="s">
        <v>1319</v>
      </c>
      <c r="K30">
        <v>44083</v>
      </c>
      <c r="L30">
        <v>0.018276762402088</v>
      </c>
      <c r="M30">
        <v>-0.008678486444267497</v>
      </c>
      <c r="N30">
        <v>0.1</v>
      </c>
      <c r="O30">
        <v>0.1063290535546584</v>
      </c>
      <c r="P30" t="s">
        <v>636</v>
      </c>
      <c r="Q30" t="s">
        <v>372</v>
      </c>
      <c r="R30">
        <v>33</v>
      </c>
      <c r="S30">
        <v>0.42</v>
      </c>
      <c r="T30">
        <v>44</v>
      </c>
      <c r="U30">
        <v>1.044545454545455</v>
      </c>
      <c r="V30">
        <v>2.0252</v>
      </c>
      <c r="W30">
        <v>2</v>
      </c>
      <c r="X30">
        <v>0.84</v>
      </c>
      <c r="Y30">
        <v>-0.109475</v>
      </c>
      <c r="Z30">
        <v>0.2227722772277228</v>
      </c>
      <c r="AA30">
        <v>0.550561797752809</v>
      </c>
      <c r="AB30">
        <v>0.9165329052969503</v>
      </c>
      <c r="AC30">
        <v>0.5008025682182986</v>
      </c>
      <c r="AD30">
        <v>0.695024077046549</v>
      </c>
    </row>
    <row r="31" spans="1:30">
      <c r="A31" s="1" t="s">
        <v>38</v>
      </c>
      <c r="B31">
        <f>HYPERLINK("https://www.suredividend.com/sure-analysis-BRC/","Brady Corp.")</f>
        <v>0</v>
      </c>
      <c r="C31">
        <v>39.02</v>
      </c>
      <c r="D31">
        <v>2029.247899</v>
      </c>
      <c r="E31" t="s">
        <v>663</v>
      </c>
      <c r="F31" t="s">
        <v>632</v>
      </c>
      <c r="G31" t="s">
        <v>671</v>
      </c>
      <c r="H31" t="s">
        <v>700</v>
      </c>
      <c r="I31" t="s">
        <v>733</v>
      </c>
      <c r="J31" t="s">
        <v>1319</v>
      </c>
      <c r="K31">
        <v>44090</v>
      </c>
      <c r="L31">
        <v>0.022296258329062</v>
      </c>
      <c r="M31">
        <v>0.03791578898070291</v>
      </c>
      <c r="N31">
        <v>0.05</v>
      </c>
      <c r="O31">
        <v>0.1058607308990627</v>
      </c>
      <c r="P31" t="s">
        <v>636</v>
      </c>
      <c r="Q31" t="s">
        <v>637</v>
      </c>
      <c r="R31">
        <v>35</v>
      </c>
      <c r="S31">
        <v>0.3425196850393701</v>
      </c>
      <c r="T31">
        <v>47</v>
      </c>
      <c r="U31">
        <v>0.8302127659574469</v>
      </c>
      <c r="V31">
        <v>2.1266</v>
      </c>
      <c r="W31">
        <v>2.54</v>
      </c>
      <c r="X31">
        <v>0.87</v>
      </c>
      <c r="Y31">
        <v>-0.269835</v>
      </c>
      <c r="Z31">
        <v>0.2986798679867987</v>
      </c>
      <c r="AA31">
        <v>0.3531300160513643</v>
      </c>
      <c r="AB31">
        <v>0.5296950240770465</v>
      </c>
      <c r="AC31">
        <v>0.7512038523274478</v>
      </c>
      <c r="AD31">
        <v>0.6918138041733548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113.85</v>
      </c>
      <c r="D32">
        <v>51388.0191</v>
      </c>
      <c r="E32" t="s">
        <v>664</v>
      </c>
      <c r="F32" t="s">
        <v>632</v>
      </c>
      <c r="G32" t="s">
        <v>676</v>
      </c>
      <c r="H32" t="s">
        <v>700</v>
      </c>
      <c r="I32" t="s">
        <v>734</v>
      </c>
      <c r="J32" t="s">
        <v>1313</v>
      </c>
      <c r="K32">
        <v>44043</v>
      </c>
      <c r="L32">
        <v>0.0266139657444</v>
      </c>
      <c r="M32">
        <v>0.03158191839472324</v>
      </c>
      <c r="N32">
        <v>0.05</v>
      </c>
      <c r="O32">
        <v>0.1051303535319292</v>
      </c>
      <c r="P32" t="s">
        <v>636</v>
      </c>
      <c r="Q32" t="s">
        <v>637</v>
      </c>
      <c r="R32">
        <v>27</v>
      </c>
      <c r="S32">
        <v>0.3564705882352941</v>
      </c>
      <c r="T32">
        <v>133</v>
      </c>
      <c r="U32">
        <v>0.8560150375939849</v>
      </c>
      <c r="V32">
        <v>4.8134</v>
      </c>
      <c r="W32">
        <v>8.5</v>
      </c>
      <c r="X32">
        <v>3.03</v>
      </c>
      <c r="Y32">
        <v>-0.290477</v>
      </c>
      <c r="Z32">
        <v>0.3597359735973598</v>
      </c>
      <c r="AA32">
        <v>0.3290529695024077</v>
      </c>
      <c r="AB32">
        <v>0.5296950240770465</v>
      </c>
      <c r="AC32">
        <v>0.7191011235955057</v>
      </c>
      <c r="AD32">
        <v>0.6902086677367576</v>
      </c>
    </row>
    <row r="33" spans="1:30">
      <c r="A33" s="1" t="s">
        <v>40</v>
      </c>
      <c r="B33">
        <f>HYPERLINK("https://www.suredividend.com/sure-analysis-AMAT/","Applied Materials, Inc.")</f>
        <v>0</v>
      </c>
      <c r="C33">
        <v>58.23</v>
      </c>
      <c r="D33">
        <v>53180.46909</v>
      </c>
      <c r="E33" t="s">
        <v>666</v>
      </c>
      <c r="F33" t="s">
        <v>632</v>
      </c>
      <c r="G33" t="s">
        <v>671</v>
      </c>
      <c r="H33" t="s">
        <v>701</v>
      </c>
      <c r="I33" t="s">
        <v>735</v>
      </c>
      <c r="J33" t="s">
        <v>1320</v>
      </c>
      <c r="K33">
        <v>44082</v>
      </c>
      <c r="L33">
        <v>0.014769019405804</v>
      </c>
      <c r="M33">
        <v>0.009337964930129727</v>
      </c>
      <c r="N33">
        <v>0.08</v>
      </c>
      <c r="O33">
        <v>0.1041121898009008</v>
      </c>
      <c r="P33" t="s">
        <v>636</v>
      </c>
      <c r="Q33" t="s">
        <v>372</v>
      </c>
      <c r="R33">
        <v>3</v>
      </c>
      <c r="S33">
        <v>0.2097560975609756</v>
      </c>
      <c r="T33">
        <v>61</v>
      </c>
      <c r="U33">
        <v>0.9545901639344262</v>
      </c>
      <c r="V33">
        <v>3.475</v>
      </c>
      <c r="W33">
        <v>4.1</v>
      </c>
      <c r="X33">
        <v>0.86</v>
      </c>
      <c r="Y33">
        <v>0.116587</v>
      </c>
      <c r="Z33">
        <v>0.1452145214521452</v>
      </c>
      <c r="AA33">
        <v>0.7849117174959872</v>
      </c>
      <c r="AB33">
        <v>0.8274478330658106</v>
      </c>
      <c r="AC33">
        <v>0.6147672552166934</v>
      </c>
      <c r="AD33">
        <v>0.6853932584269663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47.43</v>
      </c>
      <c r="D34">
        <v>13915.67742</v>
      </c>
      <c r="E34" t="s">
        <v>660</v>
      </c>
      <c r="F34" t="s">
        <v>632</v>
      </c>
      <c r="G34" t="s">
        <v>671</v>
      </c>
      <c r="H34" t="s">
        <v>700</v>
      </c>
      <c r="I34" t="s">
        <v>736</v>
      </c>
      <c r="J34" t="s">
        <v>1315</v>
      </c>
      <c r="K34">
        <v>44056</v>
      </c>
      <c r="L34">
        <v>0.04067467847353901</v>
      </c>
      <c r="M34">
        <v>0.03005855389614909</v>
      </c>
      <c r="N34">
        <v>0.04</v>
      </c>
      <c r="O34">
        <v>0.103676036342313</v>
      </c>
      <c r="P34" t="s">
        <v>636</v>
      </c>
      <c r="Q34" t="s">
        <v>636</v>
      </c>
      <c r="R34">
        <v>33</v>
      </c>
      <c r="S34">
        <v>0.3539816513761468</v>
      </c>
      <c r="T34">
        <v>55</v>
      </c>
      <c r="U34">
        <v>0.8623636363636363</v>
      </c>
      <c r="V34">
        <v>-12.4298</v>
      </c>
      <c r="W34">
        <v>5.45</v>
      </c>
      <c r="X34">
        <v>1.9292</v>
      </c>
      <c r="Y34">
        <v>0.002748</v>
      </c>
      <c r="Z34">
        <v>0.5610561056105611</v>
      </c>
      <c r="AA34">
        <v>0.6966292134831461</v>
      </c>
      <c r="AB34">
        <v>0.4012841091492777</v>
      </c>
      <c r="AC34">
        <v>0.7094703049759229</v>
      </c>
      <c r="AD34">
        <v>0.682182985553772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35.73</v>
      </c>
      <c r="D35">
        <v>25472.34576</v>
      </c>
      <c r="E35" t="s">
        <v>660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44042</v>
      </c>
      <c r="L35">
        <v>0.030786453960257</v>
      </c>
      <c r="M35">
        <v>0.04251888785851587</v>
      </c>
      <c r="N35">
        <v>0.03</v>
      </c>
      <c r="O35">
        <v>0.09844265579204503</v>
      </c>
      <c r="P35" t="s">
        <v>636</v>
      </c>
      <c r="Q35" t="s">
        <v>636</v>
      </c>
      <c r="R35">
        <v>37</v>
      </c>
      <c r="S35">
        <v>0.25</v>
      </c>
      <c r="T35">
        <v>44</v>
      </c>
      <c r="U35">
        <v>0.8120454545454545</v>
      </c>
      <c r="V35">
        <v>4.0177</v>
      </c>
      <c r="W35">
        <v>4.4</v>
      </c>
      <c r="X35">
        <v>1.1</v>
      </c>
      <c r="Y35">
        <v>-0.311693</v>
      </c>
      <c r="Z35">
        <v>0.429042904290429</v>
      </c>
      <c r="AA35">
        <v>0.3113964686998395</v>
      </c>
      <c r="AB35">
        <v>0.2680577849117175</v>
      </c>
      <c r="AC35">
        <v>0.7929373996789727</v>
      </c>
      <c r="AD35">
        <v>0.6548956661316212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36.83</v>
      </c>
      <c r="D36">
        <v>4222.10708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44070</v>
      </c>
      <c r="L36">
        <v>0.040727667662231</v>
      </c>
      <c r="M36">
        <v>0.0009214607217600257</v>
      </c>
      <c r="N36">
        <v>0.06</v>
      </c>
      <c r="O36">
        <v>0.09783533242898113</v>
      </c>
      <c r="P36" t="s">
        <v>636</v>
      </c>
      <c r="Q36" t="s">
        <v>636</v>
      </c>
      <c r="R36">
        <v>38</v>
      </c>
      <c r="S36">
        <v>0.4411764705882353</v>
      </c>
      <c r="T36">
        <v>37</v>
      </c>
      <c r="U36">
        <v>0.9954054054054053</v>
      </c>
      <c r="V36">
        <v>2.6006</v>
      </c>
      <c r="W36">
        <v>3.4</v>
      </c>
      <c r="X36">
        <v>1.5</v>
      </c>
      <c r="Y36">
        <v>-0.190549</v>
      </c>
      <c r="Z36">
        <v>0.5627062706270627</v>
      </c>
      <c r="AA36">
        <v>0.4365971107544142</v>
      </c>
      <c r="AB36">
        <v>0.6597110754414125</v>
      </c>
      <c r="AC36">
        <v>0.565008025682183</v>
      </c>
      <c r="AD36">
        <v>0.651685393258427</v>
      </c>
    </row>
    <row r="37" spans="1:30">
      <c r="A37" s="1" t="s">
        <v>44</v>
      </c>
      <c r="B37">
        <f>HYPERLINK("https://www.suredividend.com/sure-analysis-ORCL/","Oracle Corp.")</f>
        <v>0</v>
      </c>
      <c r="C37">
        <v>59.8</v>
      </c>
      <c r="D37">
        <v>180051.222</v>
      </c>
      <c r="E37" t="s">
        <v>664</v>
      </c>
      <c r="F37" t="s">
        <v>632</v>
      </c>
      <c r="G37" t="s">
        <v>671</v>
      </c>
      <c r="H37" t="s">
        <v>700</v>
      </c>
      <c r="I37" t="s">
        <v>739</v>
      </c>
      <c r="J37" t="s">
        <v>1320</v>
      </c>
      <c r="K37">
        <v>44090</v>
      </c>
      <c r="L37">
        <v>0.016053511705685</v>
      </c>
      <c r="M37">
        <v>0.0006680032679751147</v>
      </c>
      <c r="N37">
        <v>0.08</v>
      </c>
      <c r="O37">
        <v>0.09485370468435095</v>
      </c>
      <c r="P37" t="s">
        <v>636</v>
      </c>
      <c r="Q37" t="s">
        <v>372</v>
      </c>
      <c r="R37">
        <v>11</v>
      </c>
      <c r="S37">
        <v>0.2258823529411765</v>
      </c>
      <c r="T37">
        <v>60</v>
      </c>
      <c r="U37">
        <v>0.9966666666666666</v>
      </c>
      <c r="V37">
        <v>3.2664</v>
      </c>
      <c r="W37">
        <v>4.25</v>
      </c>
      <c r="X37">
        <v>0.96</v>
      </c>
      <c r="Y37">
        <v>0.108228</v>
      </c>
      <c r="Z37">
        <v>0.1617161716171617</v>
      </c>
      <c r="AA37">
        <v>0.7800963081861958</v>
      </c>
      <c r="AB37">
        <v>0.8274478330658106</v>
      </c>
      <c r="AC37">
        <v>0.5617977528089887</v>
      </c>
      <c r="AD37">
        <v>0.6388443017656501</v>
      </c>
    </row>
    <row r="38" spans="1:30">
      <c r="A38" s="1" t="s">
        <v>45</v>
      </c>
      <c r="B38">
        <f>HYPERLINK("https://www.suredividend.com/sure-analysis-AIZ/","Assurant, Inc.")</f>
        <v>0</v>
      </c>
      <c r="C38">
        <v>117.82</v>
      </c>
      <c r="D38">
        <v>7027.739142</v>
      </c>
      <c r="E38" t="s">
        <v>661</v>
      </c>
      <c r="F38" t="s">
        <v>632</v>
      </c>
      <c r="G38" t="s">
        <v>671</v>
      </c>
      <c r="H38" t="s">
        <v>700</v>
      </c>
      <c r="I38" t="s">
        <v>740</v>
      </c>
      <c r="J38" t="s">
        <v>1313</v>
      </c>
      <c r="K38">
        <v>44062</v>
      </c>
      <c r="L38">
        <v>0.021388558818536</v>
      </c>
      <c r="M38">
        <v>0.02298904406531266</v>
      </c>
      <c r="N38">
        <v>0.05</v>
      </c>
      <c r="O38">
        <v>0.09283327389781948</v>
      </c>
      <c r="P38" t="s">
        <v>636</v>
      </c>
      <c r="Q38" t="s">
        <v>637</v>
      </c>
      <c r="R38">
        <v>16</v>
      </c>
      <c r="S38">
        <v>0.2625</v>
      </c>
      <c r="T38">
        <v>132</v>
      </c>
      <c r="U38">
        <v>0.8925757575757576</v>
      </c>
      <c r="V38">
        <v>6.3959</v>
      </c>
      <c r="W38">
        <v>9.6</v>
      </c>
      <c r="X38">
        <v>2.52</v>
      </c>
      <c r="Y38">
        <v>-0.07082000000000001</v>
      </c>
      <c r="Z38">
        <v>0.2821782178217822</v>
      </c>
      <c r="AA38">
        <v>0.5906902086677368</v>
      </c>
      <c r="AB38">
        <v>0.5296950240770465</v>
      </c>
      <c r="AC38">
        <v>0.6741573033707866</v>
      </c>
      <c r="AD38">
        <v>0.6243980738362761</v>
      </c>
    </row>
    <row r="39" spans="1:30">
      <c r="A39" s="1" t="s">
        <v>46</v>
      </c>
      <c r="B39">
        <f>HYPERLINK("https://www.suredividend.com/sure-analysis-BANF/","BancFirst Corp. (Oklahoma)")</f>
        <v>0</v>
      </c>
      <c r="C39">
        <v>40.34</v>
      </c>
      <c r="D39">
        <v>1317.613318</v>
      </c>
      <c r="E39" t="s">
        <v>668</v>
      </c>
      <c r="F39" t="s">
        <v>632</v>
      </c>
      <c r="G39" t="s">
        <v>671</v>
      </c>
      <c r="H39" t="s">
        <v>701</v>
      </c>
      <c r="I39" t="s">
        <v>741</v>
      </c>
      <c r="J39" t="s">
        <v>1313</v>
      </c>
      <c r="K39">
        <v>44063</v>
      </c>
      <c r="L39">
        <v>0.031730292513634</v>
      </c>
      <c r="M39">
        <v>0.03103258918988683</v>
      </c>
      <c r="N39">
        <v>0.03</v>
      </c>
      <c r="O39">
        <v>0.09107621350295947</v>
      </c>
      <c r="P39" t="s">
        <v>636</v>
      </c>
      <c r="Q39" t="s">
        <v>637</v>
      </c>
      <c r="R39">
        <v>26</v>
      </c>
      <c r="S39">
        <v>0.4129032258064516</v>
      </c>
      <c r="T39">
        <v>47</v>
      </c>
      <c r="U39">
        <v>0.8582978723404256</v>
      </c>
      <c r="V39">
        <v>3.4357</v>
      </c>
      <c r="W39">
        <v>3.1</v>
      </c>
      <c r="X39">
        <v>1.28</v>
      </c>
      <c r="Y39">
        <v>-0.275373</v>
      </c>
      <c r="Z39">
        <v>0.4422442244224423</v>
      </c>
      <c r="AA39">
        <v>0.346709470304976</v>
      </c>
      <c r="AB39">
        <v>0.2680577849117175</v>
      </c>
      <c r="AC39">
        <v>0.7158908507223114</v>
      </c>
      <c r="AD39">
        <v>0.608346709470305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302.5</v>
      </c>
      <c r="D40">
        <v>287476.64</v>
      </c>
      <c r="E40" t="s">
        <v>666</v>
      </c>
      <c r="F40" t="s">
        <v>632</v>
      </c>
      <c r="G40" t="s">
        <v>671</v>
      </c>
      <c r="H40" t="s">
        <v>700</v>
      </c>
      <c r="I40" t="s">
        <v>742</v>
      </c>
      <c r="J40" t="s">
        <v>1315</v>
      </c>
      <c r="K40">
        <v>44028</v>
      </c>
      <c r="L40">
        <v>0.014842975206611</v>
      </c>
      <c r="M40">
        <v>-0.02685913644533278</v>
      </c>
      <c r="N40">
        <v>0.1</v>
      </c>
      <c r="O40">
        <v>0.08879169280394028</v>
      </c>
      <c r="P40" t="s">
        <v>636</v>
      </c>
      <c r="Q40" t="s">
        <v>372</v>
      </c>
      <c r="R40">
        <v>12</v>
      </c>
      <c r="S40">
        <v>0.2721212121212122</v>
      </c>
      <c r="T40">
        <v>264</v>
      </c>
      <c r="U40">
        <v>1.145833333333333</v>
      </c>
      <c r="V40">
        <v>17.9741</v>
      </c>
      <c r="W40">
        <v>16.5</v>
      </c>
      <c r="X40">
        <v>4.49</v>
      </c>
      <c r="Y40">
        <v>0.403843</v>
      </c>
      <c r="Z40">
        <v>0.1468646864686469</v>
      </c>
      <c r="AA40">
        <v>0.9454253611556982</v>
      </c>
      <c r="AB40">
        <v>0.9165329052969503</v>
      </c>
      <c r="AC40">
        <v>0.4012841091492777</v>
      </c>
      <c r="AD40">
        <v>0.5906902086677368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51.03</v>
      </c>
      <c r="D41">
        <v>7475.99706</v>
      </c>
      <c r="E41" t="s">
        <v>666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44038</v>
      </c>
      <c r="L41">
        <v>0.013717421124828</v>
      </c>
      <c r="M41">
        <v>-0.00808581192247082</v>
      </c>
      <c r="N41">
        <v>0.08</v>
      </c>
      <c r="O41">
        <v>0.0841633739913672</v>
      </c>
      <c r="P41" t="s">
        <v>636</v>
      </c>
      <c r="Q41" t="s">
        <v>372</v>
      </c>
      <c r="R41">
        <v>29</v>
      </c>
      <c r="S41">
        <v>0.2413793103448276</v>
      </c>
      <c r="T41">
        <v>49</v>
      </c>
      <c r="U41">
        <v>1.041428571428571</v>
      </c>
      <c r="V41">
        <v>3.1498</v>
      </c>
      <c r="W41">
        <v>2.9</v>
      </c>
      <c r="X41">
        <v>0.7000000000000001</v>
      </c>
      <c r="Y41">
        <v>-0.136548</v>
      </c>
      <c r="Z41">
        <v>0.1287128712871287</v>
      </c>
      <c r="AA41">
        <v>0.5136436597110755</v>
      </c>
      <c r="AB41">
        <v>0.8274478330658106</v>
      </c>
      <c r="AC41">
        <v>0.5056179775280899</v>
      </c>
      <c r="AD41">
        <v>0.5617977528089887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50.28</v>
      </c>
      <c r="D42">
        <v>5046.90528</v>
      </c>
      <c r="E42" t="s">
        <v>663</v>
      </c>
      <c r="F42" t="s">
        <v>632</v>
      </c>
      <c r="G42" t="s">
        <v>671</v>
      </c>
      <c r="H42" t="s">
        <v>700</v>
      </c>
      <c r="I42" t="s">
        <v>744</v>
      </c>
      <c r="J42" t="s">
        <v>1318</v>
      </c>
      <c r="K42">
        <v>44029</v>
      </c>
      <c r="L42">
        <v>0.034208432776451</v>
      </c>
      <c r="M42">
        <v>0.002847696807730893</v>
      </c>
      <c r="N42">
        <v>0.05</v>
      </c>
      <c r="O42">
        <v>0.08350132076794803</v>
      </c>
      <c r="P42" t="s">
        <v>636</v>
      </c>
      <c r="Q42" t="s">
        <v>637</v>
      </c>
      <c r="R42">
        <v>37</v>
      </c>
      <c r="S42">
        <v>0.5292307692307692</v>
      </c>
      <c r="T42">
        <v>51</v>
      </c>
      <c r="U42">
        <v>0.9858823529411765</v>
      </c>
      <c r="V42">
        <v>2.7061</v>
      </c>
      <c r="W42">
        <v>3.25</v>
      </c>
      <c r="X42">
        <v>1.72</v>
      </c>
      <c r="Y42">
        <v>-0.136676</v>
      </c>
      <c r="Z42">
        <v>0.466996699669967</v>
      </c>
      <c r="AA42">
        <v>0.5120385232744783</v>
      </c>
      <c r="AB42">
        <v>0.5296950240770465</v>
      </c>
      <c r="AC42">
        <v>0.5714285714285715</v>
      </c>
      <c r="AD42">
        <v>0.5553772070626003</v>
      </c>
    </row>
    <row r="43" spans="1:30">
      <c r="A43" s="1" t="s">
        <v>50</v>
      </c>
      <c r="B43">
        <f>HYPERLINK("https://www.suredividend.com/sure-analysis-KR/","The Kroger Co.")</f>
        <v>0</v>
      </c>
      <c r="C43">
        <v>33.53</v>
      </c>
      <c r="D43">
        <v>25963.11725</v>
      </c>
      <c r="E43" t="s">
        <v>660</v>
      </c>
      <c r="F43" t="s">
        <v>632</v>
      </c>
      <c r="G43" t="s">
        <v>671</v>
      </c>
      <c r="H43" t="s">
        <v>700</v>
      </c>
      <c r="I43" t="s">
        <v>745</v>
      </c>
      <c r="J43" t="s">
        <v>1321</v>
      </c>
      <c r="K43">
        <v>44085</v>
      </c>
      <c r="L43">
        <v>0.019683865195347</v>
      </c>
      <c r="M43">
        <v>0.0306856054161484</v>
      </c>
      <c r="N43">
        <v>0.03</v>
      </c>
      <c r="O43">
        <v>0.0822383344104638</v>
      </c>
      <c r="P43" t="s">
        <v>636</v>
      </c>
      <c r="Q43" t="s">
        <v>637</v>
      </c>
      <c r="R43">
        <v>14</v>
      </c>
      <c r="S43">
        <v>0.2030769230769231</v>
      </c>
      <c r="T43">
        <v>39</v>
      </c>
      <c r="U43">
        <v>0.8597435897435898</v>
      </c>
      <c r="V43">
        <v>3.3411</v>
      </c>
      <c r="W43">
        <v>3.25</v>
      </c>
      <c r="X43">
        <v>0.66</v>
      </c>
      <c r="Y43">
        <v>0.300621</v>
      </c>
      <c r="Z43">
        <v>0.2574257425742574</v>
      </c>
      <c r="AA43">
        <v>0.9085072231139647</v>
      </c>
      <c r="AB43">
        <v>0.2680577849117175</v>
      </c>
      <c r="AC43">
        <v>0.7126805778491172</v>
      </c>
      <c r="AD43">
        <v>0.5425361155698234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45.71</v>
      </c>
      <c r="D44">
        <v>2364.834276</v>
      </c>
      <c r="E44" t="s">
        <v>661</v>
      </c>
      <c r="F44" t="s">
        <v>632</v>
      </c>
      <c r="G44" t="s">
        <v>671</v>
      </c>
      <c r="H44" t="s">
        <v>700</v>
      </c>
      <c r="I44" t="s">
        <v>746</v>
      </c>
      <c r="J44" t="s">
        <v>1322</v>
      </c>
      <c r="K44">
        <v>44098</v>
      </c>
      <c r="L44">
        <v>0.014110697877926</v>
      </c>
      <c r="M44">
        <v>-0.03627200449246326</v>
      </c>
      <c r="N44">
        <v>0.11</v>
      </c>
      <c r="O44">
        <v>0.08205571355980479</v>
      </c>
      <c r="P44" t="s">
        <v>636</v>
      </c>
      <c r="Q44" t="s">
        <v>637</v>
      </c>
      <c r="R44">
        <v>51</v>
      </c>
      <c r="S44">
        <v>0.258</v>
      </c>
      <c r="T44">
        <v>38</v>
      </c>
      <c r="U44">
        <v>1.202894736842105</v>
      </c>
      <c r="V44">
        <v>2.2364</v>
      </c>
      <c r="W44">
        <v>2.5</v>
      </c>
      <c r="X44">
        <v>0.645</v>
      </c>
      <c r="Y44">
        <v>-0.021199</v>
      </c>
      <c r="Z44">
        <v>0.1386138613861386</v>
      </c>
      <c r="AA44">
        <v>0.6532905296950241</v>
      </c>
      <c r="AB44">
        <v>0.9414125200642054</v>
      </c>
      <c r="AC44">
        <v>0.3483146067415731</v>
      </c>
      <c r="AD44">
        <v>0.5409309791332263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95.25</v>
      </c>
      <c r="D45">
        <v>11749.56375</v>
      </c>
      <c r="E45" t="s">
        <v>666</v>
      </c>
      <c r="F45" t="s">
        <v>632</v>
      </c>
      <c r="G45" t="s">
        <v>671</v>
      </c>
      <c r="H45" t="s">
        <v>700</v>
      </c>
      <c r="I45" t="s">
        <v>747</v>
      </c>
      <c r="J45" t="s">
        <v>1316</v>
      </c>
      <c r="K45">
        <v>44064</v>
      </c>
      <c r="L45">
        <v>0.023622047244094</v>
      </c>
      <c r="M45">
        <v>-0.01348202120461006</v>
      </c>
      <c r="N45">
        <v>0.07000000000000001</v>
      </c>
      <c r="O45">
        <v>0.07914628661848799</v>
      </c>
      <c r="P45" t="s">
        <v>636</v>
      </c>
      <c r="Q45" t="s">
        <v>637</v>
      </c>
      <c r="R45">
        <v>36</v>
      </c>
      <c r="S45">
        <v>0.4797441364605543</v>
      </c>
      <c r="T45">
        <v>89</v>
      </c>
      <c r="U45">
        <v>1.070224719101124</v>
      </c>
      <c r="V45">
        <v>4.8682</v>
      </c>
      <c r="W45">
        <v>4.69</v>
      </c>
      <c r="X45">
        <v>2.25</v>
      </c>
      <c r="Y45">
        <v>-0.169211</v>
      </c>
      <c r="Z45">
        <v>0.3151815181518152</v>
      </c>
      <c r="AA45">
        <v>0.4670947030497593</v>
      </c>
      <c r="AB45">
        <v>0.7504012841091493</v>
      </c>
      <c r="AC45">
        <v>0.478330658105939</v>
      </c>
      <c r="AD45">
        <v>0.5184590690208668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44.32</v>
      </c>
      <c r="D46">
        <v>1353.856336</v>
      </c>
      <c r="E46" t="s">
        <v>669</v>
      </c>
      <c r="F46" t="s">
        <v>632</v>
      </c>
      <c r="G46" t="s">
        <v>671</v>
      </c>
      <c r="H46" t="s">
        <v>700</v>
      </c>
      <c r="I46" t="s">
        <v>748</v>
      </c>
      <c r="J46" t="s">
        <v>1316</v>
      </c>
      <c r="K46">
        <v>44013</v>
      </c>
      <c r="L46">
        <v>0.04309566787003601</v>
      </c>
      <c r="M46">
        <v>0.01181152343407366</v>
      </c>
      <c r="N46">
        <v>0.029</v>
      </c>
      <c r="O46">
        <v>0.0777712066451588</v>
      </c>
      <c r="P46" t="s">
        <v>636</v>
      </c>
      <c r="Q46" t="s">
        <v>636</v>
      </c>
      <c r="R46">
        <v>64</v>
      </c>
      <c r="S46">
        <v>0.8127659574468086</v>
      </c>
      <c r="T46">
        <v>47</v>
      </c>
      <c r="U46">
        <v>0.9429787234042554</v>
      </c>
      <c r="V46">
        <v>1.9712</v>
      </c>
      <c r="W46">
        <v>2.35</v>
      </c>
      <c r="X46">
        <v>1.91</v>
      </c>
      <c r="Y46">
        <v>-0.378575</v>
      </c>
      <c r="Z46">
        <v>0.5940594059405941</v>
      </c>
      <c r="AA46">
        <v>0.2182985553772071</v>
      </c>
      <c r="AB46">
        <v>0.2174959871589085</v>
      </c>
      <c r="AC46">
        <v>0.6292134831460674</v>
      </c>
      <c r="AD46">
        <v>0.5104333868378812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25.14</v>
      </c>
      <c r="D47">
        <v>388.80267</v>
      </c>
      <c r="E47" t="s">
        <v>666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0.03987112171837701</v>
      </c>
      <c r="M47">
        <v>0.02897907911251507</v>
      </c>
      <c r="N47">
        <v>0.01</v>
      </c>
      <c r="O47">
        <v>0.07653965919037287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0.8668965517241379</v>
      </c>
      <c r="V47">
        <v>2.4042</v>
      </c>
      <c r="W47">
        <v>2.45</v>
      </c>
      <c r="X47">
        <v>1.00236</v>
      </c>
      <c r="Y47">
        <v>-0.219584</v>
      </c>
      <c r="Z47">
        <v>0.5544554455445545</v>
      </c>
      <c r="AA47">
        <v>0.3932584269662922</v>
      </c>
      <c r="AB47">
        <v>0.08828250401284109</v>
      </c>
      <c r="AC47">
        <v>0.7046548956661316</v>
      </c>
      <c r="AD47">
        <v>0.5008025682182986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199.98</v>
      </c>
      <c r="D48">
        <v>25709.82876</v>
      </c>
      <c r="E48" t="s">
        <v>661</v>
      </c>
      <c r="F48" t="s">
        <v>632</v>
      </c>
      <c r="G48" t="s">
        <v>671</v>
      </c>
      <c r="H48" t="s">
        <v>700</v>
      </c>
      <c r="I48" t="s">
        <v>750</v>
      </c>
      <c r="J48" t="s">
        <v>1319</v>
      </c>
      <c r="K48">
        <v>44060</v>
      </c>
      <c r="L48">
        <v>0.017601760176017</v>
      </c>
      <c r="M48">
        <v>-0.03772439487113177</v>
      </c>
      <c r="N48">
        <v>0.1</v>
      </c>
      <c r="O48">
        <v>0.07507420904163897</v>
      </c>
      <c r="P48" t="s">
        <v>636</v>
      </c>
      <c r="Q48" t="s">
        <v>637</v>
      </c>
      <c r="R48">
        <v>63</v>
      </c>
      <c r="S48">
        <v>0.32</v>
      </c>
      <c r="T48">
        <v>165</v>
      </c>
      <c r="U48">
        <v>1.212</v>
      </c>
      <c r="V48">
        <v>9.3941</v>
      </c>
      <c r="W48">
        <v>11</v>
      </c>
      <c r="X48">
        <v>3.52</v>
      </c>
      <c r="Y48">
        <v>0.11026</v>
      </c>
      <c r="Z48">
        <v>0.202970297029703</v>
      </c>
      <c r="AA48">
        <v>0.7833065810593901</v>
      </c>
      <c r="AB48">
        <v>0.9165329052969503</v>
      </c>
      <c r="AC48">
        <v>0.3370786516853933</v>
      </c>
      <c r="AD48">
        <v>0.4959871589085072</v>
      </c>
    </row>
    <row r="49" spans="1:30">
      <c r="A49" s="1" t="s">
        <v>56</v>
      </c>
      <c r="B49">
        <f>HYPERLINK("https://www.suredividend.com/sure-analysis-PNR/","Pentair Plc")</f>
        <v>0</v>
      </c>
      <c r="C49">
        <v>44.96</v>
      </c>
      <c r="D49">
        <v>7459.26864</v>
      </c>
      <c r="E49" t="s">
        <v>664</v>
      </c>
      <c r="F49" t="s">
        <v>632</v>
      </c>
      <c r="G49" t="s">
        <v>677</v>
      </c>
      <c r="H49" t="s">
        <v>700</v>
      </c>
      <c r="I49" t="s">
        <v>751</v>
      </c>
      <c r="J49" t="s">
        <v>1319</v>
      </c>
      <c r="K49">
        <v>44041</v>
      </c>
      <c r="L49">
        <v>0.016681494661921</v>
      </c>
      <c r="M49">
        <v>-0.008875000583574932</v>
      </c>
      <c r="N49">
        <v>0.065</v>
      </c>
      <c r="O49">
        <v>0.0713690439628083</v>
      </c>
      <c r="P49" t="s">
        <v>636</v>
      </c>
      <c r="Q49" t="s">
        <v>637</v>
      </c>
      <c r="R49">
        <v>43</v>
      </c>
      <c r="S49">
        <v>0.3571428571428572</v>
      </c>
      <c r="T49">
        <v>43</v>
      </c>
      <c r="U49">
        <v>1.045581395348837</v>
      </c>
      <c r="V49">
        <v>1.9986</v>
      </c>
      <c r="W49">
        <v>2.1</v>
      </c>
      <c r="X49">
        <v>0.75</v>
      </c>
      <c r="Y49">
        <v>0.20698</v>
      </c>
      <c r="Z49">
        <v>0.1765676567656765</v>
      </c>
      <c r="AA49">
        <v>0.8507223113964687</v>
      </c>
      <c r="AB49">
        <v>0.7134831460674157</v>
      </c>
      <c r="AC49">
        <v>0.4991974317817015</v>
      </c>
      <c r="AD49">
        <v>0.4654895666131621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224.08</v>
      </c>
      <c r="D50">
        <v>64953.84552</v>
      </c>
      <c r="E50" t="s">
        <v>663</v>
      </c>
      <c r="F50" t="s">
        <v>632</v>
      </c>
      <c r="G50" t="s">
        <v>671</v>
      </c>
      <c r="H50" t="s">
        <v>700</v>
      </c>
      <c r="I50" t="s">
        <v>752</v>
      </c>
      <c r="J50" t="s">
        <v>1315</v>
      </c>
      <c r="K50">
        <v>44051</v>
      </c>
      <c r="L50">
        <v>0.014012852552659</v>
      </c>
      <c r="M50">
        <v>-0.0407459125502404</v>
      </c>
      <c r="N50">
        <v>0.1</v>
      </c>
      <c r="O50">
        <v>0.07003571362850547</v>
      </c>
      <c r="P50" t="s">
        <v>636</v>
      </c>
      <c r="Q50" t="s">
        <v>637</v>
      </c>
      <c r="R50">
        <v>48</v>
      </c>
      <c r="S50">
        <v>0.3171717171717172</v>
      </c>
      <c r="T50">
        <v>182</v>
      </c>
      <c r="U50">
        <v>1.231208791208791</v>
      </c>
      <c r="V50">
        <v>2.8093</v>
      </c>
      <c r="W50">
        <v>9.9</v>
      </c>
      <c r="X50">
        <v>3.14</v>
      </c>
      <c r="Y50">
        <v>-0.105612</v>
      </c>
      <c r="Z50">
        <v>0.136963696369637</v>
      </c>
      <c r="AA50">
        <v>0.5521669341894061</v>
      </c>
      <c r="AB50">
        <v>0.9165329052969503</v>
      </c>
      <c r="AC50">
        <v>0.3146067415730337</v>
      </c>
      <c r="AD50">
        <v>0.4590690208667737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36.85</v>
      </c>
      <c r="D51">
        <v>2457.419635</v>
      </c>
      <c r="E51" t="s">
        <v>664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44090</v>
      </c>
      <c r="L51">
        <v>0.019945725915875</v>
      </c>
      <c r="M51">
        <v>0.000812788935828701</v>
      </c>
      <c r="N51">
        <v>0.05</v>
      </c>
      <c r="O51">
        <v>0.06830186402689775</v>
      </c>
      <c r="P51" t="s">
        <v>636</v>
      </c>
      <c r="Q51" t="s">
        <v>637</v>
      </c>
      <c r="R51">
        <v>52</v>
      </c>
      <c r="S51">
        <v>0.35</v>
      </c>
      <c r="T51">
        <v>37</v>
      </c>
      <c r="U51">
        <v>0.995945945945946</v>
      </c>
      <c r="V51">
        <v>-0.0722</v>
      </c>
      <c r="W51">
        <v>2.1</v>
      </c>
      <c r="X51">
        <v>0.735</v>
      </c>
      <c r="Y51">
        <v>0.003267</v>
      </c>
      <c r="Z51">
        <v>0.2656765676567657</v>
      </c>
      <c r="AA51">
        <v>0.6998394863563404</v>
      </c>
      <c r="AB51">
        <v>0.5296950240770465</v>
      </c>
      <c r="AC51">
        <v>0.5634028892455859</v>
      </c>
      <c r="AD51">
        <v>0.4494382022471911</v>
      </c>
    </row>
    <row r="52" spans="1:30">
      <c r="A52" s="1" t="s">
        <v>59</v>
      </c>
      <c r="B52">
        <f>HYPERLINK("https://www.suredividend.com/sure-analysis-ADM/","Archer-Daniels-Midland Co.")</f>
        <v>0</v>
      </c>
      <c r="C52">
        <v>46.08</v>
      </c>
      <c r="D52">
        <v>25604.21376</v>
      </c>
      <c r="E52" t="s">
        <v>668</v>
      </c>
      <c r="F52" t="s">
        <v>632</v>
      </c>
      <c r="G52" t="s">
        <v>671</v>
      </c>
      <c r="H52" t="s">
        <v>700</v>
      </c>
      <c r="I52" t="s">
        <v>754</v>
      </c>
      <c r="J52" t="s">
        <v>1321</v>
      </c>
      <c r="K52">
        <v>44056</v>
      </c>
      <c r="L52">
        <v>0.030815972222222</v>
      </c>
      <c r="M52">
        <v>-0.004732073616256827</v>
      </c>
      <c r="N52">
        <v>0.04</v>
      </c>
      <c r="O52">
        <v>0.06444393041036811</v>
      </c>
      <c r="P52" t="s">
        <v>636</v>
      </c>
      <c r="Q52" t="s">
        <v>636</v>
      </c>
      <c r="R52">
        <v>45</v>
      </c>
      <c r="S52">
        <v>0.4701986754966887</v>
      </c>
      <c r="T52">
        <v>45</v>
      </c>
      <c r="U52">
        <v>1.024</v>
      </c>
      <c r="V52">
        <v>3.1596</v>
      </c>
      <c r="W52">
        <v>3.02</v>
      </c>
      <c r="X52">
        <v>1.42</v>
      </c>
      <c r="Y52">
        <v>0.127753</v>
      </c>
      <c r="Z52">
        <v>0.4306930693069307</v>
      </c>
      <c r="AA52">
        <v>0.8025682182985554</v>
      </c>
      <c r="AB52">
        <v>0.4012841091492777</v>
      </c>
      <c r="AC52">
        <v>0.5377207062600321</v>
      </c>
      <c r="AD52">
        <v>0.4221508828250402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96.8</v>
      </c>
      <c r="D53">
        <v>19760.9456</v>
      </c>
      <c r="E53" t="s">
        <v>660</v>
      </c>
      <c r="F53" t="s">
        <v>632</v>
      </c>
      <c r="G53" t="s">
        <v>671</v>
      </c>
      <c r="H53" t="s">
        <v>700</v>
      </c>
      <c r="I53" t="s">
        <v>755</v>
      </c>
      <c r="J53" t="s">
        <v>1315</v>
      </c>
      <c r="K53">
        <v>44049</v>
      </c>
      <c r="L53">
        <v>0.01694214876033</v>
      </c>
      <c r="M53">
        <v>-0.005853245024034504</v>
      </c>
      <c r="N53">
        <v>0.05</v>
      </c>
      <c r="O53">
        <v>0.06127014725504254</v>
      </c>
      <c r="P53" t="s">
        <v>636</v>
      </c>
      <c r="Q53" t="s">
        <v>372</v>
      </c>
      <c r="R53">
        <v>16</v>
      </c>
      <c r="S53">
        <v>0.2083862770012707</v>
      </c>
      <c r="T53">
        <v>94</v>
      </c>
      <c r="U53">
        <v>1.029787234042553</v>
      </c>
      <c r="V53">
        <v>7.6456</v>
      </c>
      <c r="W53">
        <v>7.87</v>
      </c>
      <c r="X53">
        <v>1.64</v>
      </c>
      <c r="Y53">
        <v>0.180488</v>
      </c>
      <c r="Z53">
        <v>0.1815181518151815</v>
      </c>
      <c r="AA53">
        <v>0.8298555377207063</v>
      </c>
      <c r="AB53">
        <v>0.5296950240770465</v>
      </c>
      <c r="AC53">
        <v>0.5296950240770465</v>
      </c>
      <c r="AD53">
        <v>0.4012841091492777</v>
      </c>
    </row>
    <row r="54" spans="1:30">
      <c r="A54" s="1" t="s">
        <v>61</v>
      </c>
      <c r="B54">
        <f>HYPERLINK("https://www.suredividend.com/sure-analysis-EMR/","Emerson Electric Co.")</f>
        <v>0</v>
      </c>
      <c r="C54">
        <v>64.33</v>
      </c>
      <c r="D54">
        <v>38443.09336</v>
      </c>
      <c r="E54" t="s">
        <v>666</v>
      </c>
      <c r="F54" t="s">
        <v>632</v>
      </c>
      <c r="G54" t="s">
        <v>671</v>
      </c>
      <c r="H54" t="s">
        <v>700</v>
      </c>
      <c r="I54" t="s">
        <v>756</v>
      </c>
      <c r="J54" t="s">
        <v>1319</v>
      </c>
      <c r="K54">
        <v>44061</v>
      </c>
      <c r="L54">
        <v>0.030934245297683</v>
      </c>
      <c r="M54">
        <v>-0.01714898149669508</v>
      </c>
      <c r="N54">
        <v>0.05</v>
      </c>
      <c r="O54">
        <v>0.06037791180719121</v>
      </c>
      <c r="P54" t="s">
        <v>636</v>
      </c>
      <c r="Q54" t="s">
        <v>636</v>
      </c>
      <c r="R54">
        <v>63</v>
      </c>
      <c r="S54">
        <v>0.603030303030303</v>
      </c>
      <c r="T54">
        <v>59</v>
      </c>
      <c r="U54">
        <v>1.090338983050847</v>
      </c>
      <c r="V54">
        <v>3.224</v>
      </c>
      <c r="W54">
        <v>3.3</v>
      </c>
      <c r="X54">
        <v>1.99</v>
      </c>
      <c r="Y54">
        <v>0.002181</v>
      </c>
      <c r="Z54">
        <v>0.4323432343234323</v>
      </c>
      <c r="AA54">
        <v>0.6934189406099519</v>
      </c>
      <c r="AB54">
        <v>0.5296950240770465</v>
      </c>
      <c r="AC54">
        <v>0.4622792937399678</v>
      </c>
      <c r="AD54">
        <v>0.3980738362760834</v>
      </c>
    </row>
    <row r="55" spans="1:30">
      <c r="A55" s="1" t="s">
        <v>62</v>
      </c>
      <c r="B55">
        <f>HYPERLINK("https://www.suredividend.com/sure-analysis-COST/","Costco Wholesale Corp.")</f>
        <v>0</v>
      </c>
      <c r="C55">
        <v>342.58</v>
      </c>
      <c r="D55">
        <v>151257.29192</v>
      </c>
      <c r="E55" t="s">
        <v>666</v>
      </c>
      <c r="F55" t="s">
        <v>632</v>
      </c>
      <c r="G55" t="s">
        <v>671</v>
      </c>
      <c r="H55" t="s">
        <v>701</v>
      </c>
      <c r="I55" t="s">
        <v>757</v>
      </c>
      <c r="J55" t="s">
        <v>1321</v>
      </c>
      <c r="K55">
        <v>44099</v>
      </c>
      <c r="L55">
        <v>0.007881370774709</v>
      </c>
      <c r="M55">
        <v>-0.04439122644943339</v>
      </c>
      <c r="N55">
        <v>0.1</v>
      </c>
      <c r="O55">
        <v>0.06001162578619423</v>
      </c>
      <c r="P55" t="s">
        <v>636</v>
      </c>
      <c r="Q55" t="s">
        <v>446</v>
      </c>
      <c r="R55">
        <v>17</v>
      </c>
      <c r="S55">
        <v>0.2872340425531915</v>
      </c>
      <c r="T55">
        <v>273</v>
      </c>
      <c r="U55">
        <v>1.254871794871795</v>
      </c>
      <c r="V55">
        <v>9.047599999999999</v>
      </c>
      <c r="W55">
        <v>9.4</v>
      </c>
      <c r="X55">
        <v>2.7</v>
      </c>
      <c r="Y55">
        <v>0.188441</v>
      </c>
      <c r="Z55">
        <v>0.05445544554455446</v>
      </c>
      <c r="AA55">
        <v>0.841091492776886</v>
      </c>
      <c r="AB55">
        <v>0.9165329052969503</v>
      </c>
      <c r="AC55">
        <v>0.2953451043338684</v>
      </c>
      <c r="AD55">
        <v>0.3964686998394863</v>
      </c>
    </row>
    <row r="56" spans="1:30">
      <c r="A56" s="1" t="s">
        <v>63</v>
      </c>
      <c r="B56">
        <f>HYPERLINK("https://www.suredividend.com/sure-analysis-SYK/","Stryker Corp.")</f>
        <v>0</v>
      </c>
      <c r="C56">
        <v>205.01</v>
      </c>
      <c r="D56">
        <v>77002.98606</v>
      </c>
      <c r="E56" t="s">
        <v>663</v>
      </c>
      <c r="F56" t="s">
        <v>632</v>
      </c>
      <c r="G56" t="s">
        <v>671</v>
      </c>
      <c r="H56" t="s">
        <v>700</v>
      </c>
      <c r="I56" t="s">
        <v>758</v>
      </c>
      <c r="J56" t="s">
        <v>1315</v>
      </c>
      <c r="K56">
        <v>44043</v>
      </c>
      <c r="L56">
        <v>0.010950685332422</v>
      </c>
      <c r="M56">
        <v>-0.06563715141417481</v>
      </c>
      <c r="N56">
        <v>0.12</v>
      </c>
      <c r="O56">
        <v>0.05946501691974837</v>
      </c>
      <c r="P56" t="s">
        <v>636</v>
      </c>
      <c r="Q56" t="s">
        <v>372</v>
      </c>
      <c r="R56">
        <v>26</v>
      </c>
      <c r="S56">
        <v>0.3529874213836478</v>
      </c>
      <c r="T56">
        <v>146</v>
      </c>
      <c r="U56">
        <v>1.404178082191781</v>
      </c>
      <c r="V56">
        <v>4.2761</v>
      </c>
      <c r="W56">
        <v>6.36</v>
      </c>
      <c r="X56">
        <v>2.245</v>
      </c>
      <c r="Y56">
        <v>-0.05259</v>
      </c>
      <c r="Z56">
        <v>0.09570957095709572</v>
      </c>
      <c r="AA56">
        <v>0.6211878009630819</v>
      </c>
      <c r="AB56">
        <v>0.9534510433386838</v>
      </c>
      <c r="AC56">
        <v>0.1781701444622793</v>
      </c>
      <c r="AD56">
        <v>0.3932584269662922</v>
      </c>
    </row>
    <row r="57" spans="1:30">
      <c r="A57" s="1" t="s">
        <v>64</v>
      </c>
      <c r="B57">
        <f>HYPERLINK("https://www.suredividend.com/sure-analysis-THFF/","First Financial Corp. (Indiana)")</f>
        <v>0</v>
      </c>
      <c r="C57">
        <v>30.6</v>
      </c>
      <c r="D57">
        <v>419.6637</v>
      </c>
      <c r="E57" t="s">
        <v>666</v>
      </c>
      <c r="F57" t="s">
        <v>632</v>
      </c>
      <c r="G57" t="s">
        <v>671</v>
      </c>
      <c r="H57" t="s">
        <v>701</v>
      </c>
      <c r="I57" t="s">
        <v>759</v>
      </c>
      <c r="J57" t="s">
        <v>1313</v>
      </c>
      <c r="K57">
        <v>44050</v>
      </c>
      <c r="L57">
        <v>0.033986928104575</v>
      </c>
      <c r="M57">
        <v>0.02723385352873309</v>
      </c>
      <c r="N57">
        <v>0</v>
      </c>
      <c r="O57">
        <v>0.0568720213470173</v>
      </c>
      <c r="P57" t="s">
        <v>636</v>
      </c>
      <c r="Q57" t="s">
        <v>636</v>
      </c>
      <c r="R57">
        <v>31</v>
      </c>
      <c r="S57">
        <v>0.3301587301587302</v>
      </c>
      <c r="T57">
        <v>35</v>
      </c>
      <c r="U57">
        <v>0.8742857142857143</v>
      </c>
      <c r="V57">
        <v>3.7352</v>
      </c>
      <c r="W57">
        <v>3.15</v>
      </c>
      <c r="X57">
        <v>1.04</v>
      </c>
      <c r="Y57">
        <v>-0.298808</v>
      </c>
      <c r="Z57">
        <v>0.4653465346534654</v>
      </c>
      <c r="AA57">
        <v>0.317817014446228</v>
      </c>
      <c r="AB57">
        <v>0.04895666131621188</v>
      </c>
      <c r="AC57">
        <v>0.695024077046549</v>
      </c>
      <c r="AD57">
        <v>0.3836276083467094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146.42</v>
      </c>
      <c r="D58">
        <v>49936.10174</v>
      </c>
      <c r="E58" t="s">
        <v>666</v>
      </c>
      <c r="F58" t="s">
        <v>632</v>
      </c>
      <c r="G58" t="s">
        <v>671</v>
      </c>
      <c r="H58" t="s">
        <v>700</v>
      </c>
      <c r="I58" t="s">
        <v>760</v>
      </c>
      <c r="J58" t="s">
        <v>1321</v>
      </c>
      <c r="K58">
        <v>44036</v>
      </c>
      <c r="L58">
        <v>0.028684605928151</v>
      </c>
      <c r="M58">
        <v>-0.0117752267426019</v>
      </c>
      <c r="N58">
        <v>0.04</v>
      </c>
      <c r="O58">
        <v>0.05565291385082083</v>
      </c>
      <c r="P58" t="s">
        <v>636</v>
      </c>
      <c r="Q58" t="s">
        <v>637</v>
      </c>
      <c r="R58">
        <v>48</v>
      </c>
      <c r="S58">
        <v>0.5490196078431373</v>
      </c>
      <c r="T58">
        <v>138</v>
      </c>
      <c r="U58">
        <v>1.061014492753623</v>
      </c>
      <c r="V58">
        <v>7.4826</v>
      </c>
      <c r="W58">
        <v>7.65</v>
      </c>
      <c r="X58">
        <v>4.2</v>
      </c>
      <c r="Y58">
        <v>0.045036</v>
      </c>
      <c r="Z58">
        <v>0.3943894389438944</v>
      </c>
      <c r="AA58">
        <v>0.738362760834671</v>
      </c>
      <c r="AB58">
        <v>0.4012841091492777</v>
      </c>
      <c r="AC58">
        <v>0.4895666131621188</v>
      </c>
      <c r="AD58">
        <v>0.3788121990369182</v>
      </c>
    </row>
    <row r="59" spans="1:30">
      <c r="A59" s="1" t="s">
        <v>66</v>
      </c>
      <c r="B59">
        <f>HYPERLINK("https://www.suredividend.com/sure-analysis-TROW/","T. Rowe Price Group, Inc.")</f>
        <v>0</v>
      </c>
      <c r="C59">
        <v>125.22</v>
      </c>
      <c r="D59">
        <v>28423.18692</v>
      </c>
      <c r="E59" t="s">
        <v>660</v>
      </c>
      <c r="F59" t="s">
        <v>632</v>
      </c>
      <c r="G59" t="s">
        <v>671</v>
      </c>
      <c r="H59" t="s">
        <v>701</v>
      </c>
      <c r="I59" t="s">
        <v>761</v>
      </c>
      <c r="J59" t="s">
        <v>1313</v>
      </c>
      <c r="K59">
        <v>44042</v>
      </c>
      <c r="L59">
        <v>0.026513336527711</v>
      </c>
      <c r="M59">
        <v>-0.02206753331845945</v>
      </c>
      <c r="N59">
        <v>0.05</v>
      </c>
      <c r="O59">
        <v>0.05520606801678229</v>
      </c>
      <c r="P59" t="s">
        <v>636</v>
      </c>
      <c r="Q59" t="s">
        <v>637</v>
      </c>
      <c r="R59">
        <v>34</v>
      </c>
      <c r="S59">
        <v>0.415</v>
      </c>
      <c r="T59">
        <v>112</v>
      </c>
      <c r="U59">
        <v>1.118035714285714</v>
      </c>
      <c r="V59">
        <v>8.5351</v>
      </c>
      <c r="W59">
        <v>8</v>
      </c>
      <c r="X59">
        <v>3.32</v>
      </c>
      <c r="Y59">
        <v>0.117736</v>
      </c>
      <c r="Z59">
        <v>0.3580858085808581</v>
      </c>
      <c r="AA59">
        <v>0.7881219903691814</v>
      </c>
      <c r="AB59">
        <v>0.5296950240770465</v>
      </c>
      <c r="AC59">
        <v>0.4221508828250402</v>
      </c>
      <c r="AD59">
        <v>0.3756019261637239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145.66</v>
      </c>
      <c r="D60">
        <v>383496.5612</v>
      </c>
      <c r="E60" t="s">
        <v>663</v>
      </c>
      <c r="F60" t="s">
        <v>632</v>
      </c>
      <c r="G60" t="s">
        <v>671</v>
      </c>
      <c r="H60" t="s">
        <v>700</v>
      </c>
      <c r="I60" t="s">
        <v>762</v>
      </c>
      <c r="J60" t="s">
        <v>1315</v>
      </c>
      <c r="K60">
        <v>44028</v>
      </c>
      <c r="L60">
        <v>0.026500068653027</v>
      </c>
      <c r="M60">
        <v>-0.03168585523395184</v>
      </c>
      <c r="N60">
        <v>0.06</v>
      </c>
      <c r="O60">
        <v>0.05468769581609378</v>
      </c>
      <c r="P60" t="s">
        <v>636</v>
      </c>
      <c r="Q60" t="s">
        <v>636</v>
      </c>
      <c r="R60">
        <v>58</v>
      </c>
      <c r="S60">
        <v>0.4917197452229299</v>
      </c>
      <c r="T60">
        <v>124</v>
      </c>
      <c r="U60">
        <v>1.174677419354839</v>
      </c>
      <c r="V60">
        <v>5.7664</v>
      </c>
      <c r="W60">
        <v>7.85</v>
      </c>
      <c r="X60">
        <v>3.86</v>
      </c>
      <c r="Y60">
        <v>0.130462</v>
      </c>
      <c r="Z60">
        <v>0.3547854785478547</v>
      </c>
      <c r="AA60">
        <v>0.8041733547351525</v>
      </c>
      <c r="AB60">
        <v>0.6597110754414125</v>
      </c>
      <c r="AC60">
        <v>0.377207062600321</v>
      </c>
      <c r="AD60">
        <v>0.3723916532905296</v>
      </c>
    </row>
    <row r="61" spans="1:30">
      <c r="A61" s="1" t="s">
        <v>68</v>
      </c>
      <c r="B61">
        <f>HYPERLINK("https://www.suredividend.com/sure-analysis-SPGI/","S&amp;P Global, Inc.")</f>
        <v>0</v>
      </c>
      <c r="C61">
        <v>352.85</v>
      </c>
      <c r="D61">
        <v>85036.85000000001</v>
      </c>
      <c r="E61" t="s">
        <v>666</v>
      </c>
      <c r="F61" t="s">
        <v>632</v>
      </c>
      <c r="G61" t="s">
        <v>671</v>
      </c>
      <c r="H61" t="s">
        <v>700</v>
      </c>
      <c r="I61" t="s">
        <v>763</v>
      </c>
      <c r="J61" t="s">
        <v>1313</v>
      </c>
      <c r="K61">
        <v>44040</v>
      </c>
      <c r="L61">
        <v>0.007028482357942001</v>
      </c>
      <c r="M61">
        <v>-0.04114004331010657</v>
      </c>
      <c r="N61">
        <v>0.09</v>
      </c>
      <c r="O61">
        <v>0.05405867356276794</v>
      </c>
      <c r="P61" t="s">
        <v>636</v>
      </c>
      <c r="Q61" t="s">
        <v>372</v>
      </c>
      <c r="R61">
        <v>47</v>
      </c>
      <c r="S61">
        <v>0.2254545454545455</v>
      </c>
      <c r="T61">
        <v>286</v>
      </c>
      <c r="U61">
        <v>1.233741258741259</v>
      </c>
      <c r="V61">
        <v>10.6627</v>
      </c>
      <c r="W61">
        <v>11</v>
      </c>
      <c r="X61">
        <v>2.48</v>
      </c>
      <c r="Y61">
        <v>0.37832</v>
      </c>
      <c r="Z61">
        <v>0.04125412541254126</v>
      </c>
      <c r="AA61">
        <v>0.9390048154093098</v>
      </c>
      <c r="AB61">
        <v>0.8780096308186195</v>
      </c>
      <c r="AC61">
        <v>0.3081861958266453</v>
      </c>
      <c r="AD61">
        <v>0.3659711075441412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29.8</v>
      </c>
      <c r="D62">
        <v>777.8396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1319</v>
      </c>
      <c r="K62">
        <v>44043</v>
      </c>
      <c r="L62">
        <v>0.019127516778523</v>
      </c>
      <c r="M62">
        <v>-0.04236723792716368</v>
      </c>
      <c r="N62">
        <v>0.08</v>
      </c>
      <c r="O62">
        <v>0.05201614422539924</v>
      </c>
      <c r="P62" t="s">
        <v>636</v>
      </c>
      <c r="Q62" t="s">
        <v>637</v>
      </c>
      <c r="R62">
        <v>47</v>
      </c>
      <c r="S62">
        <v>0.5181818181818182</v>
      </c>
      <c r="T62">
        <v>24</v>
      </c>
      <c r="U62">
        <v>1.241666666666667</v>
      </c>
      <c r="V62">
        <v>1.1202</v>
      </c>
      <c r="W62">
        <v>1.1</v>
      </c>
      <c r="X62">
        <v>0.5700000000000001</v>
      </c>
      <c r="Y62">
        <v>-0.147841</v>
      </c>
      <c r="Z62">
        <v>0.2425742574257426</v>
      </c>
      <c r="AA62">
        <v>0.4943820224719102</v>
      </c>
      <c r="AB62">
        <v>0.8274478330658106</v>
      </c>
      <c r="AC62">
        <v>0.3033707865168539</v>
      </c>
      <c r="AD62">
        <v>0.3595505617977529</v>
      </c>
    </row>
    <row r="63" spans="1:30">
      <c r="A63" s="1" t="s">
        <v>70</v>
      </c>
      <c r="B63">
        <f>HYPERLINK("https://www.suredividend.com/sure-analysis-CPKF/","Chesapeake Financial Shares, Inc. (Maryland)")</f>
        <v>0</v>
      </c>
      <c r="C63">
        <v>21.15</v>
      </c>
      <c r="D63">
        <v>104.38646</v>
      </c>
      <c r="E63" t="s">
        <v>666</v>
      </c>
      <c r="F63" t="s">
        <v>632</v>
      </c>
      <c r="G63" t="s">
        <v>671</v>
      </c>
      <c r="H63" t="s">
        <v>702</v>
      </c>
      <c r="I63" t="s">
        <v>765</v>
      </c>
      <c r="J63" t="s">
        <v>1313</v>
      </c>
      <c r="K63">
        <v>44046</v>
      </c>
      <c r="L63">
        <v>0.02344365627955</v>
      </c>
      <c r="M63">
        <v>0.007911642516189588</v>
      </c>
      <c r="N63">
        <v>0.02</v>
      </c>
      <c r="O63">
        <v>0.05091391548018276</v>
      </c>
      <c r="P63" t="s">
        <v>636</v>
      </c>
      <c r="Q63" t="s">
        <v>637</v>
      </c>
      <c r="R63">
        <v>28</v>
      </c>
      <c r="S63">
        <v>0.2109929065159575</v>
      </c>
      <c r="T63">
        <v>22</v>
      </c>
      <c r="U63">
        <v>0.9613636363636363</v>
      </c>
      <c r="V63">
        <v>2.1447</v>
      </c>
      <c r="W63">
        <v>2.35</v>
      </c>
      <c r="X63">
        <v>0.4958333303125</v>
      </c>
      <c r="Y63">
        <v>-0.09357000000000001</v>
      </c>
      <c r="Z63">
        <v>0.3135313531353136</v>
      </c>
      <c r="AA63">
        <v>0.5682182985553772</v>
      </c>
      <c r="AB63">
        <v>0.1613162118780096</v>
      </c>
      <c r="AC63">
        <v>0.6035313001605137</v>
      </c>
      <c r="AD63">
        <v>0.3499197431781702</v>
      </c>
    </row>
    <row r="64" spans="1:30">
      <c r="A64" s="1" t="s">
        <v>71</v>
      </c>
      <c r="B64">
        <f>HYPERLINK("https://www.suredividend.com/sure-analysis-DG/","Dollar General Corp.")</f>
        <v>0</v>
      </c>
      <c r="C64">
        <v>208.39</v>
      </c>
      <c r="D64">
        <v>51896.19526</v>
      </c>
      <c r="E64" t="s">
        <v>667</v>
      </c>
      <c r="F64" t="s">
        <v>632</v>
      </c>
      <c r="G64" t="s">
        <v>671</v>
      </c>
      <c r="H64" t="s">
        <v>700</v>
      </c>
      <c r="I64" t="s">
        <v>766</v>
      </c>
      <c r="J64" t="s">
        <v>1321</v>
      </c>
      <c r="K64">
        <v>44088</v>
      </c>
      <c r="L64">
        <v>0.006526224866836</v>
      </c>
      <c r="M64">
        <v>-0.05147535021608773</v>
      </c>
      <c r="N64">
        <v>0.1</v>
      </c>
      <c r="O64">
        <v>0.05066161923548318</v>
      </c>
      <c r="P64" t="s">
        <v>636</v>
      </c>
      <c r="Q64" t="s">
        <v>446</v>
      </c>
      <c r="R64">
        <v>5</v>
      </c>
      <c r="S64">
        <v>0.1531531531531531</v>
      </c>
      <c r="T64">
        <v>160</v>
      </c>
      <c r="U64">
        <v>1.3024375</v>
      </c>
      <c r="V64">
        <v>9.2736</v>
      </c>
      <c r="W64">
        <v>8.880000000000001</v>
      </c>
      <c r="X64">
        <v>1.36</v>
      </c>
      <c r="Y64">
        <v>0.30652</v>
      </c>
      <c r="Z64">
        <v>0.03135313531353135</v>
      </c>
      <c r="AA64">
        <v>0.9149277688603532</v>
      </c>
      <c r="AB64">
        <v>0.9165329052969503</v>
      </c>
      <c r="AC64">
        <v>0.2423756019261637</v>
      </c>
      <c r="AD64">
        <v>0.3483146067415731</v>
      </c>
    </row>
    <row r="65" spans="1:30">
      <c r="A65" s="1" t="s">
        <v>72</v>
      </c>
      <c r="B65">
        <f>HYPERLINK("https://www.suredividend.com/sure-analysis-MMM/","3M Co.")</f>
        <v>0</v>
      </c>
      <c r="C65">
        <v>160.27</v>
      </c>
      <c r="D65">
        <v>92318.7254</v>
      </c>
      <c r="E65" t="s">
        <v>663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44040</v>
      </c>
      <c r="L65">
        <v>0.036313720596493</v>
      </c>
      <c r="M65">
        <v>-0.03373487211012294</v>
      </c>
      <c r="N65">
        <v>0.05</v>
      </c>
      <c r="O65">
        <v>0.04892421890133147</v>
      </c>
      <c r="P65" t="s">
        <v>636</v>
      </c>
      <c r="Q65" t="s">
        <v>636</v>
      </c>
      <c r="R65">
        <v>62</v>
      </c>
      <c r="S65">
        <v>0.7114914425427874</v>
      </c>
      <c r="T65">
        <v>135</v>
      </c>
      <c r="U65">
        <v>1.187185185185185</v>
      </c>
      <c r="V65">
        <v>8.902900000000001</v>
      </c>
      <c r="W65">
        <v>8.18</v>
      </c>
      <c r="X65">
        <v>5.82</v>
      </c>
      <c r="Y65">
        <v>-0.02173</v>
      </c>
      <c r="Z65">
        <v>0.5066006600660066</v>
      </c>
      <c r="AA65">
        <v>0.6500802568218299</v>
      </c>
      <c r="AB65">
        <v>0.5296950240770465</v>
      </c>
      <c r="AC65">
        <v>0.3675762439807383</v>
      </c>
      <c r="AD65">
        <v>0.3386837881219904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94.09999999999999</v>
      </c>
      <c r="D66">
        <v>13575.2424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1318</v>
      </c>
      <c r="K66">
        <v>44064</v>
      </c>
      <c r="L66">
        <v>0.032996811902231</v>
      </c>
      <c r="M66">
        <v>-0.01331480956873043</v>
      </c>
      <c r="N66">
        <v>0.03</v>
      </c>
      <c r="O66">
        <v>0.04857745888376086</v>
      </c>
      <c r="P66" t="s">
        <v>636</v>
      </c>
      <c r="Q66" t="s">
        <v>636</v>
      </c>
      <c r="R66">
        <v>64</v>
      </c>
      <c r="S66">
        <v>0.6482254697286013</v>
      </c>
      <c r="T66">
        <v>88</v>
      </c>
      <c r="U66">
        <v>1.069318181818182</v>
      </c>
      <c r="V66">
        <v>0.102</v>
      </c>
      <c r="W66">
        <v>4.79</v>
      </c>
      <c r="X66">
        <v>3.105</v>
      </c>
      <c r="Y66">
        <v>-0.034178</v>
      </c>
      <c r="Z66">
        <v>0.4554455445544554</v>
      </c>
      <c r="AA66">
        <v>0.6388443017656501</v>
      </c>
      <c r="AB66">
        <v>0.2680577849117175</v>
      </c>
      <c r="AC66">
        <v>0.4799357945425362</v>
      </c>
      <c r="AD66">
        <v>0.3370786516853933</v>
      </c>
    </row>
    <row r="67" spans="1:30">
      <c r="A67" s="1" t="s">
        <v>74</v>
      </c>
      <c r="B67">
        <f>HYPERLINK("https://www.suredividend.com/sure-analysis-DPZ/","Domino's Pizza, Inc.")</f>
        <v>0</v>
      </c>
      <c r="C67">
        <v>418.08</v>
      </c>
      <c r="D67">
        <v>16451.683379</v>
      </c>
      <c r="E67" t="s">
        <v>661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44054</v>
      </c>
      <c r="L67">
        <v>0.006840796019900001</v>
      </c>
      <c r="M67">
        <v>-0.05206596378117012</v>
      </c>
      <c r="N67">
        <v>0.09</v>
      </c>
      <c r="O67">
        <v>0.04266569705930823</v>
      </c>
      <c r="P67" t="s">
        <v>636</v>
      </c>
      <c r="Q67" t="s">
        <v>446</v>
      </c>
      <c r="R67">
        <v>7</v>
      </c>
      <c r="S67">
        <v>0.22</v>
      </c>
      <c r="T67">
        <v>320</v>
      </c>
      <c r="U67">
        <v>1.3065</v>
      </c>
      <c r="V67">
        <v>11.494</v>
      </c>
      <c r="W67">
        <v>13</v>
      </c>
      <c r="X67">
        <v>2.86</v>
      </c>
      <c r="Y67">
        <v>0.7459279999999999</v>
      </c>
      <c r="Z67">
        <v>0.03795379537953796</v>
      </c>
      <c r="AA67">
        <v>0.9839486356340289</v>
      </c>
      <c r="AB67">
        <v>0.8780096308186195</v>
      </c>
      <c r="AC67">
        <v>0.2391653290529695</v>
      </c>
      <c r="AD67">
        <v>0.3113964686998395</v>
      </c>
    </row>
    <row r="68" spans="1:30">
      <c r="A68" s="1" t="s">
        <v>75</v>
      </c>
      <c r="B68">
        <f>HYPERLINK("https://www.suredividend.com/sure-analysis-ROP/","Roper Technologies, Inc.")</f>
        <v>0</v>
      </c>
      <c r="C68">
        <v>398.12</v>
      </c>
      <c r="D68">
        <v>41687.54332</v>
      </c>
      <c r="E68" t="s">
        <v>662</v>
      </c>
      <c r="F68" t="s">
        <v>632</v>
      </c>
      <c r="G68" t="s">
        <v>671</v>
      </c>
      <c r="H68" t="s">
        <v>700</v>
      </c>
      <c r="I68" t="s">
        <v>770</v>
      </c>
      <c r="J68" t="s">
        <v>1319</v>
      </c>
      <c r="K68">
        <v>44050</v>
      </c>
      <c r="L68">
        <v>0.005023610971566001</v>
      </c>
      <c r="M68">
        <v>-0.04454760507114941</v>
      </c>
      <c r="N68">
        <v>0.08500000000000001</v>
      </c>
      <c r="O68">
        <v>0.04241366937857993</v>
      </c>
      <c r="P68" t="s">
        <v>636</v>
      </c>
      <c r="Q68" t="s">
        <v>372</v>
      </c>
      <c r="R68">
        <v>27</v>
      </c>
      <c r="S68">
        <v>0.1639344262295082</v>
      </c>
      <c r="T68">
        <v>317</v>
      </c>
      <c r="U68">
        <v>1.25589905362776</v>
      </c>
      <c r="V68">
        <v>15.4377</v>
      </c>
      <c r="W68">
        <v>12.2</v>
      </c>
      <c r="X68">
        <v>2</v>
      </c>
      <c r="Y68">
        <v>0.12077</v>
      </c>
      <c r="Z68">
        <v>0.01815181518151815</v>
      </c>
      <c r="AA68">
        <v>0.7929373996789727</v>
      </c>
      <c r="AB68">
        <v>0.8619582664526484</v>
      </c>
      <c r="AC68">
        <v>0.2905296950240771</v>
      </c>
      <c r="AD68">
        <v>0.3081861958266453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108.5</v>
      </c>
      <c r="D69">
        <v>15620.745</v>
      </c>
      <c r="E69" t="s">
        <v>663</v>
      </c>
      <c r="F69" t="s">
        <v>632</v>
      </c>
      <c r="G69" t="s">
        <v>671</v>
      </c>
      <c r="H69" t="s">
        <v>700</v>
      </c>
      <c r="I69" t="s">
        <v>771</v>
      </c>
      <c r="J69" t="s">
        <v>1319</v>
      </c>
      <c r="K69">
        <v>44034</v>
      </c>
      <c r="L69">
        <v>0.018064516129032</v>
      </c>
      <c r="M69">
        <v>-0.05217170167039231</v>
      </c>
      <c r="N69">
        <v>0.08</v>
      </c>
      <c r="O69">
        <v>0.04206362145050924</v>
      </c>
      <c r="P69" t="s">
        <v>636</v>
      </c>
      <c r="Q69" t="s">
        <v>637</v>
      </c>
      <c r="R69">
        <v>65</v>
      </c>
      <c r="S69">
        <v>0.3820662768031189</v>
      </c>
      <c r="T69">
        <v>83</v>
      </c>
      <c r="U69">
        <v>1.307228915662651</v>
      </c>
      <c r="V69">
        <v>4.6655</v>
      </c>
      <c r="W69">
        <v>5.13</v>
      </c>
      <c r="X69">
        <v>1.96</v>
      </c>
      <c r="Y69">
        <v>0.09023299999999999</v>
      </c>
      <c r="Z69">
        <v>0.2178217821782178</v>
      </c>
      <c r="AA69">
        <v>0.7672552166934189</v>
      </c>
      <c r="AB69">
        <v>0.8274478330658106</v>
      </c>
      <c r="AC69">
        <v>0.2375601926163724</v>
      </c>
      <c r="AD69">
        <v>0.3065810593900481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75.95</v>
      </c>
      <c r="D70">
        <v>65119.53</v>
      </c>
      <c r="E70" t="s">
        <v>666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44051</v>
      </c>
      <c r="L70">
        <v>0.02277814351547</v>
      </c>
      <c r="M70">
        <v>-0.03977550106212946</v>
      </c>
      <c r="N70">
        <v>0.06</v>
      </c>
      <c r="O70">
        <v>0.0417657454548086</v>
      </c>
      <c r="P70" t="s">
        <v>636</v>
      </c>
      <c r="Q70" t="s">
        <v>637</v>
      </c>
      <c r="R70">
        <v>57</v>
      </c>
      <c r="S70">
        <v>0.5864406779661017</v>
      </c>
      <c r="T70">
        <v>62</v>
      </c>
      <c r="U70">
        <v>1.225</v>
      </c>
      <c r="V70">
        <v>2.9987</v>
      </c>
      <c r="W70">
        <v>2.95</v>
      </c>
      <c r="X70">
        <v>1.73</v>
      </c>
      <c r="Y70">
        <v>0.044417</v>
      </c>
      <c r="Z70">
        <v>0.3069306930693069</v>
      </c>
      <c r="AA70">
        <v>0.7351524879614767</v>
      </c>
      <c r="AB70">
        <v>0.6597110754414125</v>
      </c>
      <c r="AC70">
        <v>0.3194221508828251</v>
      </c>
      <c r="AD70">
        <v>0.3033707865168539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43.94</v>
      </c>
      <c r="D71">
        <v>12426.84716</v>
      </c>
      <c r="E71" t="s">
        <v>666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44041</v>
      </c>
      <c r="L71">
        <v>0.007737824305871</v>
      </c>
      <c r="M71">
        <v>-0.04447600307254385</v>
      </c>
      <c r="N71">
        <v>0.08</v>
      </c>
      <c r="O71">
        <v>0.04068487786915442</v>
      </c>
      <c r="P71" t="s">
        <v>636</v>
      </c>
      <c r="Q71" t="s">
        <v>372</v>
      </c>
      <c r="R71">
        <v>26</v>
      </c>
      <c r="S71">
        <v>0.2125</v>
      </c>
      <c r="T71">
        <v>35</v>
      </c>
      <c r="U71">
        <v>1.255428571428571</v>
      </c>
      <c r="V71">
        <v>1.5618</v>
      </c>
      <c r="W71">
        <v>1.6</v>
      </c>
      <c r="X71">
        <v>0.34</v>
      </c>
      <c r="Y71">
        <v>0.217512</v>
      </c>
      <c r="Z71">
        <v>0.05115511551155116</v>
      </c>
      <c r="AA71">
        <v>0.8635634028892456</v>
      </c>
      <c r="AB71">
        <v>0.8274478330658106</v>
      </c>
      <c r="AC71">
        <v>0.2937399678972712</v>
      </c>
      <c r="AD71">
        <v>0.2985553772070626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149.41</v>
      </c>
      <c r="D72">
        <v>10330.028108</v>
      </c>
      <c r="E72" t="s">
        <v>660</v>
      </c>
      <c r="F72" t="s">
        <v>632</v>
      </c>
      <c r="G72" t="s">
        <v>671</v>
      </c>
      <c r="H72" t="s">
        <v>700</v>
      </c>
      <c r="I72" t="s">
        <v>774</v>
      </c>
      <c r="J72" t="s">
        <v>1318</v>
      </c>
      <c r="K72">
        <v>44063</v>
      </c>
      <c r="L72">
        <v>0.004149655310889001</v>
      </c>
      <c r="M72">
        <v>-0.03504720265908379</v>
      </c>
      <c r="N72">
        <v>0.07000000000000001</v>
      </c>
      <c r="O72">
        <v>0.04025902401271497</v>
      </c>
      <c r="P72" t="s">
        <v>636</v>
      </c>
      <c r="Q72" t="s">
        <v>446</v>
      </c>
      <c r="R72">
        <v>1</v>
      </c>
      <c r="S72">
        <v>0.07948717948717948</v>
      </c>
      <c r="T72">
        <v>125</v>
      </c>
      <c r="U72">
        <v>1.19528</v>
      </c>
      <c r="V72">
        <v>6.5202</v>
      </c>
      <c r="W72">
        <v>7.8</v>
      </c>
      <c r="X72">
        <v>0.62</v>
      </c>
      <c r="Y72">
        <v>-0.0684</v>
      </c>
      <c r="Z72">
        <v>0.0132013201320132</v>
      </c>
      <c r="AA72">
        <v>0.593900481540931</v>
      </c>
      <c r="AB72">
        <v>0.7504012841091493</v>
      </c>
      <c r="AC72">
        <v>0.3547351524879614</v>
      </c>
      <c r="AD72">
        <v>0.2969502407704655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137.27</v>
      </c>
      <c r="D73">
        <v>388988.8625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1321</v>
      </c>
      <c r="K73">
        <v>44083</v>
      </c>
      <c r="L73">
        <v>0.015589713702921</v>
      </c>
      <c r="M73">
        <v>-0.02979999009286072</v>
      </c>
      <c r="N73">
        <v>0.055</v>
      </c>
      <c r="O73">
        <v>0.03969165757986848</v>
      </c>
      <c r="P73" t="s">
        <v>636</v>
      </c>
      <c r="Q73" t="s">
        <v>372</v>
      </c>
      <c r="R73">
        <v>47</v>
      </c>
      <c r="S73">
        <v>0.4</v>
      </c>
      <c r="T73">
        <v>118</v>
      </c>
      <c r="U73">
        <v>1.163305084745763</v>
      </c>
      <c r="V73">
        <v>6.3128</v>
      </c>
      <c r="W73">
        <v>5.35</v>
      </c>
      <c r="X73">
        <v>2.14</v>
      </c>
      <c r="Y73">
        <v>0.160355</v>
      </c>
      <c r="Z73">
        <v>0.1567656765676568</v>
      </c>
      <c r="AA73">
        <v>0.8186195826645265</v>
      </c>
      <c r="AB73">
        <v>0.6027287319422151</v>
      </c>
      <c r="AC73">
        <v>0.3852327447833065</v>
      </c>
      <c r="AD73">
        <v>0.2873194221508828</v>
      </c>
    </row>
    <row r="74" spans="1:30">
      <c r="A74" s="1" t="s">
        <v>81</v>
      </c>
      <c r="B74">
        <f>HYPERLINK("https://www.suredividend.com/sure-analysis-MCO/","Moody's Corp.")</f>
        <v>0</v>
      </c>
      <c r="C74">
        <v>280.49</v>
      </c>
      <c r="D74">
        <v>52647.973</v>
      </c>
      <c r="E74" t="s">
        <v>666</v>
      </c>
      <c r="F74" t="s">
        <v>632</v>
      </c>
      <c r="G74" t="s">
        <v>671</v>
      </c>
      <c r="H74" t="s">
        <v>700</v>
      </c>
      <c r="I74" t="s">
        <v>776</v>
      </c>
      <c r="J74" t="s">
        <v>1313</v>
      </c>
      <c r="K74">
        <v>44050</v>
      </c>
      <c r="L74">
        <v>0.007558201718421</v>
      </c>
      <c r="M74">
        <v>-0.04742087586195876</v>
      </c>
      <c r="N74">
        <v>0.08</v>
      </c>
      <c r="O74">
        <v>0.03845095127988096</v>
      </c>
      <c r="P74" t="s">
        <v>636</v>
      </c>
      <c r="Q74" t="s">
        <v>446</v>
      </c>
      <c r="R74">
        <v>11</v>
      </c>
      <c r="S74">
        <v>0.2316939890710382</v>
      </c>
      <c r="T74">
        <v>220</v>
      </c>
      <c r="U74">
        <v>1.274954545454545</v>
      </c>
      <c r="V74">
        <v>9.228400000000001</v>
      </c>
      <c r="W74">
        <v>9.15</v>
      </c>
      <c r="X74">
        <v>2.12</v>
      </c>
      <c r="Y74">
        <v>0.315743</v>
      </c>
      <c r="Z74">
        <v>0.04785478547854786</v>
      </c>
      <c r="AA74">
        <v>0.9181380417335474</v>
      </c>
      <c r="AB74">
        <v>0.8274478330658106</v>
      </c>
      <c r="AC74">
        <v>0.2712680577849117</v>
      </c>
      <c r="AD74">
        <v>0.274478330658106</v>
      </c>
    </row>
    <row r="75" spans="1:30">
      <c r="A75" s="1" t="s">
        <v>82</v>
      </c>
      <c r="B75">
        <f>HYPERLINK("https://www.suredividend.com/sure-analysis-TSCO/","Tractor Supply Co.")</f>
        <v>0</v>
      </c>
      <c r="C75">
        <v>139.21</v>
      </c>
      <c r="D75">
        <v>16179.54304</v>
      </c>
      <c r="E75" t="s">
        <v>669</v>
      </c>
      <c r="F75" t="s">
        <v>632</v>
      </c>
      <c r="G75" t="s">
        <v>671</v>
      </c>
      <c r="H75" t="s">
        <v>701</v>
      </c>
      <c r="I75" t="s">
        <v>777</v>
      </c>
      <c r="J75" t="s">
        <v>1318</v>
      </c>
      <c r="K75">
        <v>44041</v>
      </c>
      <c r="L75">
        <v>0.010056748796781</v>
      </c>
      <c r="M75">
        <v>-0.04774949227048975</v>
      </c>
      <c r="N75">
        <v>0.075</v>
      </c>
      <c r="O75">
        <v>0.03482512932833082</v>
      </c>
      <c r="P75" t="s">
        <v>636</v>
      </c>
      <c r="Q75" t="s">
        <v>446</v>
      </c>
      <c r="R75">
        <v>9</v>
      </c>
      <c r="S75">
        <v>0.2447552447552447</v>
      </c>
      <c r="T75">
        <v>109</v>
      </c>
      <c r="U75">
        <v>1.277155963302752</v>
      </c>
      <c r="V75">
        <v>5.8842</v>
      </c>
      <c r="W75">
        <v>5.72</v>
      </c>
      <c r="X75">
        <v>1.4</v>
      </c>
      <c r="Y75">
        <v>0.5648609999999999</v>
      </c>
      <c r="Z75">
        <v>0.07920792079207921</v>
      </c>
      <c r="AA75">
        <v>0.9727126805778491</v>
      </c>
      <c r="AB75">
        <v>0.7889245585874799</v>
      </c>
      <c r="AC75">
        <v>0.2696629213483146</v>
      </c>
      <c r="AD75">
        <v>0.2520064205457464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103.16</v>
      </c>
      <c r="D76">
        <v>138669.7352</v>
      </c>
      <c r="E76" t="s">
        <v>660</v>
      </c>
      <c r="F76" t="s">
        <v>632</v>
      </c>
      <c r="G76" t="s">
        <v>674</v>
      </c>
      <c r="H76" t="s">
        <v>700</v>
      </c>
      <c r="I76" t="s">
        <v>778</v>
      </c>
      <c r="J76" t="s">
        <v>1315</v>
      </c>
      <c r="K76">
        <v>44069</v>
      </c>
      <c r="L76">
        <v>0.021326095385808</v>
      </c>
      <c r="M76">
        <v>-0.05681718690258353</v>
      </c>
      <c r="N76">
        <v>0.07000000000000001</v>
      </c>
      <c r="O76">
        <v>0.0345597036987082</v>
      </c>
      <c r="P76" t="s">
        <v>636</v>
      </c>
      <c r="Q76" t="s">
        <v>637</v>
      </c>
      <c r="R76">
        <v>43</v>
      </c>
      <c r="S76">
        <v>0.4888888888888889</v>
      </c>
      <c r="T76">
        <v>77</v>
      </c>
      <c r="U76">
        <v>1.33974025974026</v>
      </c>
      <c r="V76">
        <v>3.2907</v>
      </c>
      <c r="W76">
        <v>4.5</v>
      </c>
      <c r="X76">
        <v>2.2</v>
      </c>
      <c r="Y76">
        <v>-0.039479</v>
      </c>
      <c r="Z76">
        <v>0.2805280528052805</v>
      </c>
      <c r="AA76">
        <v>0.6308186195826645</v>
      </c>
      <c r="AB76">
        <v>0.7504012841091493</v>
      </c>
      <c r="AC76">
        <v>0.2215088282504013</v>
      </c>
      <c r="AD76">
        <v>0.2487961476725521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300.39</v>
      </c>
      <c r="D77">
        <v>40713.05826</v>
      </c>
      <c r="E77" t="s">
        <v>670</v>
      </c>
      <c r="F77" t="s">
        <v>632</v>
      </c>
      <c r="G77" t="s">
        <v>673</v>
      </c>
      <c r="H77" t="s">
        <v>700</v>
      </c>
      <c r="I77" t="s">
        <v>779</v>
      </c>
      <c r="J77" t="s">
        <v>1319</v>
      </c>
      <c r="K77">
        <v>44042</v>
      </c>
      <c r="L77">
        <v>0.008234106115381001</v>
      </c>
      <c r="M77">
        <v>-0.04872501337813517</v>
      </c>
      <c r="N77">
        <v>0.075</v>
      </c>
      <c r="O77">
        <v>0.0339703300625418</v>
      </c>
      <c r="P77" t="s">
        <v>636</v>
      </c>
      <c r="Q77" t="s">
        <v>446</v>
      </c>
      <c r="R77">
        <v>4</v>
      </c>
      <c r="S77">
        <v>0.1902648566153423</v>
      </c>
      <c r="T77">
        <v>234</v>
      </c>
      <c r="U77">
        <v>1.283717948717949</v>
      </c>
      <c r="V77">
        <v>12.6594</v>
      </c>
      <c r="W77">
        <v>13</v>
      </c>
      <c r="X77">
        <v>2.47344313599945</v>
      </c>
      <c r="Y77">
        <v>0.355673</v>
      </c>
      <c r="Z77">
        <v>0.0594059405940594</v>
      </c>
      <c r="AA77">
        <v>0.9309791332263242</v>
      </c>
      <c r="AB77">
        <v>0.7889245585874799</v>
      </c>
      <c r="AC77">
        <v>0.260032102728732</v>
      </c>
      <c r="AD77">
        <v>0.2439807383627608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55.62</v>
      </c>
      <c r="D78">
        <v>829.71135</v>
      </c>
      <c r="E78" t="s">
        <v>666</v>
      </c>
      <c r="F78" t="s">
        <v>632</v>
      </c>
      <c r="G78" t="s">
        <v>671</v>
      </c>
      <c r="H78" t="s">
        <v>703</v>
      </c>
      <c r="I78" t="s">
        <v>780</v>
      </c>
      <c r="J78" t="s">
        <v>1313</v>
      </c>
      <c r="K78">
        <v>44050</v>
      </c>
      <c r="L78">
        <v>0.037037037037037</v>
      </c>
      <c r="M78">
        <v>-0.005894320376609308</v>
      </c>
      <c r="N78">
        <v>0</v>
      </c>
      <c r="O78">
        <v>0.03391872732414392</v>
      </c>
      <c r="P78" t="s">
        <v>636</v>
      </c>
      <c r="Q78" t="s">
        <v>636</v>
      </c>
      <c r="R78">
        <v>33</v>
      </c>
      <c r="S78">
        <v>0.4577777777777778</v>
      </c>
      <c r="T78">
        <v>54</v>
      </c>
      <c r="U78">
        <v>1.03</v>
      </c>
      <c r="V78">
        <v>4.7261</v>
      </c>
      <c r="W78">
        <v>4.5</v>
      </c>
      <c r="X78">
        <v>2.06</v>
      </c>
      <c r="Y78">
        <v>-0.316959</v>
      </c>
      <c r="Z78">
        <v>0.5115511551155115</v>
      </c>
      <c r="AA78">
        <v>0.2985553772070626</v>
      </c>
      <c r="AB78">
        <v>0.04895666131621188</v>
      </c>
      <c r="AC78">
        <v>0.5280898876404494</v>
      </c>
      <c r="AD78">
        <v>0.2423756019261637</v>
      </c>
    </row>
    <row r="79" spans="1:30">
      <c r="A79" s="1" t="s">
        <v>86</v>
      </c>
      <c r="B79">
        <f>HYPERLINK("https://www.suredividend.com/sure-analysis-TGT/","Target Corp.")</f>
        <v>0</v>
      </c>
      <c r="C79">
        <v>154.35</v>
      </c>
      <c r="D79">
        <v>77270.38830000001</v>
      </c>
      <c r="E79" t="s">
        <v>666</v>
      </c>
      <c r="F79" t="s">
        <v>632</v>
      </c>
      <c r="G79" t="s">
        <v>671</v>
      </c>
      <c r="H79" t="s">
        <v>700</v>
      </c>
      <c r="I79" t="s">
        <v>781</v>
      </c>
      <c r="J79" t="s">
        <v>1321</v>
      </c>
      <c r="K79">
        <v>44078</v>
      </c>
      <c r="L79">
        <v>0.017233560090702</v>
      </c>
      <c r="M79">
        <v>-0.04595109070482339</v>
      </c>
      <c r="N79">
        <v>0.06</v>
      </c>
      <c r="O79">
        <v>0.0306697471503834</v>
      </c>
      <c r="P79" t="s">
        <v>636</v>
      </c>
      <c r="Q79" t="s">
        <v>637</v>
      </c>
      <c r="R79">
        <v>53</v>
      </c>
      <c r="S79">
        <v>0.3694444444444445</v>
      </c>
      <c r="T79">
        <v>122</v>
      </c>
      <c r="U79">
        <v>1.26516393442623</v>
      </c>
      <c r="V79">
        <v>6.9946</v>
      </c>
      <c r="W79">
        <v>7.2</v>
      </c>
      <c r="X79">
        <v>2.66</v>
      </c>
      <c r="Y79">
        <v>0.452159</v>
      </c>
      <c r="Z79">
        <v>0.1947194719471947</v>
      </c>
      <c r="AA79">
        <v>0.9534510433386838</v>
      </c>
      <c r="AB79">
        <v>0.6597110754414125</v>
      </c>
      <c r="AC79">
        <v>0.2825040128410915</v>
      </c>
      <c r="AD79">
        <v>0.2295345104333869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30.48</v>
      </c>
      <c r="D80">
        <v>2032.674624</v>
      </c>
      <c r="E80" t="s">
        <v>667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44074</v>
      </c>
      <c r="L80">
        <v>0.011553104956693</v>
      </c>
      <c r="M80">
        <v>-0.009905593368730869</v>
      </c>
      <c r="N80">
        <v>0.03</v>
      </c>
      <c r="O80">
        <v>0.03049084878574426</v>
      </c>
      <c r="P80" t="s">
        <v>636</v>
      </c>
      <c r="Q80" t="s">
        <v>372</v>
      </c>
      <c r="R80">
        <v>52</v>
      </c>
      <c r="S80">
        <v>0.3668110823750313</v>
      </c>
      <c r="T80">
        <v>29</v>
      </c>
      <c r="U80">
        <v>1.051034482758621</v>
      </c>
      <c r="V80">
        <v>0.9506</v>
      </c>
      <c r="W80">
        <v>0.96</v>
      </c>
      <c r="X80">
        <v>0.35213863908003</v>
      </c>
      <c r="Y80">
        <v>-0.15493</v>
      </c>
      <c r="Z80">
        <v>0.1072607260726073</v>
      </c>
      <c r="AA80">
        <v>0.4863563402889245</v>
      </c>
      <c r="AB80">
        <v>0.2680577849117175</v>
      </c>
      <c r="AC80">
        <v>0.4959871589085072</v>
      </c>
      <c r="AD80">
        <v>0.2279293739967897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60.81</v>
      </c>
      <c r="D81">
        <v>1735.085649</v>
      </c>
      <c r="E81" t="s">
        <v>663</v>
      </c>
      <c r="F81" t="s">
        <v>632</v>
      </c>
      <c r="G81" t="s">
        <v>671</v>
      </c>
      <c r="H81" t="s">
        <v>700</v>
      </c>
      <c r="I81" t="s">
        <v>783</v>
      </c>
      <c r="J81" t="s">
        <v>1316</v>
      </c>
      <c r="K81">
        <v>44051</v>
      </c>
      <c r="L81">
        <v>0.020391382996217</v>
      </c>
      <c r="M81">
        <v>-0.06266348752942386</v>
      </c>
      <c r="N81">
        <v>0.076</v>
      </c>
      <c r="O81">
        <v>0.02944400222749977</v>
      </c>
      <c r="P81" t="s">
        <v>636</v>
      </c>
      <c r="Q81" t="s">
        <v>637</v>
      </c>
      <c r="R81">
        <v>54</v>
      </c>
      <c r="S81">
        <v>0.62</v>
      </c>
      <c r="T81">
        <v>44</v>
      </c>
      <c r="U81">
        <v>1.382045454545455</v>
      </c>
      <c r="V81">
        <v>0.9169</v>
      </c>
      <c r="W81">
        <v>2</v>
      </c>
      <c r="X81">
        <v>1.24</v>
      </c>
      <c r="Y81">
        <v>-0.112263</v>
      </c>
      <c r="Z81">
        <v>0.2739273927392739</v>
      </c>
      <c r="AA81">
        <v>0.5473515248796148</v>
      </c>
      <c r="AB81">
        <v>0.7945425361155698</v>
      </c>
      <c r="AC81">
        <v>0.1926163723916533</v>
      </c>
      <c r="AD81">
        <v>0.2231139646869984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56.78</v>
      </c>
      <c r="D82">
        <v>2622.707946</v>
      </c>
      <c r="E82" t="s">
        <v>661</v>
      </c>
      <c r="F82" t="s">
        <v>632</v>
      </c>
      <c r="G82" t="s">
        <v>671</v>
      </c>
      <c r="H82" t="s">
        <v>701</v>
      </c>
      <c r="I82" t="s">
        <v>784</v>
      </c>
      <c r="J82" t="s">
        <v>1319</v>
      </c>
      <c r="K82">
        <v>44056</v>
      </c>
      <c r="L82">
        <v>0.010567101091933</v>
      </c>
      <c r="M82">
        <v>-0.09223270649280579</v>
      </c>
      <c r="N82">
        <v>0.12</v>
      </c>
      <c r="O82">
        <v>0.02889295297488048</v>
      </c>
      <c r="P82" t="s">
        <v>636</v>
      </c>
      <c r="Q82" t="s">
        <v>372</v>
      </c>
      <c r="R82">
        <v>28</v>
      </c>
      <c r="S82">
        <v>0.3243243243243243</v>
      </c>
      <c r="T82">
        <v>35</v>
      </c>
      <c r="U82">
        <v>1.622285714285714</v>
      </c>
      <c r="V82">
        <v>1.907</v>
      </c>
      <c r="W82">
        <v>1.85</v>
      </c>
      <c r="X82">
        <v>0.6000000000000001</v>
      </c>
      <c r="Y82">
        <v>0.196376</v>
      </c>
      <c r="Z82">
        <v>0.09075907590759076</v>
      </c>
      <c r="AA82">
        <v>0.8459069020866774</v>
      </c>
      <c r="AB82">
        <v>0.9534510433386838</v>
      </c>
      <c r="AC82">
        <v>0.09791332263242376</v>
      </c>
      <c r="AD82">
        <v>0.2182985553772071</v>
      </c>
    </row>
    <row r="83" spans="1:30">
      <c r="A83" s="1" t="s">
        <v>90</v>
      </c>
      <c r="B83">
        <f>HYPERLINK("https://www.suredividend.com/sure-analysis-CLX/","The Clorox Co.")</f>
        <v>0</v>
      </c>
      <c r="C83">
        <v>211.51</v>
      </c>
      <c r="D83">
        <v>26695.52314</v>
      </c>
      <c r="E83" t="s">
        <v>666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44051</v>
      </c>
      <c r="L83">
        <v>0.020282728948985</v>
      </c>
      <c r="M83">
        <v>-0.03718814581844143</v>
      </c>
      <c r="N83">
        <v>0.045</v>
      </c>
      <c r="O83">
        <v>0.02822004654825672</v>
      </c>
      <c r="P83" t="s">
        <v>636</v>
      </c>
      <c r="Q83" t="s">
        <v>372</v>
      </c>
      <c r="R83">
        <v>43</v>
      </c>
      <c r="S83">
        <v>0.5644736842105263</v>
      </c>
      <c r="T83">
        <v>175</v>
      </c>
      <c r="U83">
        <v>1.208628571428571</v>
      </c>
      <c r="V83">
        <v>7.4588</v>
      </c>
      <c r="W83">
        <v>7.6</v>
      </c>
      <c r="X83">
        <v>4.29</v>
      </c>
      <c r="Y83">
        <v>0.404542</v>
      </c>
      <c r="Z83">
        <v>0.2706270627062706</v>
      </c>
      <c r="AA83">
        <v>0.9470304975922953</v>
      </c>
      <c r="AB83">
        <v>0.4542536115569824</v>
      </c>
      <c r="AC83">
        <v>0.3434991974317817</v>
      </c>
      <c r="AD83">
        <v>0.2166934189406099</v>
      </c>
    </row>
    <row r="84" spans="1:30">
      <c r="A84" s="1" t="s">
        <v>91</v>
      </c>
      <c r="B84">
        <f>HYPERLINK("https://www.suredividend.com/sure-analysis-BBY/","Best Buy Co., Inc.")</f>
        <v>0</v>
      </c>
      <c r="C84">
        <v>105.97</v>
      </c>
      <c r="D84">
        <v>27428.42704</v>
      </c>
      <c r="E84" t="s">
        <v>667</v>
      </c>
      <c r="F84" t="s">
        <v>632</v>
      </c>
      <c r="G84" t="s">
        <v>671</v>
      </c>
      <c r="H84" t="s">
        <v>700</v>
      </c>
      <c r="I84" t="s">
        <v>786</v>
      </c>
      <c r="J84" t="s">
        <v>1318</v>
      </c>
      <c r="K84">
        <v>44088</v>
      </c>
      <c r="L84">
        <v>0.019816929319618</v>
      </c>
      <c r="M84">
        <v>-0.059449034295739</v>
      </c>
      <c r="N84">
        <v>0.06</v>
      </c>
      <c r="O84">
        <v>0.02228144696308432</v>
      </c>
      <c r="P84" t="s">
        <v>636</v>
      </c>
      <c r="Q84" t="s">
        <v>372</v>
      </c>
      <c r="R84">
        <v>16</v>
      </c>
      <c r="S84">
        <v>0.3230769230769231</v>
      </c>
      <c r="T84">
        <v>78</v>
      </c>
      <c r="U84">
        <v>1.358589743589744</v>
      </c>
      <c r="V84">
        <v>6.2622</v>
      </c>
      <c r="W84">
        <v>6.5</v>
      </c>
      <c r="X84">
        <v>2.1</v>
      </c>
      <c r="Y84">
        <v>0.582587</v>
      </c>
      <c r="Z84">
        <v>0.2623762376237624</v>
      </c>
      <c r="AA84">
        <v>0.9743178170144462</v>
      </c>
      <c r="AB84">
        <v>0.6597110754414125</v>
      </c>
      <c r="AC84">
        <v>0.2102728731942215</v>
      </c>
      <c r="AD84">
        <v>0.1942215088282504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347.4</v>
      </c>
      <c r="D85">
        <v>18610.80858</v>
      </c>
      <c r="E85" t="s">
        <v>669</v>
      </c>
      <c r="F85" t="s">
        <v>632</v>
      </c>
      <c r="G85" t="s">
        <v>671</v>
      </c>
      <c r="H85" t="s">
        <v>700</v>
      </c>
      <c r="I85" t="s">
        <v>787</v>
      </c>
      <c r="J85" t="s">
        <v>1319</v>
      </c>
      <c r="K85">
        <v>44039</v>
      </c>
      <c r="L85">
        <v>0.016580310880829</v>
      </c>
      <c r="M85">
        <v>-0.08320857873145326</v>
      </c>
      <c r="N85">
        <v>0.094</v>
      </c>
      <c r="O85">
        <v>0.02077268102136398</v>
      </c>
      <c r="P85" t="s">
        <v>636</v>
      </c>
      <c r="Q85" t="s">
        <v>637</v>
      </c>
      <c r="R85">
        <v>48</v>
      </c>
      <c r="S85">
        <v>0.3842561707805203</v>
      </c>
      <c r="T85">
        <v>225</v>
      </c>
      <c r="U85">
        <v>1.544</v>
      </c>
      <c r="V85">
        <v>11.5778</v>
      </c>
      <c r="W85">
        <v>14.99</v>
      </c>
      <c r="X85">
        <v>5.76</v>
      </c>
      <c r="Y85">
        <v>0.183162</v>
      </c>
      <c r="Z85">
        <v>0.1749174917491749</v>
      </c>
      <c r="AA85">
        <v>0.8330658105939005</v>
      </c>
      <c r="AB85">
        <v>0.8924558587479936</v>
      </c>
      <c r="AC85">
        <v>0.1284109149277689</v>
      </c>
      <c r="AD85">
        <v>0.1894060995184591</v>
      </c>
    </row>
    <row r="86" spans="1:30">
      <c r="A86" s="1" t="s">
        <v>93</v>
      </c>
      <c r="B86">
        <f>HYPERLINK("https://www.suredividend.com/sure-analysis-LANC/","Lancaster Colony Corp.")</f>
        <v>0</v>
      </c>
      <c r="C86">
        <v>179.97</v>
      </c>
      <c r="D86">
        <v>4953.49428</v>
      </c>
      <c r="E86" t="s">
        <v>666</v>
      </c>
      <c r="F86" t="s">
        <v>632</v>
      </c>
      <c r="G86" t="s">
        <v>671</v>
      </c>
      <c r="H86" t="s">
        <v>701</v>
      </c>
      <c r="I86" t="s">
        <v>788</v>
      </c>
      <c r="J86" t="s">
        <v>1321</v>
      </c>
      <c r="K86">
        <v>44083</v>
      </c>
      <c r="L86">
        <v>0.015280324498527</v>
      </c>
      <c r="M86">
        <v>-0.03836044291707907</v>
      </c>
      <c r="N86">
        <v>0.04</v>
      </c>
      <c r="O86">
        <v>0.01752240981360353</v>
      </c>
      <c r="P86" t="s">
        <v>636</v>
      </c>
      <c r="Q86" t="s">
        <v>637</v>
      </c>
      <c r="R86">
        <v>57</v>
      </c>
      <c r="S86">
        <v>0.4471544715447154</v>
      </c>
      <c r="T86">
        <v>148</v>
      </c>
      <c r="U86">
        <v>1.216013513513513</v>
      </c>
      <c r="V86">
        <v>4.982</v>
      </c>
      <c r="W86">
        <v>6.15</v>
      </c>
      <c r="X86">
        <v>2.75</v>
      </c>
      <c r="Y86">
        <v>0.269719</v>
      </c>
      <c r="Z86">
        <v>0.1518151815181518</v>
      </c>
      <c r="AA86">
        <v>0.8924558587479936</v>
      </c>
      <c r="AB86">
        <v>0.4012841091492777</v>
      </c>
      <c r="AC86">
        <v>0.3274478330658106</v>
      </c>
      <c r="AD86">
        <v>0.1797752808988764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92.95</v>
      </c>
      <c r="D87">
        <v>22987.6504</v>
      </c>
      <c r="E87" t="s">
        <v>666</v>
      </c>
      <c r="F87" t="s">
        <v>632</v>
      </c>
      <c r="G87" t="s">
        <v>671</v>
      </c>
      <c r="H87" t="s">
        <v>700</v>
      </c>
      <c r="I87" t="s">
        <v>789</v>
      </c>
      <c r="J87" t="s">
        <v>1321</v>
      </c>
      <c r="K87">
        <v>44050</v>
      </c>
      <c r="L87">
        <v>0.010059171597633</v>
      </c>
      <c r="M87">
        <v>-0.06059708448211565</v>
      </c>
      <c r="N87">
        <v>0.07000000000000001</v>
      </c>
      <c r="O87">
        <v>0.0173345939417735</v>
      </c>
      <c r="P87" t="s">
        <v>636</v>
      </c>
      <c r="Q87" t="s">
        <v>372</v>
      </c>
      <c r="R87">
        <v>24</v>
      </c>
      <c r="S87">
        <v>0.3280701754385965</v>
      </c>
      <c r="T87">
        <v>68</v>
      </c>
      <c r="U87">
        <v>1.366911764705882</v>
      </c>
      <c r="V87">
        <v>2.9322</v>
      </c>
      <c r="W87">
        <v>2.85</v>
      </c>
      <c r="X87">
        <v>0.9350000000000001</v>
      </c>
      <c r="Y87">
        <v>0.245311</v>
      </c>
      <c r="Z87">
        <v>0.08085808580858085</v>
      </c>
      <c r="AA87">
        <v>0.8828250401284109</v>
      </c>
      <c r="AB87">
        <v>0.7504012841091493</v>
      </c>
      <c r="AC87">
        <v>0.2054574638844302</v>
      </c>
      <c r="AD87">
        <v>0.1781701444622793</v>
      </c>
    </row>
    <row r="88" spans="1:30">
      <c r="A88" s="1" t="s">
        <v>95</v>
      </c>
      <c r="B88">
        <f>HYPERLINK("https://www.suredividend.com/sure-analysis-CSX/","CSX Corp.")</f>
        <v>0</v>
      </c>
      <c r="C88">
        <v>78.08</v>
      </c>
      <c r="D88">
        <v>59735.33824</v>
      </c>
      <c r="E88" t="s">
        <v>666</v>
      </c>
      <c r="F88" t="s">
        <v>632</v>
      </c>
      <c r="G88" t="s">
        <v>671</v>
      </c>
      <c r="H88" t="s">
        <v>701</v>
      </c>
      <c r="I88" t="s">
        <v>790</v>
      </c>
      <c r="J88" t="s">
        <v>1319</v>
      </c>
      <c r="K88">
        <v>44035</v>
      </c>
      <c r="L88">
        <v>0.01280737704918</v>
      </c>
      <c r="M88">
        <v>-0.07456224587236926</v>
      </c>
      <c r="N88">
        <v>0.08</v>
      </c>
      <c r="O88">
        <v>0.01726556221293918</v>
      </c>
      <c r="P88" t="s">
        <v>636</v>
      </c>
      <c r="Q88" t="s">
        <v>372</v>
      </c>
      <c r="R88">
        <v>16</v>
      </c>
      <c r="S88">
        <v>0.2857142857142857</v>
      </c>
      <c r="T88">
        <v>53</v>
      </c>
      <c r="U88">
        <v>1.473207547169811</v>
      </c>
      <c r="V88">
        <v>3.7224</v>
      </c>
      <c r="W88">
        <v>3.5</v>
      </c>
      <c r="X88">
        <v>1</v>
      </c>
      <c r="Y88">
        <v>0.124748</v>
      </c>
      <c r="Z88">
        <v>0.1188118811881188</v>
      </c>
      <c r="AA88">
        <v>0.7993579454253612</v>
      </c>
      <c r="AB88">
        <v>0.8274478330658106</v>
      </c>
      <c r="AC88">
        <v>0.1492776886035313</v>
      </c>
      <c r="AD88">
        <v>0.1765650080256822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133.05</v>
      </c>
      <c r="D89">
        <v>5173.46298</v>
      </c>
      <c r="E89" t="s">
        <v>660</v>
      </c>
      <c r="F89" t="s">
        <v>632</v>
      </c>
      <c r="G89" t="s">
        <v>671</v>
      </c>
      <c r="H89" t="s">
        <v>700</v>
      </c>
      <c r="I89" t="s">
        <v>791</v>
      </c>
      <c r="J89" t="s">
        <v>1319</v>
      </c>
      <c r="K89">
        <v>44049</v>
      </c>
      <c r="L89">
        <v>0.012777151446824</v>
      </c>
      <c r="M89">
        <v>-0.06712684662437784</v>
      </c>
      <c r="N89">
        <v>0.07000000000000001</v>
      </c>
      <c r="O89">
        <v>0.01462717617073617</v>
      </c>
      <c r="P89" t="s">
        <v>636</v>
      </c>
      <c r="Q89" t="s">
        <v>372</v>
      </c>
      <c r="R89">
        <v>49</v>
      </c>
      <c r="S89">
        <v>0.3617021276595745</v>
      </c>
      <c r="T89">
        <v>94</v>
      </c>
      <c r="U89">
        <v>1.415425531914894</v>
      </c>
      <c r="V89">
        <v>3.9448</v>
      </c>
      <c r="W89">
        <v>4.7</v>
      </c>
      <c r="X89">
        <v>1.7</v>
      </c>
      <c r="Y89">
        <v>0.224349</v>
      </c>
      <c r="Z89">
        <v>0.1171617161716172</v>
      </c>
      <c r="AA89">
        <v>0.869983948635634</v>
      </c>
      <c r="AB89">
        <v>0.7504012841091493</v>
      </c>
      <c r="AC89">
        <v>0.1685393258426967</v>
      </c>
      <c r="AD89">
        <v>0.1653290529695024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207.82</v>
      </c>
      <c r="D90">
        <v>1572709.023</v>
      </c>
      <c r="E90" t="s">
        <v>660</v>
      </c>
      <c r="F90" t="s">
        <v>632</v>
      </c>
      <c r="G90" t="s">
        <v>671</v>
      </c>
      <c r="H90" t="s">
        <v>701</v>
      </c>
      <c r="I90" t="s">
        <v>792</v>
      </c>
      <c r="J90" t="s">
        <v>1320</v>
      </c>
      <c r="K90">
        <v>44042</v>
      </c>
      <c r="L90">
        <v>0.009816187084977</v>
      </c>
      <c r="M90">
        <v>-0.08130719820033283</v>
      </c>
      <c r="N90">
        <v>0.09</v>
      </c>
      <c r="O90">
        <v>0.01380260095230645</v>
      </c>
      <c r="P90" t="s">
        <v>636</v>
      </c>
      <c r="Q90" t="s">
        <v>446</v>
      </c>
      <c r="R90">
        <v>18</v>
      </c>
      <c r="S90">
        <v>0.3290322580645161</v>
      </c>
      <c r="T90">
        <v>136</v>
      </c>
      <c r="U90">
        <v>1.528088235294118</v>
      </c>
      <c r="V90">
        <v>5.8207</v>
      </c>
      <c r="W90">
        <v>6.2</v>
      </c>
      <c r="X90">
        <v>2.04</v>
      </c>
      <c r="Y90">
        <v>0.489322</v>
      </c>
      <c r="Z90">
        <v>0.07590759075907591</v>
      </c>
      <c r="AA90">
        <v>0.9598715890850723</v>
      </c>
      <c r="AB90">
        <v>0.8780096308186195</v>
      </c>
      <c r="AC90">
        <v>0.1316211878009631</v>
      </c>
      <c r="AD90">
        <v>0.1637239165329053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48.84</v>
      </c>
      <c r="D91">
        <v>26354.45472</v>
      </c>
      <c r="E91" t="s">
        <v>666</v>
      </c>
      <c r="F91" t="s">
        <v>632</v>
      </c>
      <c r="G91" t="s">
        <v>671</v>
      </c>
      <c r="H91" t="s">
        <v>700</v>
      </c>
      <c r="I91" t="s">
        <v>793</v>
      </c>
      <c r="J91" t="s">
        <v>1321</v>
      </c>
      <c r="K91">
        <v>44078</v>
      </c>
      <c r="L91">
        <v>0.018581081081081</v>
      </c>
      <c r="M91">
        <v>-0.06446836486151653</v>
      </c>
      <c r="N91">
        <v>0.06</v>
      </c>
      <c r="O91">
        <v>0.01355961897605007</v>
      </c>
      <c r="P91" t="s">
        <v>636</v>
      </c>
      <c r="Q91" t="s">
        <v>637</v>
      </c>
      <c r="R91">
        <v>54</v>
      </c>
      <c r="S91">
        <v>0.55</v>
      </c>
      <c r="T91">
        <v>35</v>
      </c>
      <c r="U91">
        <v>1.395428571428571</v>
      </c>
      <c r="V91">
        <v>1.7322</v>
      </c>
      <c r="W91">
        <v>1.65</v>
      </c>
      <c r="X91">
        <v>0.9075000000000001</v>
      </c>
      <c r="Y91">
        <v>0.121727</v>
      </c>
      <c r="Z91">
        <v>0.2277227722772277</v>
      </c>
      <c r="AA91">
        <v>0.7945425361155698</v>
      </c>
      <c r="AB91">
        <v>0.6597110754414125</v>
      </c>
      <c r="AC91">
        <v>0.1861958266452648</v>
      </c>
      <c r="AD91">
        <v>0.1605136436597111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76.87</v>
      </c>
      <c r="D92">
        <v>12364.84698</v>
      </c>
      <c r="E92" t="s">
        <v>668</v>
      </c>
      <c r="F92" t="s">
        <v>632</v>
      </c>
      <c r="G92" t="s">
        <v>671</v>
      </c>
      <c r="H92" t="s">
        <v>701</v>
      </c>
      <c r="I92" t="s">
        <v>794</v>
      </c>
      <c r="J92" t="s">
        <v>1313</v>
      </c>
      <c r="K92">
        <v>44063</v>
      </c>
      <c r="L92">
        <v>0.03018082476909</v>
      </c>
      <c r="M92">
        <v>-0.0359831641990368</v>
      </c>
      <c r="N92">
        <v>0.01</v>
      </c>
      <c r="O92">
        <v>0.01097180579629509</v>
      </c>
      <c r="P92" t="s">
        <v>636</v>
      </c>
      <c r="Q92" t="s">
        <v>637</v>
      </c>
      <c r="R92">
        <v>59</v>
      </c>
      <c r="S92">
        <v>0.7272727272727272</v>
      </c>
      <c r="T92">
        <v>64</v>
      </c>
      <c r="U92">
        <v>1.20109375</v>
      </c>
      <c r="V92">
        <v>3.4489</v>
      </c>
      <c r="W92">
        <v>3.19</v>
      </c>
      <c r="X92">
        <v>2.32</v>
      </c>
      <c r="Y92">
        <v>-0.340681</v>
      </c>
      <c r="Z92">
        <v>0.4158415841584159</v>
      </c>
      <c r="AA92">
        <v>0.274478330658106</v>
      </c>
      <c r="AB92">
        <v>0.08828250401284109</v>
      </c>
      <c r="AC92">
        <v>0.3499197431781702</v>
      </c>
      <c r="AD92">
        <v>0.1508828250401284</v>
      </c>
    </row>
    <row r="93" spans="1:30">
      <c r="A93" s="1" t="s">
        <v>100</v>
      </c>
      <c r="B93">
        <f>HYPERLINK("https://www.suredividend.com/sure-analysis-SWK/","Stanley Black &amp; Decker, Inc.")</f>
        <v>0</v>
      </c>
      <c r="C93">
        <v>159.93</v>
      </c>
      <c r="D93">
        <v>25537.94226</v>
      </c>
      <c r="E93" t="s">
        <v>663</v>
      </c>
      <c r="F93" t="s">
        <v>632</v>
      </c>
      <c r="G93" t="s">
        <v>671</v>
      </c>
      <c r="H93" t="s">
        <v>700</v>
      </c>
      <c r="I93" t="s">
        <v>795</v>
      </c>
      <c r="J93" t="s">
        <v>1319</v>
      </c>
      <c r="K93">
        <v>44043</v>
      </c>
      <c r="L93">
        <v>0.017257550178202</v>
      </c>
      <c r="M93">
        <v>-0.08602556761855085</v>
      </c>
      <c r="N93">
        <v>0.08</v>
      </c>
      <c r="O93">
        <v>0.009413857089977551</v>
      </c>
      <c r="P93" t="s">
        <v>636</v>
      </c>
      <c r="Q93" t="s">
        <v>637</v>
      </c>
      <c r="R93">
        <v>53</v>
      </c>
      <c r="S93">
        <v>0.423963133640553</v>
      </c>
      <c r="T93">
        <v>102</v>
      </c>
      <c r="U93">
        <v>1.567941176470588</v>
      </c>
      <c r="V93">
        <v>5.3001</v>
      </c>
      <c r="W93">
        <v>6.51</v>
      </c>
      <c r="X93">
        <v>2.76</v>
      </c>
      <c r="Y93">
        <v>0.121922</v>
      </c>
      <c r="Z93">
        <v>0.1963696369636964</v>
      </c>
      <c r="AA93">
        <v>0.7961476725521669</v>
      </c>
      <c r="AB93">
        <v>0.8274478330658106</v>
      </c>
      <c r="AC93">
        <v>0.1123595505617978</v>
      </c>
      <c r="AD93">
        <v>0.1492776886035313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137.62</v>
      </c>
      <c r="D94">
        <v>342621.5044</v>
      </c>
      <c r="E94" t="s">
        <v>669</v>
      </c>
      <c r="F94" t="s">
        <v>632</v>
      </c>
      <c r="G94" t="s">
        <v>671</v>
      </c>
      <c r="H94" t="s">
        <v>700</v>
      </c>
      <c r="I94" t="s">
        <v>796</v>
      </c>
      <c r="J94" t="s">
        <v>1321</v>
      </c>
      <c r="K94">
        <v>44096</v>
      </c>
      <c r="L94">
        <v>0.022005522453131</v>
      </c>
      <c r="M94">
        <v>-0.04731694558194566</v>
      </c>
      <c r="N94">
        <v>0.03</v>
      </c>
      <c r="O94">
        <v>0.007320066757515509</v>
      </c>
      <c r="P94" t="s">
        <v>636</v>
      </c>
      <c r="Q94" t="s">
        <v>637</v>
      </c>
      <c r="R94">
        <v>64</v>
      </c>
      <c r="S94">
        <v>0.5618552875695733</v>
      </c>
      <c r="T94">
        <v>108</v>
      </c>
      <c r="U94">
        <v>1.274259259259259</v>
      </c>
      <c r="V94">
        <v>5.132</v>
      </c>
      <c r="W94">
        <v>5.39</v>
      </c>
      <c r="X94">
        <v>3.0284</v>
      </c>
      <c r="Y94">
        <v>0.107071</v>
      </c>
      <c r="Z94">
        <v>0.2920792079207921</v>
      </c>
      <c r="AA94">
        <v>0.7784911717495987</v>
      </c>
      <c r="AB94">
        <v>0.2680577849117175</v>
      </c>
      <c r="AC94">
        <v>0.274478330658106</v>
      </c>
      <c r="AD94">
        <v>0.14446227929374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52.48</v>
      </c>
      <c r="D95">
        <v>36729.75488</v>
      </c>
      <c r="E95" t="s">
        <v>669</v>
      </c>
      <c r="F95" t="s">
        <v>632</v>
      </c>
      <c r="G95" t="s">
        <v>671</v>
      </c>
      <c r="H95" t="s">
        <v>701</v>
      </c>
      <c r="I95" t="s">
        <v>797</v>
      </c>
      <c r="J95" t="s">
        <v>1318</v>
      </c>
      <c r="K95">
        <v>44075</v>
      </c>
      <c r="L95">
        <v>0.011432926829268</v>
      </c>
      <c r="M95">
        <v>-0.04357461859809764</v>
      </c>
      <c r="N95">
        <v>0.038</v>
      </c>
      <c r="O95">
        <v>0.006960884069923789</v>
      </c>
      <c r="P95" t="s">
        <v>636</v>
      </c>
      <c r="Q95" t="s">
        <v>446</v>
      </c>
      <c r="R95">
        <v>1</v>
      </c>
      <c r="S95">
        <v>0.1714285714285715</v>
      </c>
      <c r="T95">
        <v>42</v>
      </c>
      <c r="U95">
        <v>1.249523809523809</v>
      </c>
      <c r="V95">
        <v>6.6548</v>
      </c>
      <c r="W95">
        <v>3.5</v>
      </c>
      <c r="X95">
        <v>0.6000000000000001</v>
      </c>
      <c r="Y95">
        <v>0.348234</v>
      </c>
      <c r="Z95">
        <v>0.103960396039604</v>
      </c>
      <c r="AA95">
        <v>0.9293739967897271</v>
      </c>
      <c r="AB95">
        <v>0.3515248796147672</v>
      </c>
      <c r="AC95">
        <v>0.3001605136436597</v>
      </c>
      <c r="AD95">
        <v>0.1428571428571429</v>
      </c>
    </row>
    <row r="96" spans="1:30">
      <c r="A96" s="1" t="s">
        <v>103</v>
      </c>
      <c r="B96">
        <f>HYPERLINK("https://www.suredividend.com/sure-analysis-PPG/","PPG Industries, Inc.")</f>
        <v>0</v>
      </c>
      <c r="C96">
        <v>120.25</v>
      </c>
      <c r="D96">
        <v>28376.23425</v>
      </c>
      <c r="E96" t="s">
        <v>663</v>
      </c>
      <c r="F96" t="s">
        <v>632</v>
      </c>
      <c r="G96" t="s">
        <v>671</v>
      </c>
      <c r="H96" t="s">
        <v>700</v>
      </c>
      <c r="I96" t="s">
        <v>798</v>
      </c>
      <c r="J96" t="s">
        <v>1322</v>
      </c>
      <c r="K96">
        <v>44029</v>
      </c>
      <c r="L96">
        <v>0.016964656964656</v>
      </c>
      <c r="M96">
        <v>-0.09009670931378477</v>
      </c>
      <c r="N96">
        <v>0.08</v>
      </c>
      <c r="O96">
        <v>0.005957719414654949</v>
      </c>
      <c r="P96" t="s">
        <v>636</v>
      </c>
      <c r="Q96" t="s">
        <v>637</v>
      </c>
      <c r="R96">
        <v>49</v>
      </c>
      <c r="S96">
        <v>0.4594594594594594</v>
      </c>
      <c r="T96">
        <v>75</v>
      </c>
      <c r="U96">
        <v>1.603333333333333</v>
      </c>
      <c r="V96">
        <v>4.2385</v>
      </c>
      <c r="W96">
        <v>4.44</v>
      </c>
      <c r="X96">
        <v>2.04</v>
      </c>
      <c r="Y96">
        <v>0.030773</v>
      </c>
      <c r="Z96">
        <v>0.1831683168316832</v>
      </c>
      <c r="AA96">
        <v>0.7271268057784911</v>
      </c>
      <c r="AB96">
        <v>0.8274478330658106</v>
      </c>
      <c r="AC96">
        <v>0.101123595505618</v>
      </c>
      <c r="AD96">
        <v>0.1364365971107544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103.45</v>
      </c>
      <c r="D97">
        <v>183161.3285</v>
      </c>
      <c r="E97" t="s">
        <v>660</v>
      </c>
      <c r="F97" t="s">
        <v>632</v>
      </c>
      <c r="G97" t="s">
        <v>671</v>
      </c>
      <c r="H97" t="s">
        <v>700</v>
      </c>
      <c r="I97" t="s">
        <v>799</v>
      </c>
      <c r="J97" t="s">
        <v>1315</v>
      </c>
      <c r="K97">
        <v>44035</v>
      </c>
      <c r="L97">
        <v>0.013533107781536</v>
      </c>
      <c r="M97">
        <v>-0.08596529010415332</v>
      </c>
      <c r="N97">
        <v>0.08</v>
      </c>
      <c r="O97">
        <v>0.005091859258981923</v>
      </c>
      <c r="P97" t="s">
        <v>636</v>
      </c>
      <c r="Q97" t="s">
        <v>372</v>
      </c>
      <c r="R97">
        <v>48</v>
      </c>
      <c r="S97">
        <v>0.4242424242424243</v>
      </c>
      <c r="T97">
        <v>66</v>
      </c>
      <c r="U97">
        <v>1.567424242424242</v>
      </c>
      <c r="V97">
        <v>1.7492</v>
      </c>
      <c r="W97">
        <v>3.3</v>
      </c>
      <c r="X97">
        <v>1.4</v>
      </c>
      <c r="Y97">
        <v>0.251512</v>
      </c>
      <c r="Z97">
        <v>0.127062706270627</v>
      </c>
      <c r="AA97">
        <v>0.8876404494382022</v>
      </c>
      <c r="AB97">
        <v>0.8274478330658106</v>
      </c>
      <c r="AC97">
        <v>0.115569823434992</v>
      </c>
      <c r="AD97">
        <v>0.1332263242375602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697.45</v>
      </c>
      <c r="D98">
        <v>63502.613265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1322</v>
      </c>
      <c r="K98">
        <v>44042</v>
      </c>
      <c r="L98">
        <v>0.007082945013979</v>
      </c>
      <c r="M98">
        <v>-0.07472759007497531</v>
      </c>
      <c r="N98">
        <v>0.07000000000000001</v>
      </c>
      <c r="O98">
        <v>0.0005651450041976869</v>
      </c>
      <c r="P98" t="s">
        <v>636</v>
      </c>
      <c r="Q98" t="s">
        <v>372</v>
      </c>
      <c r="R98">
        <v>42</v>
      </c>
      <c r="S98">
        <v>0.2195555555555556</v>
      </c>
      <c r="T98">
        <v>473</v>
      </c>
      <c r="U98">
        <v>1.474524312896406</v>
      </c>
      <c r="V98">
        <v>19.1088</v>
      </c>
      <c r="W98">
        <v>22.5</v>
      </c>
      <c r="X98">
        <v>4.94</v>
      </c>
      <c r="Y98">
        <v>0.271907</v>
      </c>
      <c r="Z98">
        <v>0.0429042904290429</v>
      </c>
      <c r="AA98">
        <v>0.8956661316211878</v>
      </c>
      <c r="AB98">
        <v>0.7504012841091493</v>
      </c>
      <c r="AC98">
        <v>0.1476725521669342</v>
      </c>
      <c r="AD98">
        <v>0.1139646869983949</v>
      </c>
    </row>
    <row r="99" spans="1:30">
      <c r="A99" s="1" t="s">
        <v>106</v>
      </c>
      <c r="B99">
        <f>HYPERLINK("https://www.suredividend.com/sure-analysis-EXPD/","Expeditors International of Washington, Inc.")</f>
        <v>0</v>
      </c>
      <c r="C99">
        <v>90.31999999999999</v>
      </c>
      <c r="D99">
        <v>15142.96088</v>
      </c>
      <c r="E99" t="s">
        <v>668</v>
      </c>
      <c r="F99" t="s">
        <v>632</v>
      </c>
      <c r="G99" t="s">
        <v>671</v>
      </c>
      <c r="H99" t="s">
        <v>701</v>
      </c>
      <c r="I99" t="s">
        <v>801</v>
      </c>
      <c r="J99" t="s">
        <v>1319</v>
      </c>
      <c r="K99">
        <v>44091</v>
      </c>
      <c r="L99">
        <v>0.011293179805137</v>
      </c>
      <c r="M99">
        <v>-0.06081315401877041</v>
      </c>
      <c r="N99">
        <v>0.05</v>
      </c>
      <c r="O99">
        <v>-9.726904302620465e-05</v>
      </c>
      <c r="P99" t="s">
        <v>636</v>
      </c>
      <c r="Q99" t="s">
        <v>372</v>
      </c>
      <c r="R99">
        <v>26</v>
      </c>
      <c r="S99">
        <v>0.2764227642276423</v>
      </c>
      <c r="T99">
        <v>66</v>
      </c>
      <c r="U99">
        <v>1.368484848484848</v>
      </c>
      <c r="V99">
        <v>3.574</v>
      </c>
      <c r="W99">
        <v>3.69</v>
      </c>
      <c r="X99">
        <v>1.02</v>
      </c>
      <c r="Y99">
        <v>0.239638</v>
      </c>
      <c r="Z99">
        <v>0.1006600660066007</v>
      </c>
      <c r="AA99">
        <v>0.8764044943820225</v>
      </c>
      <c r="AB99">
        <v>0.5296950240770465</v>
      </c>
      <c r="AC99">
        <v>0.203852327447833</v>
      </c>
      <c r="AD99">
        <v>0.1107544141252006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62.82</v>
      </c>
      <c r="D100">
        <v>2271.784788</v>
      </c>
      <c r="E100" t="s">
        <v>669</v>
      </c>
      <c r="F100" t="s">
        <v>632</v>
      </c>
      <c r="G100" t="s">
        <v>671</v>
      </c>
      <c r="H100" t="s">
        <v>701</v>
      </c>
      <c r="I100" t="s">
        <v>802</v>
      </c>
      <c r="J100" t="s">
        <v>1316</v>
      </c>
      <c r="K100">
        <v>44012</v>
      </c>
      <c r="L100">
        <v>0.022723654886978</v>
      </c>
      <c r="M100">
        <v>-0.06454496615912431</v>
      </c>
      <c r="N100">
        <v>0.04</v>
      </c>
      <c r="O100">
        <v>-0.001335162299507697</v>
      </c>
      <c r="P100" t="s">
        <v>636</v>
      </c>
      <c r="Q100" t="s">
        <v>637</v>
      </c>
      <c r="R100">
        <v>44</v>
      </c>
      <c r="S100">
        <v>0.566468253968254</v>
      </c>
      <c r="T100">
        <v>45</v>
      </c>
      <c r="U100">
        <v>1.396</v>
      </c>
      <c r="V100">
        <v>2.6462</v>
      </c>
      <c r="W100">
        <v>2.52</v>
      </c>
      <c r="X100">
        <v>1.4275</v>
      </c>
      <c r="Y100">
        <v>-0.207419</v>
      </c>
      <c r="Z100">
        <v>0.3052805280528053</v>
      </c>
      <c r="AA100">
        <v>0.406099518459069</v>
      </c>
      <c r="AB100">
        <v>0.4012841091492777</v>
      </c>
      <c r="AC100">
        <v>0.1845906902086678</v>
      </c>
      <c r="AD100">
        <v>0.1091492776886035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196.03</v>
      </c>
      <c r="D101">
        <v>55944.02155</v>
      </c>
      <c r="E101" t="s">
        <v>661</v>
      </c>
      <c r="F101" t="s">
        <v>632</v>
      </c>
      <c r="G101" t="s">
        <v>671</v>
      </c>
      <c r="H101" t="s">
        <v>700</v>
      </c>
      <c r="I101" t="s">
        <v>803</v>
      </c>
      <c r="J101" t="s">
        <v>1322</v>
      </c>
      <c r="K101">
        <v>44047</v>
      </c>
      <c r="L101">
        <v>0.009539356220986001</v>
      </c>
      <c r="M101">
        <v>-0.1441769210589182</v>
      </c>
      <c r="N101">
        <v>0.15</v>
      </c>
      <c r="O101">
        <v>-0.002794870863922494</v>
      </c>
      <c r="P101" t="s">
        <v>636</v>
      </c>
      <c r="Q101" t="s">
        <v>372</v>
      </c>
      <c r="R101">
        <v>34</v>
      </c>
      <c r="S101">
        <v>0.4155555555555556</v>
      </c>
      <c r="T101">
        <v>90</v>
      </c>
      <c r="U101">
        <v>2.178111111111111</v>
      </c>
      <c r="V101">
        <v>-2.9784</v>
      </c>
      <c r="W101">
        <v>4.5</v>
      </c>
      <c r="X101">
        <v>1.87</v>
      </c>
      <c r="Y101">
        <v>-0.012095</v>
      </c>
      <c r="Z101">
        <v>0.07095709570957096</v>
      </c>
      <c r="AA101">
        <v>0.6757624398073837</v>
      </c>
      <c r="AB101">
        <v>0.9783306581059389</v>
      </c>
      <c r="AC101">
        <v>0.01926163723916533</v>
      </c>
      <c r="AD101">
        <v>0.1059390048154093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107.11</v>
      </c>
      <c r="D102">
        <v>2400.742118</v>
      </c>
      <c r="E102" t="s">
        <v>666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44034</v>
      </c>
      <c r="L102">
        <v>0.01003641116609</v>
      </c>
      <c r="M102">
        <v>-0.06387866957656341</v>
      </c>
      <c r="N102">
        <v>0.05</v>
      </c>
      <c r="O102">
        <v>-0.003491065214489164</v>
      </c>
      <c r="P102" t="s">
        <v>636</v>
      </c>
      <c r="Q102" t="s">
        <v>372</v>
      </c>
      <c r="R102">
        <v>52</v>
      </c>
      <c r="S102">
        <v>0.2388888888888889</v>
      </c>
      <c r="T102">
        <v>77</v>
      </c>
      <c r="U102">
        <v>1.391038961038961</v>
      </c>
      <c r="V102">
        <v>4.8365</v>
      </c>
      <c r="W102">
        <v>4.5</v>
      </c>
      <c r="X102">
        <v>1.075</v>
      </c>
      <c r="Y102">
        <v>0.119695</v>
      </c>
      <c r="Z102">
        <v>0.07755775577557757</v>
      </c>
      <c r="AA102">
        <v>0.7897271268057784</v>
      </c>
      <c r="AB102">
        <v>0.5296950240770465</v>
      </c>
      <c r="AC102">
        <v>0.1878009630818619</v>
      </c>
      <c r="AD102">
        <v>0.101123595505618</v>
      </c>
    </row>
    <row r="103" spans="1:30">
      <c r="A103" s="1" t="s">
        <v>110</v>
      </c>
      <c r="B103">
        <f>HYPERLINK("https://www.suredividend.com/sure-analysis-CNI/","Canadian National Railway Co.")</f>
        <v>0</v>
      </c>
      <c r="C103">
        <v>106.13</v>
      </c>
      <c r="D103">
        <v>75341.68700000001</v>
      </c>
      <c r="E103" t="s">
        <v>663</v>
      </c>
      <c r="F103" t="s">
        <v>632</v>
      </c>
      <c r="G103" t="s">
        <v>673</v>
      </c>
      <c r="H103" t="s">
        <v>700</v>
      </c>
      <c r="I103" t="s">
        <v>805</v>
      </c>
      <c r="J103" t="s">
        <v>1319</v>
      </c>
      <c r="K103">
        <v>44034</v>
      </c>
      <c r="L103">
        <v>0.015610338758476</v>
      </c>
      <c r="M103">
        <v>-0.08788976789583791</v>
      </c>
      <c r="N103">
        <v>0.07000000000000001</v>
      </c>
      <c r="O103">
        <v>-0.003928121160508113</v>
      </c>
      <c r="P103" t="s">
        <v>636</v>
      </c>
      <c r="Q103" t="s">
        <v>372</v>
      </c>
      <c r="R103">
        <v>25</v>
      </c>
      <c r="S103">
        <v>0.4183649627366565</v>
      </c>
      <c r="T103">
        <v>67</v>
      </c>
      <c r="U103">
        <v>1.584029850746269</v>
      </c>
      <c r="V103">
        <v>3.7934</v>
      </c>
      <c r="W103">
        <v>3.96</v>
      </c>
      <c r="X103">
        <v>1.65672525243716</v>
      </c>
      <c r="Y103">
        <v>0.186075</v>
      </c>
      <c r="Z103">
        <v>0.1584158415841584</v>
      </c>
      <c r="AA103">
        <v>0.8362760834670947</v>
      </c>
      <c r="AB103">
        <v>0.7504012841091493</v>
      </c>
      <c r="AC103">
        <v>0.1059390048154093</v>
      </c>
      <c r="AD103">
        <v>0.09951845906902086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73.84</v>
      </c>
      <c r="D104">
        <v>2723.507176</v>
      </c>
      <c r="E104" t="s">
        <v>669</v>
      </c>
      <c r="F104" t="s">
        <v>632</v>
      </c>
      <c r="G104" t="s">
        <v>671</v>
      </c>
      <c r="H104" t="s">
        <v>700</v>
      </c>
      <c r="I104" t="s">
        <v>806</v>
      </c>
      <c r="J104" t="s">
        <v>1316</v>
      </c>
      <c r="K104">
        <v>43978</v>
      </c>
      <c r="L104">
        <v>0.016522210184182</v>
      </c>
      <c r="M104">
        <v>-0.05045263371582498</v>
      </c>
      <c r="N104">
        <v>0.027</v>
      </c>
      <c r="O104">
        <v>-0.004060580828081028</v>
      </c>
      <c r="P104" t="s">
        <v>636</v>
      </c>
      <c r="Q104" t="s">
        <v>637</v>
      </c>
      <c r="R104">
        <v>64</v>
      </c>
      <c r="S104">
        <v>0.5350877192982456</v>
      </c>
      <c r="T104">
        <v>57</v>
      </c>
      <c r="U104">
        <v>1.295438596491228</v>
      </c>
      <c r="V104">
        <v>2.281</v>
      </c>
      <c r="W104">
        <v>2.28</v>
      </c>
      <c r="X104">
        <v>1.22</v>
      </c>
      <c r="Y104">
        <v>-0.185888</v>
      </c>
      <c r="Z104">
        <v>0.1732673267326733</v>
      </c>
      <c r="AA104">
        <v>0.4494382022471911</v>
      </c>
      <c r="AB104">
        <v>0.2110754414125201</v>
      </c>
      <c r="AC104">
        <v>0.2471910112359551</v>
      </c>
      <c r="AD104">
        <v>0.09791332263242376</v>
      </c>
    </row>
    <row r="105" spans="1:30">
      <c r="A105" s="1" t="s">
        <v>112</v>
      </c>
      <c r="B105">
        <f>HYPERLINK("https://www.suredividend.com/sure-analysis-JKHY/","Jack Henry &amp; Associates, Inc.")</f>
        <v>0</v>
      </c>
      <c r="C105">
        <v>161</v>
      </c>
      <c r="D105">
        <v>12339.3298</v>
      </c>
      <c r="E105" t="s">
        <v>664</v>
      </c>
      <c r="F105" t="s">
        <v>632</v>
      </c>
      <c r="G105" t="s">
        <v>671</v>
      </c>
      <c r="H105" t="s">
        <v>701</v>
      </c>
      <c r="I105" t="s">
        <v>807</v>
      </c>
      <c r="J105" t="s">
        <v>1320</v>
      </c>
      <c r="K105">
        <v>44069</v>
      </c>
      <c r="L105">
        <v>0.010310559006211</v>
      </c>
      <c r="M105">
        <v>-0.1039517117885415</v>
      </c>
      <c r="N105">
        <v>0.095</v>
      </c>
      <c r="O105">
        <v>-0.004216868031129528</v>
      </c>
      <c r="P105" t="s">
        <v>636</v>
      </c>
      <c r="Q105" t="s">
        <v>446</v>
      </c>
      <c r="R105">
        <v>30</v>
      </c>
      <c r="S105">
        <v>0.4450402144772118</v>
      </c>
      <c r="T105">
        <v>93</v>
      </c>
      <c r="U105">
        <v>1.731182795698925</v>
      </c>
      <c r="V105">
        <v>3.8627</v>
      </c>
      <c r="W105">
        <v>3.73</v>
      </c>
      <c r="X105">
        <v>1.66</v>
      </c>
      <c r="Y105">
        <v>0.097179</v>
      </c>
      <c r="Z105">
        <v>0.08250825082508252</v>
      </c>
      <c r="AA105">
        <v>0.7704654895666131</v>
      </c>
      <c r="AB105">
        <v>0.8948635634028892</v>
      </c>
      <c r="AC105">
        <v>0.0738362760834671</v>
      </c>
      <c r="AD105">
        <v>0.09470304975922954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35.27</v>
      </c>
      <c r="D106">
        <v>8042.79445</v>
      </c>
      <c r="E106" t="s">
        <v>667</v>
      </c>
      <c r="F106" t="s">
        <v>632</v>
      </c>
      <c r="G106" t="s">
        <v>671</v>
      </c>
      <c r="H106" t="s">
        <v>700</v>
      </c>
      <c r="I106" t="s">
        <v>808</v>
      </c>
      <c r="J106" t="s">
        <v>1319</v>
      </c>
      <c r="K106">
        <v>44056</v>
      </c>
      <c r="L106">
        <v>0.002268216614686</v>
      </c>
      <c r="M106">
        <v>-0.06651593272589607</v>
      </c>
      <c r="N106">
        <v>0.06</v>
      </c>
      <c r="O106">
        <v>-0.008152022149920501</v>
      </c>
      <c r="P106" t="s">
        <v>636</v>
      </c>
      <c r="Q106" t="s">
        <v>446</v>
      </c>
      <c r="R106">
        <v>0</v>
      </c>
      <c r="S106">
        <v>0.05194805194805194</v>
      </c>
      <c r="T106">
        <v>25</v>
      </c>
      <c r="U106">
        <v>1.4108</v>
      </c>
      <c r="V106">
        <v>1.6438</v>
      </c>
      <c r="W106">
        <v>1.54</v>
      </c>
      <c r="X106">
        <v>0.08</v>
      </c>
      <c r="Y106">
        <v>-0.299921</v>
      </c>
      <c r="Z106">
        <v>0.006600660066006601</v>
      </c>
      <c r="AA106">
        <v>0.3162118780096308</v>
      </c>
      <c r="AB106">
        <v>0.6597110754414125</v>
      </c>
      <c r="AC106">
        <v>0.173354735152488</v>
      </c>
      <c r="AD106">
        <v>0.08828250401284109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124.23</v>
      </c>
      <c r="D107">
        <v>193782.6501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44097</v>
      </c>
      <c r="L107">
        <v>0.007888593737422001</v>
      </c>
      <c r="M107">
        <v>-0.1109534088294134</v>
      </c>
      <c r="N107">
        <v>0.1</v>
      </c>
      <c r="O107">
        <v>-0.01072252578428268</v>
      </c>
      <c r="P107" t="s">
        <v>636</v>
      </c>
      <c r="Q107" t="s">
        <v>446</v>
      </c>
      <c r="R107">
        <v>18</v>
      </c>
      <c r="S107">
        <v>0.3266666666666667</v>
      </c>
      <c r="T107">
        <v>69</v>
      </c>
      <c r="U107">
        <v>1.800434782608696</v>
      </c>
      <c r="V107">
        <v>1.7229</v>
      </c>
      <c r="W107">
        <v>3</v>
      </c>
      <c r="X107">
        <v>0.98</v>
      </c>
      <c r="Y107">
        <v>0.347836</v>
      </c>
      <c r="Z107">
        <v>0.0561056105610561</v>
      </c>
      <c r="AA107">
        <v>0.9261637239165329</v>
      </c>
      <c r="AB107">
        <v>0.9165329052969503</v>
      </c>
      <c r="AC107">
        <v>0.05778491171749598</v>
      </c>
      <c r="AD107">
        <v>0.08667736757624399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191.57</v>
      </c>
      <c r="D108">
        <v>25521.418999</v>
      </c>
      <c r="E108" t="s">
        <v>663</v>
      </c>
      <c r="F108" t="s">
        <v>632</v>
      </c>
      <c r="G108" t="s">
        <v>671</v>
      </c>
      <c r="H108" t="s">
        <v>700</v>
      </c>
      <c r="I108" t="s">
        <v>810</v>
      </c>
      <c r="J108" t="s">
        <v>1321</v>
      </c>
      <c r="K108">
        <v>44009</v>
      </c>
      <c r="L108">
        <v>0.012423657148822</v>
      </c>
      <c r="M108">
        <v>-0.1050206040497557</v>
      </c>
      <c r="N108">
        <v>0.08</v>
      </c>
      <c r="O108">
        <v>-0.01479111706625857</v>
      </c>
      <c r="P108" t="s">
        <v>636</v>
      </c>
      <c r="Q108" t="s">
        <v>372</v>
      </c>
      <c r="R108">
        <v>34</v>
      </c>
      <c r="S108">
        <v>0.4533333333333333</v>
      </c>
      <c r="T108">
        <v>110</v>
      </c>
      <c r="U108">
        <v>1.741545454545455</v>
      </c>
      <c r="V108">
        <v>5.6093</v>
      </c>
      <c r="W108">
        <v>5.25</v>
      </c>
      <c r="X108">
        <v>2.38</v>
      </c>
      <c r="Y108">
        <v>0.192839</v>
      </c>
      <c r="Z108">
        <v>0.1138613861386139</v>
      </c>
      <c r="AA108">
        <v>0.8443017656500803</v>
      </c>
      <c r="AB108">
        <v>0.8274478330658106</v>
      </c>
      <c r="AC108">
        <v>0.06902086677367576</v>
      </c>
      <c r="AD108">
        <v>0.08025682182985554</v>
      </c>
    </row>
    <row r="109" spans="1:30">
      <c r="A109" s="1" t="s">
        <v>116</v>
      </c>
      <c r="B109">
        <f>HYPERLINK("https://www.suredividend.com/sure-analysis-BAM/","Brookfield Asset Management, Inc.")</f>
        <v>0</v>
      </c>
      <c r="C109">
        <v>32.49</v>
      </c>
      <c r="D109">
        <v>49109.451149</v>
      </c>
      <c r="E109" t="s">
        <v>666</v>
      </c>
      <c r="F109" t="s">
        <v>632</v>
      </c>
      <c r="G109" t="s">
        <v>673</v>
      </c>
      <c r="H109" t="s">
        <v>700</v>
      </c>
      <c r="I109" t="s">
        <v>811</v>
      </c>
      <c r="J109" t="s">
        <v>1313</v>
      </c>
      <c r="K109">
        <v>44072</v>
      </c>
      <c r="L109">
        <v>0.013947859206362</v>
      </c>
      <c r="M109">
        <v>-0.06675510072266344</v>
      </c>
      <c r="N109">
        <v>0.03</v>
      </c>
      <c r="O109">
        <v>-0.01895755194319493</v>
      </c>
      <c r="P109" t="s">
        <v>636</v>
      </c>
      <c r="Q109" t="s">
        <v>372</v>
      </c>
      <c r="R109">
        <v>8</v>
      </c>
      <c r="S109">
        <v>0.2385083924288032</v>
      </c>
      <c r="T109">
        <v>23</v>
      </c>
      <c r="U109">
        <v>1.412608695652174</v>
      </c>
      <c r="V109">
        <v>0.4934</v>
      </c>
      <c r="W109">
        <v>1.9</v>
      </c>
      <c r="X109">
        <v>0.4531659456147261</v>
      </c>
      <c r="Y109">
        <v>-0.097332</v>
      </c>
      <c r="Z109">
        <v>0.1353135313531353</v>
      </c>
      <c r="AA109">
        <v>0.5617977528089887</v>
      </c>
      <c r="AB109">
        <v>0.2680577849117175</v>
      </c>
      <c r="AC109">
        <v>0.1717495987158908</v>
      </c>
      <c r="AD109">
        <v>0.0738362760834671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183.68</v>
      </c>
      <c r="D110">
        <v>10659.77696</v>
      </c>
      <c r="E110" t="s">
        <v>660</v>
      </c>
      <c r="F110" t="s">
        <v>632</v>
      </c>
      <c r="G110" t="s">
        <v>671</v>
      </c>
      <c r="H110" t="s">
        <v>701</v>
      </c>
      <c r="I110" t="s">
        <v>812</v>
      </c>
      <c r="J110" t="s">
        <v>1319</v>
      </c>
      <c r="K110">
        <v>44063</v>
      </c>
      <c r="L110">
        <v>0.008275261324041001</v>
      </c>
      <c r="M110">
        <v>-0.1041221503387286</v>
      </c>
      <c r="N110">
        <v>0.08</v>
      </c>
      <c r="O110">
        <v>-0.0204788031362374</v>
      </c>
      <c r="P110" t="s">
        <v>636</v>
      </c>
      <c r="Q110" t="s">
        <v>372</v>
      </c>
      <c r="R110">
        <v>57</v>
      </c>
      <c r="S110">
        <v>0.2714285714285715</v>
      </c>
      <c r="T110">
        <v>106</v>
      </c>
      <c r="U110">
        <v>1.732830188679245</v>
      </c>
      <c r="V110">
        <v>5.7929</v>
      </c>
      <c r="W110">
        <v>5.6</v>
      </c>
      <c r="X110">
        <v>1.52</v>
      </c>
      <c r="Y110">
        <v>0.269999</v>
      </c>
      <c r="Z110">
        <v>0.06105610561056106</v>
      </c>
      <c r="AA110">
        <v>0.8940609951845907</v>
      </c>
      <c r="AB110">
        <v>0.8274478330658106</v>
      </c>
      <c r="AC110">
        <v>0.07062600321027288</v>
      </c>
      <c r="AD110">
        <v>0.07062600321027288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61.55</v>
      </c>
      <c r="D111">
        <v>26656.01245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1319</v>
      </c>
      <c r="K111">
        <v>44042</v>
      </c>
      <c r="L111">
        <v>0.006498781478472</v>
      </c>
      <c r="M111">
        <v>-0.1017134672916039</v>
      </c>
      <c r="N111">
        <v>0.07000000000000001</v>
      </c>
      <c r="O111">
        <v>-0.02080258121194978</v>
      </c>
      <c r="P111" t="s">
        <v>636</v>
      </c>
      <c r="Q111" t="s">
        <v>372</v>
      </c>
      <c r="R111">
        <v>26</v>
      </c>
      <c r="S111">
        <v>0.1777777777777778</v>
      </c>
      <c r="T111">
        <v>36</v>
      </c>
      <c r="U111">
        <v>1.709722222222222</v>
      </c>
      <c r="W111">
        <v>2.25</v>
      </c>
      <c r="X111">
        <v>0.4</v>
      </c>
      <c r="Y111">
        <v>0.398864</v>
      </c>
      <c r="Z111">
        <v>0.0297029702970297</v>
      </c>
      <c r="AA111">
        <v>0.9406099518459069</v>
      </c>
      <c r="AB111">
        <v>0.7504012841091493</v>
      </c>
      <c r="AC111">
        <v>0.07865168539325842</v>
      </c>
      <c r="AD111">
        <v>0.06741573033707865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61.57</v>
      </c>
      <c r="D112">
        <v>1075.307736</v>
      </c>
      <c r="E112" t="s">
        <v>669</v>
      </c>
      <c r="F112" t="s">
        <v>632</v>
      </c>
      <c r="G112" t="s">
        <v>671</v>
      </c>
      <c r="H112" t="s">
        <v>701</v>
      </c>
      <c r="I112" t="s">
        <v>814</v>
      </c>
      <c r="J112" t="s">
        <v>1316</v>
      </c>
      <c r="K112">
        <v>44090</v>
      </c>
      <c r="L112">
        <v>0.016383790807211</v>
      </c>
      <c r="M112">
        <v>-0.05257303561763427</v>
      </c>
      <c r="N112">
        <v>0.011</v>
      </c>
      <c r="O112">
        <v>-0.0212792175480796</v>
      </c>
      <c r="P112" t="s">
        <v>636</v>
      </c>
      <c r="Q112" t="s">
        <v>372</v>
      </c>
      <c r="R112">
        <v>47</v>
      </c>
      <c r="S112">
        <v>0.4735915492957747</v>
      </c>
      <c r="T112">
        <v>47</v>
      </c>
      <c r="U112">
        <v>1.31</v>
      </c>
      <c r="V112">
        <v>2.1213</v>
      </c>
      <c r="W112">
        <v>2.13</v>
      </c>
      <c r="X112">
        <v>1.00875</v>
      </c>
      <c r="Y112">
        <v>-0.048671</v>
      </c>
      <c r="Z112">
        <v>0.1683168316831683</v>
      </c>
      <c r="AA112">
        <v>0.6243980738362761</v>
      </c>
      <c r="AB112">
        <v>0.1019261637239165</v>
      </c>
      <c r="AC112">
        <v>0.2359550561797753</v>
      </c>
      <c r="AD112">
        <v>0.06581059390048155</v>
      </c>
    </row>
    <row r="113" spans="1:30">
      <c r="A113" s="1" t="s">
        <v>120</v>
      </c>
      <c r="B113">
        <f>HYPERLINK("https://www.suredividend.com/sure-analysis-CSVI/","Computer Services, Inc.")</f>
        <v>0</v>
      </c>
      <c r="C113">
        <v>61.81</v>
      </c>
      <c r="D113">
        <v>1715.96922</v>
      </c>
      <c r="E113" t="s">
        <v>661</v>
      </c>
      <c r="F113" t="s">
        <v>632</v>
      </c>
      <c r="G113" t="s">
        <v>671</v>
      </c>
      <c r="H113" t="s">
        <v>702</v>
      </c>
      <c r="I113" t="s">
        <v>815</v>
      </c>
      <c r="J113" t="s">
        <v>1320</v>
      </c>
      <c r="K113">
        <v>44021</v>
      </c>
      <c r="L113">
        <v>0.013104675618831</v>
      </c>
      <c r="M113">
        <v>-0.107513079588058</v>
      </c>
      <c r="N113">
        <v>0.07000000000000001</v>
      </c>
      <c r="O113">
        <v>-0.02538114062309449</v>
      </c>
      <c r="P113" t="s">
        <v>636</v>
      </c>
      <c r="Q113" t="s">
        <v>372</v>
      </c>
      <c r="R113">
        <v>48</v>
      </c>
      <c r="S113">
        <v>0.405</v>
      </c>
      <c r="T113">
        <v>35</v>
      </c>
      <c r="U113">
        <v>1.766</v>
      </c>
      <c r="V113">
        <v>1.9677</v>
      </c>
      <c r="W113">
        <v>2</v>
      </c>
      <c r="X113">
        <v>0.8100000000000001</v>
      </c>
      <c r="Y113">
        <v>0.373556</v>
      </c>
      <c r="Z113">
        <v>0.1221122112211221</v>
      </c>
      <c r="AA113">
        <v>0.9357945425361156</v>
      </c>
      <c r="AB113">
        <v>0.7504012841091493</v>
      </c>
      <c r="AC113">
        <v>0.06420545746388444</v>
      </c>
      <c r="AD113">
        <v>0.06260032102728733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42.73</v>
      </c>
      <c r="D114">
        <v>2110.77654</v>
      </c>
      <c r="E114" t="s">
        <v>664</v>
      </c>
      <c r="F114" t="s">
        <v>632</v>
      </c>
      <c r="G114" t="s">
        <v>671</v>
      </c>
      <c r="H114" t="s">
        <v>700</v>
      </c>
      <c r="I114" t="s">
        <v>816</v>
      </c>
      <c r="J114" t="s">
        <v>1316</v>
      </c>
      <c r="K114">
        <v>44050</v>
      </c>
      <c r="L114">
        <v>0.019190264451205</v>
      </c>
      <c r="M114">
        <v>-0.08772415838730474</v>
      </c>
      <c r="N114">
        <v>0.04</v>
      </c>
      <c r="O114">
        <v>-0.02541793591245045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1.582592592592593</v>
      </c>
      <c r="V114">
        <v>0.8058000000000001</v>
      </c>
      <c r="W114">
        <v>1.35</v>
      </c>
      <c r="X114">
        <v>0.8200000000000001</v>
      </c>
      <c r="Y114">
        <v>-0.201756</v>
      </c>
      <c r="Z114">
        <v>0.2475247524752475</v>
      </c>
      <c r="AA114">
        <v>0.4173354735152487</v>
      </c>
      <c r="AB114">
        <v>0.4012841091492777</v>
      </c>
      <c r="AC114">
        <v>0.1075441412520064</v>
      </c>
      <c r="AD114">
        <v>0.06099518459069021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74.5</v>
      </c>
      <c r="D115">
        <v>35644.5995</v>
      </c>
      <c r="E115" t="s">
        <v>664</v>
      </c>
      <c r="F115" t="s">
        <v>632</v>
      </c>
      <c r="G115" t="s">
        <v>671</v>
      </c>
      <c r="H115" t="s">
        <v>700</v>
      </c>
      <c r="I115" t="s">
        <v>817</v>
      </c>
      <c r="J115" t="s">
        <v>1321</v>
      </c>
      <c r="K115">
        <v>44084</v>
      </c>
      <c r="L115">
        <v>0.009246979865771001</v>
      </c>
      <c r="M115">
        <v>-0.1040940176613389</v>
      </c>
      <c r="N115">
        <v>0.07000000000000001</v>
      </c>
      <c r="O115">
        <v>-0.02841083535226485</v>
      </c>
      <c r="P115" t="s">
        <v>636</v>
      </c>
      <c r="Q115" t="s">
        <v>372</v>
      </c>
      <c r="R115">
        <v>30</v>
      </c>
      <c r="S115">
        <v>0.3827222222222222</v>
      </c>
      <c r="T115">
        <v>43</v>
      </c>
      <c r="U115">
        <v>1.732558139534884</v>
      </c>
      <c r="V115">
        <v>2.0188</v>
      </c>
      <c r="W115">
        <v>1.8</v>
      </c>
      <c r="X115">
        <v>0.6889000000000001</v>
      </c>
      <c r="Y115">
        <v>0.188198</v>
      </c>
      <c r="Z115">
        <v>0.06930693069306931</v>
      </c>
      <c r="AA115">
        <v>0.8394863563402889</v>
      </c>
      <c r="AB115">
        <v>0.7504012841091493</v>
      </c>
      <c r="AC115">
        <v>0.07223113964686999</v>
      </c>
      <c r="AD115">
        <v>0.05778491171749598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30.49</v>
      </c>
      <c r="D116">
        <v>26409.37085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1319</v>
      </c>
      <c r="K116">
        <v>44049</v>
      </c>
      <c r="L116">
        <v>0.002623811085601</v>
      </c>
      <c r="M116">
        <v>-0.1000403955600927</v>
      </c>
      <c r="N116">
        <v>0.06</v>
      </c>
      <c r="O116">
        <v>-0.02950720140560348</v>
      </c>
      <c r="P116" t="s">
        <v>636</v>
      </c>
      <c r="Q116" t="s">
        <v>372</v>
      </c>
      <c r="R116">
        <v>26</v>
      </c>
      <c r="S116">
        <v>0.06153846153846153</v>
      </c>
      <c r="T116">
        <v>18</v>
      </c>
      <c r="U116">
        <v>1.693888888888889</v>
      </c>
      <c r="W116">
        <v>1.3</v>
      </c>
      <c r="X116">
        <v>0.08</v>
      </c>
      <c r="Y116">
        <v>1.540833</v>
      </c>
      <c r="Z116">
        <v>0.01155115511551155</v>
      </c>
      <c r="AA116">
        <v>0.9951845906902086</v>
      </c>
      <c r="AB116">
        <v>0.6597110754414125</v>
      </c>
      <c r="AC116">
        <v>0.08186195826645265</v>
      </c>
      <c r="AD116">
        <v>0.05457463884430177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81.12</v>
      </c>
      <c r="D117">
        <v>10543.32864</v>
      </c>
      <c r="E117" t="s">
        <v>663</v>
      </c>
      <c r="F117" t="s">
        <v>632</v>
      </c>
      <c r="G117" t="s">
        <v>671</v>
      </c>
      <c r="H117" t="s">
        <v>700</v>
      </c>
      <c r="I117" t="s">
        <v>819</v>
      </c>
      <c r="J117" t="s">
        <v>1322</v>
      </c>
      <c r="K117">
        <v>44039</v>
      </c>
      <c r="L117">
        <v>0.017628205128205</v>
      </c>
      <c r="M117">
        <v>-0.1034098090782873</v>
      </c>
      <c r="N117">
        <v>0.05</v>
      </c>
      <c r="O117">
        <v>-0.03368860367453175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1.725957446808511</v>
      </c>
      <c r="V117">
        <v>2.3541</v>
      </c>
      <c r="W117">
        <v>2.95</v>
      </c>
      <c r="X117">
        <v>1.43</v>
      </c>
      <c r="Y117">
        <v>0.183715</v>
      </c>
      <c r="Z117">
        <v>0.2062706270627063</v>
      </c>
      <c r="AA117">
        <v>0.8346709470304975</v>
      </c>
      <c r="AB117">
        <v>0.5296950240770465</v>
      </c>
      <c r="AC117">
        <v>0.07544141252006421</v>
      </c>
      <c r="AD117">
        <v>0.04975922953451043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112.28</v>
      </c>
      <c r="D118">
        <v>1946632.044</v>
      </c>
      <c r="E118" t="s">
        <v>660</v>
      </c>
      <c r="F118" t="s">
        <v>632</v>
      </c>
      <c r="G118" t="s">
        <v>671</v>
      </c>
      <c r="H118" t="s">
        <v>701</v>
      </c>
      <c r="I118" t="s">
        <v>820</v>
      </c>
      <c r="J118" t="s">
        <v>1320</v>
      </c>
      <c r="K118">
        <v>44049</v>
      </c>
      <c r="L118">
        <v>0.006969184182401</v>
      </c>
      <c r="M118">
        <v>-0.1330140548669886</v>
      </c>
      <c r="N118">
        <v>0.09</v>
      </c>
      <c r="O118">
        <v>-0.04333903274196682</v>
      </c>
      <c r="P118" t="s">
        <v>636</v>
      </c>
      <c r="Q118" t="s">
        <v>446</v>
      </c>
      <c r="R118">
        <v>8</v>
      </c>
      <c r="S118">
        <v>0.2407692307692308</v>
      </c>
      <c r="T118">
        <v>55</v>
      </c>
      <c r="U118">
        <v>2.041454545454545</v>
      </c>
      <c r="V118">
        <v>3.3183</v>
      </c>
      <c r="W118">
        <v>3.25</v>
      </c>
      <c r="X118">
        <v>0.7825000000000001</v>
      </c>
      <c r="Y118">
        <v>1.042476</v>
      </c>
      <c r="Z118">
        <v>0.0396039603960396</v>
      </c>
      <c r="AA118">
        <v>0.9935794542536115</v>
      </c>
      <c r="AB118">
        <v>0.8780096308186195</v>
      </c>
      <c r="AC118">
        <v>0.02728731942215088</v>
      </c>
      <c r="AD118">
        <v>0.03691813804173355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112.1</v>
      </c>
      <c r="D119">
        <v>7227.51298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1318</v>
      </c>
      <c r="K119">
        <v>44063</v>
      </c>
      <c r="L119">
        <v>0.012845673505798</v>
      </c>
      <c r="M119">
        <v>-0.09781866463744548</v>
      </c>
      <c r="N119">
        <v>0.04</v>
      </c>
      <c r="O119">
        <v>-0.04426229011116078</v>
      </c>
      <c r="P119" t="s">
        <v>636</v>
      </c>
      <c r="Q119" t="s">
        <v>446</v>
      </c>
      <c r="R119">
        <v>26</v>
      </c>
      <c r="S119">
        <v>0.4285714285714285</v>
      </c>
      <c r="T119">
        <v>67</v>
      </c>
      <c r="U119">
        <v>1.673134328358209</v>
      </c>
      <c r="V119">
        <v>3.1612</v>
      </c>
      <c r="W119">
        <v>3.36</v>
      </c>
      <c r="X119">
        <v>1.44</v>
      </c>
      <c r="Y119">
        <v>-0.057349</v>
      </c>
      <c r="Z119">
        <v>0.1204620462046205</v>
      </c>
      <c r="AA119">
        <v>0.6115569823434992</v>
      </c>
      <c r="AB119">
        <v>0.4012841091492777</v>
      </c>
      <c r="AC119">
        <v>0.08346709470304976</v>
      </c>
      <c r="AD119">
        <v>0.03370786516853932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327.17</v>
      </c>
      <c r="D120">
        <v>34531.81199</v>
      </c>
      <c r="E120" t="s">
        <v>666</v>
      </c>
      <c r="F120" t="s">
        <v>632</v>
      </c>
      <c r="G120" t="s">
        <v>671</v>
      </c>
      <c r="H120" t="s">
        <v>701</v>
      </c>
      <c r="I120" t="s">
        <v>822</v>
      </c>
      <c r="J120" t="s">
        <v>1319</v>
      </c>
      <c r="K120">
        <v>44035</v>
      </c>
      <c r="L120">
        <v>0.007794113152183001</v>
      </c>
      <c r="M120">
        <v>-0.1166194380043374</v>
      </c>
      <c r="N120">
        <v>0.06</v>
      </c>
      <c r="O120">
        <v>-0.05037321993837196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1.858920454545455</v>
      </c>
      <c r="V120">
        <v>8.8354</v>
      </c>
      <c r="W120">
        <v>7.25</v>
      </c>
      <c r="X120">
        <v>2.55</v>
      </c>
      <c r="Y120">
        <v>0.220692</v>
      </c>
      <c r="Z120">
        <v>0.05280528052805281</v>
      </c>
      <c r="AA120">
        <v>0.8667736757624398</v>
      </c>
      <c r="AB120">
        <v>0.6597110754414125</v>
      </c>
      <c r="AC120">
        <v>0.04012841091492777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82.73</v>
      </c>
      <c r="D121">
        <v>3718.928598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0.011241387646561</v>
      </c>
      <c r="M121">
        <v>-0.1031586110385783</v>
      </c>
      <c r="N121">
        <v>0.03</v>
      </c>
      <c r="O121">
        <v>-0.05869287912228849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1.723541666666667</v>
      </c>
      <c r="V121">
        <v>2.5976</v>
      </c>
      <c r="W121">
        <v>2.8</v>
      </c>
      <c r="X121">
        <v>0.93</v>
      </c>
      <c r="Y121">
        <v>-0.118111</v>
      </c>
      <c r="Z121">
        <v>0.09900990099009901</v>
      </c>
      <c r="AA121">
        <v>0.5393258426966292</v>
      </c>
      <c r="AB121">
        <v>0.2680577849117175</v>
      </c>
      <c r="AC121">
        <v>0.07704654895666133</v>
      </c>
      <c r="AD121">
        <v>0.02407704654895666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269.51</v>
      </c>
      <c r="D122">
        <v>19900.807057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0.002374679974769</v>
      </c>
      <c r="M122">
        <v>-0.1934290266965442</v>
      </c>
      <c r="N122">
        <v>0.09</v>
      </c>
      <c r="O122">
        <v>-0.1158586386363922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2.92945652173913</v>
      </c>
      <c r="V122">
        <v>3.8643</v>
      </c>
      <c r="W122">
        <v>4.2</v>
      </c>
      <c r="X122">
        <v>0.64</v>
      </c>
      <c r="Y122">
        <v>0.8832369999999999</v>
      </c>
      <c r="Z122">
        <v>0.009900990099009901</v>
      </c>
      <c r="AA122">
        <v>0.9919743178170144</v>
      </c>
      <c r="AB122">
        <v>0.8780096308186195</v>
      </c>
      <c r="AC122">
        <v>0.008025682182985555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24.32</v>
      </c>
      <c r="D123">
        <v>2418.925082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0.135773026315789</v>
      </c>
      <c r="M123">
        <v>0.08160275804573192</v>
      </c>
      <c r="N123">
        <v>0.015</v>
      </c>
      <c r="O123">
        <v>0.1784858907666074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0.6755555555555556</v>
      </c>
      <c r="V123">
        <v>1.2079</v>
      </c>
      <c r="W123">
        <v>8</v>
      </c>
      <c r="X123">
        <v>3.302</v>
      </c>
      <c r="Y123">
        <v>-0.217755</v>
      </c>
      <c r="Z123">
        <v>0.9405940594059407</v>
      </c>
      <c r="AA123">
        <v>0.3964686998394863</v>
      </c>
      <c r="AB123">
        <v>0.1163723916532905</v>
      </c>
      <c r="AC123">
        <v>0.9309791332263242</v>
      </c>
      <c r="AD123">
        <v>0.9534510433386838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15.51</v>
      </c>
      <c r="D124">
        <v>33903.309</v>
      </c>
      <c r="E124" t="s">
        <v>669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44075</v>
      </c>
      <c r="L124">
        <v>0.11428110896196</v>
      </c>
      <c r="M124">
        <v>0.06248179983960256</v>
      </c>
      <c r="N124">
        <v>0.037</v>
      </c>
      <c r="O124">
        <v>0.1749686572447173</v>
      </c>
      <c r="P124" t="s">
        <v>637</v>
      </c>
      <c r="Q124" t="s">
        <v>636</v>
      </c>
      <c r="R124">
        <v>21</v>
      </c>
      <c r="S124">
        <v>0.5908333333333333</v>
      </c>
      <c r="T124">
        <v>21</v>
      </c>
      <c r="U124">
        <v>0.7385714285714285</v>
      </c>
      <c r="V124">
        <v>2.0431</v>
      </c>
      <c r="W124">
        <v>3</v>
      </c>
      <c r="X124">
        <v>1.7725</v>
      </c>
      <c r="Y124">
        <v>-0.455216</v>
      </c>
      <c r="Z124">
        <v>0.905940594059406</v>
      </c>
      <c r="AA124">
        <v>0.1364365971107544</v>
      </c>
      <c r="AB124">
        <v>0.3483146067415731</v>
      </c>
      <c r="AC124">
        <v>0.8764044943820225</v>
      </c>
      <c r="AD124">
        <v>0.9518459069020867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49.67</v>
      </c>
      <c r="D125">
        <v>4602.447035</v>
      </c>
      <c r="E125" t="s">
        <v>661</v>
      </c>
      <c r="F125" t="s">
        <v>632</v>
      </c>
      <c r="G125" t="s">
        <v>671</v>
      </c>
      <c r="H125" t="s">
        <v>700</v>
      </c>
      <c r="I125" t="s">
        <v>827</v>
      </c>
      <c r="J125" t="s">
        <v>1313</v>
      </c>
      <c r="K125">
        <v>44057</v>
      </c>
      <c r="L125">
        <v>0.036037849808737</v>
      </c>
      <c r="M125">
        <v>0.0829976442589353</v>
      </c>
      <c r="N125">
        <v>0.06</v>
      </c>
      <c r="O125">
        <v>0.1726290281321572</v>
      </c>
      <c r="P125" t="s">
        <v>637</v>
      </c>
      <c r="Q125" t="s">
        <v>637</v>
      </c>
      <c r="R125">
        <v>16</v>
      </c>
      <c r="S125">
        <v>0.358</v>
      </c>
      <c r="T125">
        <v>74</v>
      </c>
      <c r="U125">
        <v>0.6712162162162162</v>
      </c>
      <c r="V125">
        <v>4.995200000000001</v>
      </c>
      <c r="W125">
        <v>5</v>
      </c>
      <c r="X125">
        <v>1.79</v>
      </c>
      <c r="Y125">
        <v>-0.293457</v>
      </c>
      <c r="Z125">
        <v>0.4966996699669967</v>
      </c>
      <c r="AA125">
        <v>0.3226324237560192</v>
      </c>
      <c r="AB125">
        <v>0.6597110754414125</v>
      </c>
      <c r="AC125">
        <v>0.9325842696629213</v>
      </c>
      <c r="AD125">
        <v>0.9438202247191012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91.3</v>
      </c>
      <c r="D126">
        <v>11713.587862</v>
      </c>
      <c r="E126" t="s">
        <v>663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0.04709748083242001</v>
      </c>
      <c r="M126">
        <v>0.07814251631688518</v>
      </c>
      <c r="N126">
        <v>0.057</v>
      </c>
      <c r="O126">
        <v>0.1694288209446324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0.6864661654135338</v>
      </c>
      <c r="V126">
        <v>10.7419</v>
      </c>
      <c r="W126">
        <v>8.48</v>
      </c>
      <c r="X126">
        <v>4.3</v>
      </c>
      <c r="Y126">
        <v>-0.418064</v>
      </c>
      <c r="Z126">
        <v>0.6237623762376238</v>
      </c>
      <c r="AA126">
        <v>0.1685393258426967</v>
      </c>
      <c r="AB126">
        <v>0.6107544141252006</v>
      </c>
      <c r="AC126">
        <v>0.9245585874799357</v>
      </c>
      <c r="AD126">
        <v>0.9406099518459069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141.22</v>
      </c>
      <c r="D127">
        <v>5718.308484</v>
      </c>
      <c r="E127" t="s">
        <v>667</v>
      </c>
      <c r="F127" t="s">
        <v>632</v>
      </c>
      <c r="G127" t="s">
        <v>671</v>
      </c>
      <c r="H127" t="s">
        <v>700</v>
      </c>
      <c r="I127" t="s">
        <v>829</v>
      </c>
      <c r="J127" t="s">
        <v>1319</v>
      </c>
      <c r="K127">
        <v>44063</v>
      </c>
      <c r="L127">
        <v>0.027970542416088</v>
      </c>
      <c r="M127">
        <v>0.08971443871845586</v>
      </c>
      <c r="N127">
        <v>0.05</v>
      </c>
      <c r="O127">
        <v>0.1674555807600657</v>
      </c>
      <c r="P127" t="s">
        <v>637</v>
      </c>
      <c r="Q127" t="s">
        <v>637</v>
      </c>
      <c r="R127">
        <v>8</v>
      </c>
      <c r="S127">
        <v>0.2726017943409248</v>
      </c>
      <c r="T127">
        <v>217</v>
      </c>
      <c r="U127">
        <v>0.6507834101382488</v>
      </c>
      <c r="V127">
        <v>12.9181</v>
      </c>
      <c r="W127">
        <v>14.49</v>
      </c>
      <c r="X127">
        <v>3.95</v>
      </c>
      <c r="Y127">
        <v>-0.340894</v>
      </c>
      <c r="Z127">
        <v>0.3811881188118811</v>
      </c>
      <c r="AA127">
        <v>0.2728731942215089</v>
      </c>
      <c r="AB127">
        <v>0.5296950240770465</v>
      </c>
      <c r="AC127">
        <v>0.9406099518459069</v>
      </c>
      <c r="AD127">
        <v>0.9325842696629213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9.93</v>
      </c>
      <c r="D128">
        <v>4218.03561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0.07175226586102701</v>
      </c>
      <c r="M128">
        <v>0.07111415202707905</v>
      </c>
      <c r="N128">
        <v>0.04</v>
      </c>
      <c r="O128">
        <v>0.159169042114871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0.7092857142857143</v>
      </c>
      <c r="V128">
        <v>1.1495</v>
      </c>
      <c r="W128">
        <v>1.1</v>
      </c>
      <c r="X128">
        <v>0.7125</v>
      </c>
      <c r="Y128">
        <v>-0.367113</v>
      </c>
      <c r="Z128">
        <v>0.8085808580858085</v>
      </c>
      <c r="AA128">
        <v>0.2359550561797753</v>
      </c>
      <c r="AB128">
        <v>0.4012841091492777</v>
      </c>
      <c r="AC128">
        <v>0.9085072231139647</v>
      </c>
      <c r="AD128">
        <v>0.9165329052969503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28.04</v>
      </c>
      <c r="D129">
        <v>199785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0.07382310984308101</v>
      </c>
      <c r="M129">
        <v>0.06821167321357402</v>
      </c>
      <c r="N129">
        <v>0.03</v>
      </c>
      <c r="O129">
        <v>0.1492073022282352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0.7189743589743589</v>
      </c>
      <c r="V129">
        <v>1.6454</v>
      </c>
      <c r="W129">
        <v>3.25</v>
      </c>
      <c r="X129">
        <v>2.07</v>
      </c>
      <c r="Y129">
        <v>-0.249866</v>
      </c>
      <c r="Z129">
        <v>0.8201320132013201</v>
      </c>
      <c r="AA129">
        <v>0.3675762439807383</v>
      </c>
      <c r="AB129">
        <v>0.2680577849117175</v>
      </c>
      <c r="AC129">
        <v>0.897271268057785</v>
      </c>
      <c r="AD129">
        <v>0.897271268057785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73.13</v>
      </c>
      <c r="D130">
        <v>5585.919285</v>
      </c>
      <c r="E130" t="s">
        <v>669</v>
      </c>
      <c r="F130" t="s">
        <v>634</v>
      </c>
      <c r="G130" t="s">
        <v>671</v>
      </c>
      <c r="H130" t="s">
        <v>700</v>
      </c>
      <c r="I130" t="s">
        <v>832</v>
      </c>
      <c r="J130" t="s">
        <v>1323</v>
      </c>
      <c r="K130">
        <v>43978</v>
      </c>
      <c r="L130">
        <v>0.057431970463558</v>
      </c>
      <c r="M130">
        <v>0.03295303392180227</v>
      </c>
      <c r="N130">
        <v>0.06900000000000001</v>
      </c>
      <c r="O130">
        <v>0.1453410723852302</v>
      </c>
      <c r="P130" t="s">
        <v>637</v>
      </c>
      <c r="Q130" t="s">
        <v>636</v>
      </c>
      <c r="R130">
        <v>51</v>
      </c>
      <c r="S130">
        <v>0.7329842931937173</v>
      </c>
      <c r="T130">
        <v>86</v>
      </c>
      <c r="U130">
        <v>0.8503488372093023</v>
      </c>
      <c r="V130">
        <v>3.5766</v>
      </c>
      <c r="W130">
        <v>5.73</v>
      </c>
      <c r="X130">
        <v>4.2</v>
      </c>
      <c r="Y130">
        <v>-0.462793</v>
      </c>
      <c r="Z130">
        <v>0.7194719471947195</v>
      </c>
      <c r="AA130">
        <v>0.130016051364366</v>
      </c>
      <c r="AB130">
        <v>0.7191011235955057</v>
      </c>
      <c r="AC130">
        <v>0.7287319422150883</v>
      </c>
      <c r="AD130">
        <v>0.884430176565008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57.32</v>
      </c>
      <c r="D131">
        <v>75014.68399999999</v>
      </c>
      <c r="E131" t="s">
        <v>663</v>
      </c>
      <c r="F131" t="s">
        <v>632</v>
      </c>
      <c r="G131" t="s">
        <v>671</v>
      </c>
      <c r="H131" t="s">
        <v>700</v>
      </c>
      <c r="I131" t="s">
        <v>833</v>
      </c>
      <c r="J131" t="s">
        <v>1315</v>
      </c>
      <c r="K131">
        <v>44048</v>
      </c>
      <c r="L131">
        <v>0.034891835310537</v>
      </c>
      <c r="M131">
        <v>0.06626261389491472</v>
      </c>
      <c r="N131">
        <v>0.05</v>
      </c>
      <c r="O131">
        <v>0.1442203876159691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0.7255696202531645</v>
      </c>
      <c r="V131">
        <v>6.3238</v>
      </c>
      <c r="W131">
        <v>7.21</v>
      </c>
      <c r="X131">
        <v>2</v>
      </c>
      <c r="Y131">
        <v>-0.069329</v>
      </c>
      <c r="Z131">
        <v>0.4801980198019802</v>
      </c>
      <c r="AA131">
        <v>0.5922953451043339</v>
      </c>
      <c r="AB131">
        <v>0.5296950240770465</v>
      </c>
      <c r="AC131">
        <v>0.8908507223113965</v>
      </c>
      <c r="AD131">
        <v>0.8796147672552166</v>
      </c>
    </row>
    <row r="132" spans="1:30">
      <c r="A132" s="1" t="s">
        <v>139</v>
      </c>
      <c r="B132">
        <f>HYPERLINK("https://www.suredividend.com/sure-analysis-OZK/","Bank OZK")</f>
        <v>0</v>
      </c>
      <c r="C132">
        <v>20.87</v>
      </c>
      <c r="D132">
        <v>2683.90287</v>
      </c>
      <c r="E132" t="s">
        <v>660</v>
      </c>
      <c r="F132" t="s">
        <v>632</v>
      </c>
      <c r="G132" t="s">
        <v>671</v>
      </c>
      <c r="H132" t="s">
        <v>701</v>
      </c>
      <c r="I132" t="s">
        <v>834</v>
      </c>
      <c r="J132" t="s">
        <v>1313</v>
      </c>
      <c r="K132">
        <v>44042</v>
      </c>
      <c r="L132">
        <v>0.048873981792045</v>
      </c>
      <c r="M132">
        <v>0.07527552612821298</v>
      </c>
      <c r="N132">
        <v>0.03</v>
      </c>
      <c r="O132">
        <v>0.1427942280227528</v>
      </c>
      <c r="P132" t="s">
        <v>637</v>
      </c>
      <c r="Q132" t="s">
        <v>637</v>
      </c>
      <c r="R132">
        <v>24</v>
      </c>
      <c r="S132">
        <v>0.68</v>
      </c>
      <c r="T132">
        <v>30</v>
      </c>
      <c r="U132">
        <v>0.6956666666666667</v>
      </c>
      <c r="V132">
        <v>2.0679</v>
      </c>
      <c r="W132">
        <v>1.5</v>
      </c>
      <c r="X132">
        <v>1.02</v>
      </c>
      <c r="Y132">
        <v>-0.232438</v>
      </c>
      <c r="Z132">
        <v>0.641914191419142</v>
      </c>
      <c r="AA132">
        <v>0.3804173354735153</v>
      </c>
      <c r="AB132">
        <v>0.2680577849117175</v>
      </c>
      <c r="AC132">
        <v>0.9197431781701445</v>
      </c>
      <c r="AD132">
        <v>0.8715890850722312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31.67</v>
      </c>
      <c r="D133">
        <v>1773.632745</v>
      </c>
      <c r="E133" t="s">
        <v>664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44090</v>
      </c>
      <c r="L133">
        <v>0.04302178718029601</v>
      </c>
      <c r="M133">
        <v>0.06307542429963409</v>
      </c>
      <c r="N133">
        <v>0.045</v>
      </c>
      <c r="O133">
        <v>0.1403917460741615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0.7365116279069768</v>
      </c>
      <c r="V133">
        <v>-1.1098</v>
      </c>
      <c r="W133">
        <v>2.1</v>
      </c>
      <c r="X133">
        <v>1.3625</v>
      </c>
      <c r="Y133">
        <v>-0.278588</v>
      </c>
      <c r="Z133">
        <v>0.5924092409240924</v>
      </c>
      <c r="AA133">
        <v>0.3418940609951846</v>
      </c>
      <c r="AB133">
        <v>0.4542536115569824</v>
      </c>
      <c r="AC133">
        <v>0.8780096308186195</v>
      </c>
      <c r="AD133">
        <v>0.8587479935794542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38.27</v>
      </c>
      <c r="D134">
        <v>71120.96799999999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44090</v>
      </c>
      <c r="L134">
        <v>0.087797230206428</v>
      </c>
      <c r="M134">
        <v>0.04195239952976504</v>
      </c>
      <c r="N134">
        <v>0.03</v>
      </c>
      <c r="O134">
        <v>0.1382391733066117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0.8142553191489362</v>
      </c>
      <c r="V134">
        <v>-0.4941</v>
      </c>
      <c r="W134">
        <v>4.31</v>
      </c>
      <c r="X134">
        <v>3.36</v>
      </c>
      <c r="Y134">
        <v>-0.05878000000000001</v>
      </c>
      <c r="Z134">
        <v>0.8646864686468646</v>
      </c>
      <c r="AA134">
        <v>0.6099518459069021</v>
      </c>
      <c r="AB134">
        <v>0.2680577849117175</v>
      </c>
      <c r="AC134">
        <v>0.7897271268057784</v>
      </c>
      <c r="AD134">
        <v>0.8491171749598716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15.69</v>
      </c>
      <c r="D135">
        <v>61656.93024</v>
      </c>
      <c r="E135" t="s">
        <v>664</v>
      </c>
      <c r="F135" t="s">
        <v>632</v>
      </c>
      <c r="G135" t="s">
        <v>675</v>
      </c>
      <c r="H135" t="s">
        <v>702</v>
      </c>
      <c r="I135" t="s">
        <v>837</v>
      </c>
      <c r="J135" t="s">
        <v>1315</v>
      </c>
      <c r="K135">
        <v>44047</v>
      </c>
      <c r="L135">
        <v>0.048604206500956</v>
      </c>
      <c r="M135">
        <v>0.0600327185409677</v>
      </c>
      <c r="N135">
        <v>0.035</v>
      </c>
      <c r="O135">
        <v>0.1334433335392402</v>
      </c>
      <c r="P135" t="s">
        <v>637</v>
      </c>
      <c r="Q135" t="s">
        <v>636</v>
      </c>
      <c r="R135">
        <v>0</v>
      </c>
      <c r="S135">
        <v>0.3910769230769231</v>
      </c>
      <c r="T135">
        <v>21</v>
      </c>
      <c r="U135">
        <v>0.7471428571428571</v>
      </c>
      <c r="V135">
        <v>-1.5667</v>
      </c>
      <c r="W135">
        <v>1.95</v>
      </c>
      <c r="X135">
        <v>0.7626000000000001</v>
      </c>
      <c r="Y135">
        <v>-0.11456</v>
      </c>
      <c r="Z135">
        <v>0.6386138613861386</v>
      </c>
      <c r="AA135">
        <v>0.5425361155698234</v>
      </c>
      <c r="AB135">
        <v>0.3362760834670947</v>
      </c>
      <c r="AC135">
        <v>0.8635634028892456</v>
      </c>
      <c r="AD135">
        <v>0.8282504012841092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38.45</v>
      </c>
      <c r="D136">
        <v>162775.3835</v>
      </c>
      <c r="E136" t="s">
        <v>663</v>
      </c>
      <c r="F136" t="s">
        <v>632</v>
      </c>
      <c r="G136" t="s">
        <v>671</v>
      </c>
      <c r="H136" t="s">
        <v>701</v>
      </c>
      <c r="I136" t="s">
        <v>838</v>
      </c>
      <c r="J136" t="s">
        <v>1320</v>
      </c>
      <c r="K136">
        <v>44056</v>
      </c>
      <c r="L136">
        <v>0.036931079323797</v>
      </c>
      <c r="M136">
        <v>0.04097500747113969</v>
      </c>
      <c r="N136">
        <v>0.06</v>
      </c>
      <c r="O136">
        <v>0.1321219648282677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0.8180851063829788</v>
      </c>
      <c r="V136">
        <v>2.6478</v>
      </c>
      <c r="W136">
        <v>3.15</v>
      </c>
      <c r="X136">
        <v>1.42</v>
      </c>
      <c r="Y136">
        <v>-0.212574</v>
      </c>
      <c r="Z136">
        <v>0.5099009900990099</v>
      </c>
      <c r="AA136">
        <v>0.404494382022472</v>
      </c>
      <c r="AB136">
        <v>0.6597110754414125</v>
      </c>
      <c r="AC136">
        <v>0.7800963081861958</v>
      </c>
      <c r="AD136">
        <v>0.8250401284109149</v>
      </c>
    </row>
    <row r="137" spans="1:30">
      <c r="A137" s="1" t="s">
        <v>144</v>
      </c>
      <c r="B137">
        <f>HYPERLINK("https://www.suredividend.com/sure-analysis-CFR/","Cullen/Frost Bankers, Inc.")</f>
        <v>0</v>
      </c>
      <c r="C137">
        <v>62.68</v>
      </c>
      <c r="D137">
        <v>3930.092412</v>
      </c>
      <c r="E137" t="s">
        <v>660</v>
      </c>
      <c r="F137" t="s">
        <v>632</v>
      </c>
      <c r="G137" t="s">
        <v>671</v>
      </c>
      <c r="H137" t="s">
        <v>700</v>
      </c>
      <c r="I137" t="s">
        <v>839</v>
      </c>
      <c r="J137" t="s">
        <v>1313</v>
      </c>
      <c r="K137">
        <v>44049</v>
      </c>
      <c r="L137">
        <v>0.045309508615188</v>
      </c>
      <c r="M137">
        <v>0.04470367628385996</v>
      </c>
      <c r="N137">
        <v>0.05</v>
      </c>
      <c r="O137">
        <v>0.1310362560252967</v>
      </c>
      <c r="P137" t="s">
        <v>637</v>
      </c>
      <c r="Q137" t="s">
        <v>636</v>
      </c>
      <c r="R137">
        <v>26</v>
      </c>
      <c r="S137">
        <v>0.6042553191489362</v>
      </c>
      <c r="T137">
        <v>78</v>
      </c>
      <c r="U137">
        <v>0.8035897435897436</v>
      </c>
      <c r="V137">
        <v>5.57</v>
      </c>
      <c r="W137">
        <v>4.7</v>
      </c>
      <c r="X137">
        <v>2.84</v>
      </c>
      <c r="Y137">
        <v>-0.288859</v>
      </c>
      <c r="Z137">
        <v>0.6039603960396039</v>
      </c>
      <c r="AA137">
        <v>0.3322632423756019</v>
      </c>
      <c r="AB137">
        <v>0.5296950240770465</v>
      </c>
      <c r="AC137">
        <v>0.8065810593900481</v>
      </c>
      <c r="AD137">
        <v>0.8170144462279293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117.61</v>
      </c>
      <c r="D138">
        <v>34019.8686</v>
      </c>
      <c r="E138" t="s">
        <v>661</v>
      </c>
      <c r="F138" t="s">
        <v>632</v>
      </c>
      <c r="G138" t="s">
        <v>671</v>
      </c>
      <c r="H138" t="s">
        <v>700</v>
      </c>
      <c r="I138" t="s">
        <v>840</v>
      </c>
      <c r="J138" t="s">
        <v>1316</v>
      </c>
      <c r="K138">
        <v>44061</v>
      </c>
      <c r="L138">
        <v>0.034223280333304</v>
      </c>
      <c r="M138">
        <v>0.04131865421198633</v>
      </c>
      <c r="N138">
        <v>0.06</v>
      </c>
      <c r="O138">
        <v>0.1310223292901238</v>
      </c>
      <c r="P138" t="s">
        <v>637</v>
      </c>
      <c r="Q138" t="s">
        <v>637</v>
      </c>
      <c r="R138">
        <v>10</v>
      </c>
      <c r="S138">
        <v>0.5296052631578948</v>
      </c>
      <c r="T138">
        <v>144</v>
      </c>
      <c r="U138">
        <v>0.8167361111111111</v>
      </c>
      <c r="V138">
        <v>14.7374</v>
      </c>
      <c r="W138">
        <v>7.6</v>
      </c>
      <c r="X138">
        <v>4.025</v>
      </c>
      <c r="Y138">
        <v>-0.187383</v>
      </c>
      <c r="Z138">
        <v>0.4686468646864687</v>
      </c>
      <c r="AA138">
        <v>0.4462279293739968</v>
      </c>
      <c r="AB138">
        <v>0.6597110754414125</v>
      </c>
      <c r="AC138">
        <v>0.7849117174959872</v>
      </c>
      <c r="AD138">
        <v>0.8154093097913322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62.25</v>
      </c>
      <c r="D139">
        <v>78044.07000000001</v>
      </c>
      <c r="E139" t="s">
        <v>664</v>
      </c>
      <c r="F139" t="s">
        <v>632</v>
      </c>
      <c r="G139" t="s">
        <v>671</v>
      </c>
      <c r="H139" t="s">
        <v>701</v>
      </c>
      <c r="I139" t="s">
        <v>841</v>
      </c>
      <c r="J139" t="s">
        <v>1315</v>
      </c>
      <c r="K139">
        <v>44047</v>
      </c>
      <c r="L139">
        <v>0.042088353413654</v>
      </c>
      <c r="M139">
        <v>0.04072226843606153</v>
      </c>
      <c r="N139">
        <v>0.05</v>
      </c>
      <c r="O139">
        <v>0.1280804602317094</v>
      </c>
      <c r="P139" t="s">
        <v>637</v>
      </c>
      <c r="Q139" t="s">
        <v>636</v>
      </c>
      <c r="R139">
        <v>5</v>
      </c>
      <c r="S139">
        <v>0.3769784172661871</v>
      </c>
      <c r="T139">
        <v>76</v>
      </c>
      <c r="U139">
        <v>0.819078947368421</v>
      </c>
      <c r="V139">
        <v>-0.2215</v>
      </c>
      <c r="W139">
        <v>6.95</v>
      </c>
      <c r="X139">
        <v>2.62</v>
      </c>
      <c r="Y139">
        <v>-0.016588</v>
      </c>
      <c r="Z139">
        <v>0.5792079207920792</v>
      </c>
      <c r="AA139">
        <v>0.666131621187801</v>
      </c>
      <c r="AB139">
        <v>0.5296950240770465</v>
      </c>
      <c r="AC139">
        <v>0.7784911717495987</v>
      </c>
      <c r="AD139">
        <v>0.8041733547351525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40.28</v>
      </c>
      <c r="D140">
        <v>23554.09252</v>
      </c>
      <c r="E140" t="s">
        <v>664</v>
      </c>
      <c r="F140" t="s">
        <v>632</v>
      </c>
      <c r="G140" t="s">
        <v>673</v>
      </c>
      <c r="H140" t="s">
        <v>700</v>
      </c>
      <c r="I140" t="s">
        <v>842</v>
      </c>
      <c r="J140" t="s">
        <v>1313</v>
      </c>
      <c r="K140">
        <v>44062</v>
      </c>
      <c r="L140">
        <v>0.040220900743273</v>
      </c>
      <c r="M140">
        <v>0.01782389623063141</v>
      </c>
      <c r="N140">
        <v>0.07000000000000001</v>
      </c>
      <c r="O140">
        <v>0.1229440687318755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0.9154545454545455</v>
      </c>
      <c r="V140">
        <v>2.9359</v>
      </c>
      <c r="W140">
        <v>4</v>
      </c>
      <c r="X140">
        <v>1.62009788193907</v>
      </c>
      <c r="Y140">
        <v>-0.08971799999999999</v>
      </c>
      <c r="Z140">
        <v>0.5577557755775577</v>
      </c>
      <c r="AA140">
        <v>0.5730337078651685</v>
      </c>
      <c r="AB140">
        <v>0.7504012841091493</v>
      </c>
      <c r="AC140">
        <v>0.651685393258427</v>
      </c>
      <c r="AD140">
        <v>0.7849117174959872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12.1</v>
      </c>
      <c r="D141">
        <v>27419.8705</v>
      </c>
      <c r="E141" t="s">
        <v>661</v>
      </c>
      <c r="F141" t="s">
        <v>632</v>
      </c>
      <c r="G141" t="s">
        <v>678</v>
      </c>
      <c r="H141" t="s">
        <v>700</v>
      </c>
      <c r="I141" t="s">
        <v>843</v>
      </c>
      <c r="J141" t="s">
        <v>1314</v>
      </c>
      <c r="K141">
        <v>44060</v>
      </c>
      <c r="L141">
        <v>0.028553719008264</v>
      </c>
      <c r="M141">
        <v>-0.03740649734383228</v>
      </c>
      <c r="N141">
        <v>0.14</v>
      </c>
      <c r="O141">
        <v>0.1218495484249378</v>
      </c>
      <c r="P141" t="s">
        <v>637</v>
      </c>
      <c r="Q141" t="s">
        <v>372</v>
      </c>
      <c r="R141">
        <v>3</v>
      </c>
      <c r="S141">
        <v>0.4606666666666667</v>
      </c>
      <c r="T141">
        <v>10</v>
      </c>
      <c r="U141">
        <v>1.21</v>
      </c>
      <c r="V141">
        <v>0.3535</v>
      </c>
      <c r="W141">
        <v>0.75</v>
      </c>
      <c r="X141">
        <v>0.3455</v>
      </c>
      <c r="Y141">
        <v>-0.183536</v>
      </c>
      <c r="Z141">
        <v>0.3894389438943894</v>
      </c>
      <c r="AA141">
        <v>0.4526484751203852</v>
      </c>
      <c r="AB141">
        <v>0.9703049759229535</v>
      </c>
      <c r="AC141">
        <v>0.3402889245585874</v>
      </c>
      <c r="AD141">
        <v>0.781701444622793</v>
      </c>
    </row>
    <row r="142" spans="1:30">
      <c r="A142" s="1" t="s">
        <v>149</v>
      </c>
      <c r="B142">
        <f>HYPERLINK("https://www.suredividend.com/sure-analysis-RTX/","Raytheon Technologies Corp.")</f>
        <v>0</v>
      </c>
      <c r="C142">
        <v>57.49</v>
      </c>
      <c r="D142">
        <v>87825.1734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1319</v>
      </c>
      <c r="K142">
        <v>44042</v>
      </c>
      <c r="L142">
        <v>0.04661680292224701</v>
      </c>
      <c r="M142">
        <v>0.02168621340568455</v>
      </c>
      <c r="N142">
        <v>0.07000000000000001</v>
      </c>
      <c r="O142">
        <v>0.1202744570713397</v>
      </c>
      <c r="P142" t="s">
        <v>637</v>
      </c>
      <c r="Q142" t="s">
        <v>637</v>
      </c>
      <c r="R142">
        <v>26</v>
      </c>
      <c r="S142">
        <v>0.67</v>
      </c>
      <c r="T142">
        <v>64</v>
      </c>
      <c r="U142">
        <v>0.89828125</v>
      </c>
      <c r="V142">
        <v>0.0267</v>
      </c>
      <c r="W142">
        <v>4</v>
      </c>
      <c r="X142">
        <v>2.68</v>
      </c>
      <c r="Y142">
        <v>-0.291273</v>
      </c>
      <c r="Z142">
        <v>0.6204620462046205</v>
      </c>
      <c r="AA142">
        <v>0.3258426966292135</v>
      </c>
      <c r="AB142">
        <v>0.7504012841091493</v>
      </c>
      <c r="AC142">
        <v>0.6693418940609952</v>
      </c>
      <c r="AD142">
        <v>0.7720706260032102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49.94</v>
      </c>
      <c r="D143">
        <v>212394.82</v>
      </c>
      <c r="E143" t="s">
        <v>663</v>
      </c>
      <c r="F143" t="s">
        <v>632</v>
      </c>
      <c r="G143" t="s">
        <v>671</v>
      </c>
      <c r="H143" t="s">
        <v>701</v>
      </c>
      <c r="I143" t="s">
        <v>845</v>
      </c>
      <c r="J143" t="s">
        <v>1320</v>
      </c>
      <c r="K143">
        <v>44036</v>
      </c>
      <c r="L143">
        <v>0.025830997196635</v>
      </c>
      <c r="M143">
        <v>0.04755878262907487</v>
      </c>
      <c r="N143">
        <v>0.05</v>
      </c>
      <c r="O143">
        <v>0.1201010294061746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0.7926984126984127</v>
      </c>
      <c r="V143">
        <v>5.4922</v>
      </c>
      <c r="W143">
        <v>4.85</v>
      </c>
      <c r="X143">
        <v>1.29</v>
      </c>
      <c r="Y143">
        <v>-0.019246</v>
      </c>
      <c r="Z143">
        <v>0.3432343234323432</v>
      </c>
      <c r="AA143">
        <v>0.6597110754414125</v>
      </c>
      <c r="AB143">
        <v>0.5296950240770465</v>
      </c>
      <c r="AC143">
        <v>0.8186195826645265</v>
      </c>
      <c r="AD143">
        <v>0.768860353130016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61.62</v>
      </c>
      <c r="D144">
        <v>3424.861537</v>
      </c>
      <c r="E144" t="s">
        <v>665</v>
      </c>
      <c r="F144" t="s">
        <v>632</v>
      </c>
      <c r="G144" t="s">
        <v>671</v>
      </c>
      <c r="H144" t="s">
        <v>700</v>
      </c>
      <c r="I144" t="s">
        <v>846</v>
      </c>
      <c r="J144" t="s">
        <v>1319</v>
      </c>
      <c r="K144">
        <v>44049</v>
      </c>
      <c r="L144">
        <v>0.04868549172346601</v>
      </c>
      <c r="M144">
        <v>0.0198996523438717</v>
      </c>
      <c r="N144">
        <v>0.06</v>
      </c>
      <c r="O144">
        <v>0.1196136716281444</v>
      </c>
      <c r="P144" t="s">
        <v>637</v>
      </c>
      <c r="Q144" t="s">
        <v>637</v>
      </c>
      <c r="R144">
        <v>16</v>
      </c>
      <c r="S144">
        <v>0.6666666666666666</v>
      </c>
      <c r="T144">
        <v>68</v>
      </c>
      <c r="U144">
        <v>0.9061764705882352</v>
      </c>
      <c r="V144">
        <v>4.789</v>
      </c>
      <c r="W144">
        <v>4.5</v>
      </c>
      <c r="X144">
        <v>3</v>
      </c>
      <c r="Y144">
        <v>-0.131134</v>
      </c>
      <c r="Z144">
        <v>0.6402640264026402</v>
      </c>
      <c r="AA144">
        <v>0.5184590690208668</v>
      </c>
      <c r="AB144">
        <v>0.6597110754414125</v>
      </c>
      <c r="AC144">
        <v>0.6629213483146067</v>
      </c>
      <c r="AD144">
        <v>0.7672552166934189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386.7</v>
      </c>
      <c r="D145">
        <v>108098.8914</v>
      </c>
      <c r="E145" t="s">
        <v>667</v>
      </c>
      <c r="F145" t="s">
        <v>632</v>
      </c>
      <c r="G145" t="s">
        <v>671</v>
      </c>
      <c r="H145" t="s">
        <v>700</v>
      </c>
      <c r="I145" t="s">
        <v>847</v>
      </c>
      <c r="J145" t="s">
        <v>1319</v>
      </c>
      <c r="K145">
        <v>44042</v>
      </c>
      <c r="L145">
        <v>0.024308249288854</v>
      </c>
      <c r="M145">
        <v>-0.002442729669766108</v>
      </c>
      <c r="N145">
        <v>0.1</v>
      </c>
      <c r="O145">
        <v>0.1182043198357516</v>
      </c>
      <c r="P145" t="s">
        <v>637</v>
      </c>
      <c r="Q145" t="s">
        <v>372</v>
      </c>
      <c r="R145">
        <v>18</v>
      </c>
      <c r="S145">
        <v>0.393305439330544</v>
      </c>
      <c r="T145">
        <v>382</v>
      </c>
      <c r="U145">
        <v>1.012303664921466</v>
      </c>
      <c r="V145">
        <v>22.9406</v>
      </c>
      <c r="W145">
        <v>23.9</v>
      </c>
      <c r="X145">
        <v>9.4</v>
      </c>
      <c r="Y145">
        <v>-0.01583</v>
      </c>
      <c r="Z145">
        <v>0.3217821782178218</v>
      </c>
      <c r="AA145">
        <v>0.6693418940609952</v>
      </c>
      <c r="AB145">
        <v>0.9165329052969503</v>
      </c>
      <c r="AC145">
        <v>0.5457463884430177</v>
      </c>
      <c r="AD145">
        <v>0.7592295345104334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96.26000000000001</v>
      </c>
      <c r="D146">
        <v>77504.79786000001</v>
      </c>
      <c r="E146" t="s">
        <v>664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44040</v>
      </c>
      <c r="L146">
        <v>0.017868273426137</v>
      </c>
      <c r="M146">
        <v>0.03075258603043185</v>
      </c>
      <c r="N146">
        <v>0.07000000000000001</v>
      </c>
      <c r="O146">
        <v>0.1178102194195318</v>
      </c>
      <c r="P146" t="s">
        <v>637</v>
      </c>
      <c r="Q146" t="s">
        <v>372</v>
      </c>
      <c r="R146">
        <v>8</v>
      </c>
      <c r="S146">
        <v>0.344</v>
      </c>
      <c r="T146">
        <v>112</v>
      </c>
      <c r="U146">
        <v>0.8594642857142858</v>
      </c>
      <c r="V146">
        <v>4.8377</v>
      </c>
      <c r="W146">
        <v>5</v>
      </c>
      <c r="X146">
        <v>1.72</v>
      </c>
      <c r="Y146">
        <v>-0.19048</v>
      </c>
      <c r="Z146">
        <v>0.2128712871287129</v>
      </c>
      <c r="AA146">
        <v>0.4382022471910113</v>
      </c>
      <c r="AB146">
        <v>0.7504012841091493</v>
      </c>
      <c r="AC146">
        <v>0.7142857142857143</v>
      </c>
      <c r="AD146">
        <v>0.7528089887640449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51.65</v>
      </c>
      <c r="D147">
        <v>19535.11465</v>
      </c>
      <c r="E147" t="s">
        <v>669</v>
      </c>
      <c r="F147" t="s">
        <v>632</v>
      </c>
      <c r="G147" t="s">
        <v>671</v>
      </c>
      <c r="H147" t="s">
        <v>700</v>
      </c>
      <c r="I147" t="s">
        <v>849</v>
      </c>
      <c r="J147" t="s">
        <v>1316</v>
      </c>
      <c r="K147">
        <v>44075</v>
      </c>
      <c r="L147">
        <v>0.04888673765730801</v>
      </c>
      <c r="M147">
        <v>0.01264791471226756</v>
      </c>
      <c r="N147">
        <v>0.062</v>
      </c>
      <c r="O147">
        <v>0.1141098320594192</v>
      </c>
      <c r="P147" t="s">
        <v>637</v>
      </c>
      <c r="Q147" t="s">
        <v>636</v>
      </c>
      <c r="R147">
        <v>16</v>
      </c>
      <c r="S147">
        <v>0.5738636363636362</v>
      </c>
      <c r="T147">
        <v>55</v>
      </c>
      <c r="U147">
        <v>0.9390909090909091</v>
      </c>
      <c r="V147">
        <v>3.1067</v>
      </c>
      <c r="W147">
        <v>4.4</v>
      </c>
      <c r="X147">
        <v>2.525</v>
      </c>
      <c r="Y147">
        <v>-0.323599</v>
      </c>
      <c r="Z147">
        <v>0.6435643564356436</v>
      </c>
      <c r="AA147">
        <v>0.2905296950240771</v>
      </c>
      <c r="AB147">
        <v>0.7094703049759229</v>
      </c>
      <c r="AC147">
        <v>0.6340288924558588</v>
      </c>
      <c r="AD147">
        <v>0.7351524879614767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36.26</v>
      </c>
      <c r="D148">
        <v>32911.86038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44056</v>
      </c>
      <c r="L148">
        <v>0.04908990623276301</v>
      </c>
      <c r="M148">
        <v>0.02982705728092871</v>
      </c>
      <c r="N148">
        <v>0.04</v>
      </c>
      <c r="O148">
        <v>0.1113330070088225</v>
      </c>
      <c r="P148" t="s">
        <v>637</v>
      </c>
      <c r="Q148" t="s">
        <v>636</v>
      </c>
      <c r="R148">
        <v>8</v>
      </c>
      <c r="S148">
        <v>0.339047619047619</v>
      </c>
      <c r="T148">
        <v>42</v>
      </c>
      <c r="U148">
        <v>0.8633333333333333</v>
      </c>
      <c r="V148">
        <v>7.7495</v>
      </c>
      <c r="W148">
        <v>5.25</v>
      </c>
      <c r="X148">
        <v>1.78</v>
      </c>
      <c r="Y148">
        <v>-0.229822</v>
      </c>
      <c r="Z148">
        <v>0.6485148514851485</v>
      </c>
      <c r="AA148">
        <v>0.3820224719101124</v>
      </c>
      <c r="AB148">
        <v>0.4012841091492777</v>
      </c>
      <c r="AC148">
        <v>0.7078651685393258</v>
      </c>
      <c r="AD148">
        <v>0.7207062600321028</v>
      </c>
    </row>
    <row r="149" spans="1:30">
      <c r="A149" s="1" t="s">
        <v>156</v>
      </c>
      <c r="B149">
        <f>HYPERLINK("https://www.suredividend.com/sure-analysis-HRB/","H&amp;R Block, Inc.")</f>
        <v>0</v>
      </c>
      <c r="C149">
        <v>15.29</v>
      </c>
      <c r="D149">
        <v>2949.41042</v>
      </c>
      <c r="E149" t="s">
        <v>669</v>
      </c>
      <c r="F149" t="s">
        <v>632</v>
      </c>
      <c r="G149" t="s">
        <v>671</v>
      </c>
      <c r="H149" t="s">
        <v>700</v>
      </c>
      <c r="I149" t="s">
        <v>851</v>
      </c>
      <c r="J149" t="s">
        <v>1318</v>
      </c>
      <c r="K149">
        <v>44013</v>
      </c>
      <c r="L149">
        <v>0.068018312622629</v>
      </c>
      <c r="M149">
        <v>0.03317289471671026</v>
      </c>
      <c r="N149">
        <v>0.026</v>
      </c>
      <c r="O149">
        <v>0.1111863188527271</v>
      </c>
      <c r="P149" t="s">
        <v>637</v>
      </c>
      <c r="Q149" t="s">
        <v>636</v>
      </c>
      <c r="R149">
        <v>5</v>
      </c>
      <c r="S149">
        <v>0.3076923076923077</v>
      </c>
      <c r="T149">
        <v>18</v>
      </c>
      <c r="U149">
        <v>0.8494444444444444</v>
      </c>
      <c r="V149">
        <v>1.2443</v>
      </c>
      <c r="W149">
        <v>3.38</v>
      </c>
      <c r="X149">
        <v>1.04</v>
      </c>
      <c r="Y149">
        <v>-0.353215</v>
      </c>
      <c r="Z149">
        <v>0.7920792079207921</v>
      </c>
      <c r="AA149">
        <v>0.2552166934189406</v>
      </c>
      <c r="AB149">
        <v>0.2086677367576244</v>
      </c>
      <c r="AC149">
        <v>0.7303370786516854</v>
      </c>
      <c r="AD149">
        <v>0.7191011235955057</v>
      </c>
    </row>
    <row r="150" spans="1:30">
      <c r="A150" s="1" t="s">
        <v>157</v>
      </c>
      <c r="B150">
        <f>HYPERLINK("https://www.suredividend.com/sure-analysis-UBSI/","United Bankshares, Inc. (West Virginia)")</f>
        <v>0</v>
      </c>
      <c r="C150">
        <v>21</v>
      </c>
      <c r="D150">
        <v>2724.855</v>
      </c>
      <c r="E150" t="s">
        <v>666</v>
      </c>
      <c r="F150" t="s">
        <v>632</v>
      </c>
      <c r="G150" t="s">
        <v>671</v>
      </c>
      <c r="H150" t="s">
        <v>701</v>
      </c>
      <c r="I150" t="s">
        <v>852</v>
      </c>
      <c r="J150" t="s">
        <v>1313</v>
      </c>
      <c r="K150">
        <v>44050</v>
      </c>
      <c r="L150">
        <v>0.06619047619047601</v>
      </c>
      <c r="M150">
        <v>0.03548578845590522</v>
      </c>
      <c r="N150">
        <v>0.02</v>
      </c>
      <c r="O150">
        <v>0.1078567796799279</v>
      </c>
      <c r="P150" t="s">
        <v>637</v>
      </c>
      <c r="Q150" t="s">
        <v>636</v>
      </c>
      <c r="R150">
        <v>46</v>
      </c>
      <c r="S150">
        <v>0.6619047619047619</v>
      </c>
      <c r="T150">
        <v>25</v>
      </c>
      <c r="U150">
        <v>0.84</v>
      </c>
      <c r="V150">
        <v>2.1066</v>
      </c>
      <c r="W150">
        <v>2.1</v>
      </c>
      <c r="X150">
        <v>1.39</v>
      </c>
      <c r="Y150">
        <v>-0.44895</v>
      </c>
      <c r="Z150">
        <v>0.7772277227722771</v>
      </c>
      <c r="AA150">
        <v>0.1428571428571429</v>
      </c>
      <c r="AB150">
        <v>0.1613162118780096</v>
      </c>
      <c r="AC150">
        <v>0.7367576243980739</v>
      </c>
      <c r="AD150">
        <v>0.7046548956661316</v>
      </c>
    </row>
    <row r="151" spans="1:30">
      <c r="A151" s="1" t="s">
        <v>158</v>
      </c>
      <c r="B151">
        <f>HYPERLINK("https://www.suredividend.com/sure-analysis-INTU/","Intuit, Inc.")</f>
        <v>0</v>
      </c>
      <c r="C151">
        <v>318.5</v>
      </c>
      <c r="D151">
        <v>83385.5295</v>
      </c>
      <c r="E151" t="s">
        <v>662</v>
      </c>
      <c r="F151" t="s">
        <v>632</v>
      </c>
      <c r="G151" t="s">
        <v>671</v>
      </c>
      <c r="H151" t="s">
        <v>701</v>
      </c>
      <c r="I151" t="s">
        <v>853</v>
      </c>
      <c r="J151" t="s">
        <v>1320</v>
      </c>
      <c r="K151">
        <v>44080</v>
      </c>
      <c r="L151">
        <v>0.006656200941915</v>
      </c>
      <c r="M151">
        <v>-0.0206126460649414</v>
      </c>
      <c r="N151">
        <v>0.12</v>
      </c>
      <c r="O151">
        <v>0.1041359521868153</v>
      </c>
      <c r="P151" t="s">
        <v>637</v>
      </c>
      <c r="Q151" t="s">
        <v>446</v>
      </c>
      <c r="R151">
        <v>8</v>
      </c>
      <c r="S151">
        <v>0.2735483870967742</v>
      </c>
      <c r="T151">
        <v>287</v>
      </c>
      <c r="U151">
        <v>1.109756097560976</v>
      </c>
      <c r="V151">
        <v>6.9897</v>
      </c>
      <c r="W151">
        <v>7.75</v>
      </c>
      <c r="X151">
        <v>2.12</v>
      </c>
      <c r="Y151">
        <v>0.180854</v>
      </c>
      <c r="Z151">
        <v>0.03630363036303631</v>
      </c>
      <c r="AA151">
        <v>0.8314606741573034</v>
      </c>
      <c r="AB151">
        <v>0.9534510433386838</v>
      </c>
      <c r="AC151">
        <v>0.4414125200642054</v>
      </c>
      <c r="AD151">
        <v>0.6869983948635634</v>
      </c>
    </row>
    <row r="152" spans="1:30">
      <c r="A152" s="1" t="s">
        <v>159</v>
      </c>
      <c r="B152">
        <f>HYPERLINK("https://www.suredividend.com/sure-analysis-UGI/","UGI Corp.")</f>
        <v>0</v>
      </c>
      <c r="C152">
        <v>32.51</v>
      </c>
      <c r="D152">
        <v>6772.51571</v>
      </c>
      <c r="E152" t="s">
        <v>669</v>
      </c>
      <c r="F152" t="s">
        <v>632</v>
      </c>
      <c r="G152" t="s">
        <v>671</v>
      </c>
      <c r="H152" t="s">
        <v>700</v>
      </c>
      <c r="I152" t="s">
        <v>854</v>
      </c>
      <c r="J152" t="s">
        <v>1316</v>
      </c>
      <c r="K152">
        <v>44013</v>
      </c>
      <c r="L152">
        <v>0.040295293755767</v>
      </c>
      <c r="M152">
        <v>0.01486953312083039</v>
      </c>
      <c r="N152">
        <v>0.056</v>
      </c>
      <c r="O152">
        <v>0.1028911174706049</v>
      </c>
      <c r="P152" t="s">
        <v>637</v>
      </c>
      <c r="Q152" t="s">
        <v>636</v>
      </c>
      <c r="R152">
        <v>32</v>
      </c>
      <c r="S152">
        <v>0.5745614035087721</v>
      </c>
      <c r="T152">
        <v>35</v>
      </c>
      <c r="U152">
        <v>0.9288571428571428</v>
      </c>
      <c r="V152">
        <v>2.2292</v>
      </c>
      <c r="W152">
        <v>2.28</v>
      </c>
      <c r="X152">
        <v>1.31</v>
      </c>
      <c r="Y152">
        <v>-0.359156</v>
      </c>
      <c r="Z152">
        <v>0.5594059405940593</v>
      </c>
      <c r="AA152">
        <v>0.2439807383627608</v>
      </c>
      <c r="AB152">
        <v>0.608346709470305</v>
      </c>
      <c r="AC152">
        <v>0.6404494382022472</v>
      </c>
      <c r="AD152">
        <v>0.6773675762439808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71.44</v>
      </c>
      <c r="D153">
        <v>8349.40712</v>
      </c>
      <c r="E153" t="s">
        <v>662</v>
      </c>
      <c r="F153" t="s">
        <v>634</v>
      </c>
      <c r="G153" t="s">
        <v>671</v>
      </c>
      <c r="H153" t="s">
        <v>701</v>
      </c>
      <c r="I153" t="s">
        <v>855</v>
      </c>
      <c r="J153" t="s">
        <v>1323</v>
      </c>
      <c r="K153">
        <v>44042</v>
      </c>
      <c r="L153">
        <v>0.027995520716685</v>
      </c>
      <c r="M153">
        <v>-0.01871675807127582</v>
      </c>
      <c r="N153">
        <v>0.1</v>
      </c>
      <c r="O153">
        <v>0.1023323010875989</v>
      </c>
      <c r="P153" t="s">
        <v>637</v>
      </c>
      <c r="Q153" t="s">
        <v>372</v>
      </c>
      <c r="R153">
        <v>7</v>
      </c>
      <c r="S153">
        <v>0.5235602094240838</v>
      </c>
      <c r="T153">
        <v>65</v>
      </c>
      <c r="U153">
        <v>1.099076923076923</v>
      </c>
      <c r="V153">
        <v>0.1653</v>
      </c>
      <c r="W153">
        <v>3.82</v>
      </c>
      <c r="X153">
        <v>2</v>
      </c>
      <c r="Y153">
        <v>-0.074492</v>
      </c>
      <c r="Z153">
        <v>0.3828382838283829</v>
      </c>
      <c r="AA153">
        <v>0.5858747993579454</v>
      </c>
      <c r="AB153">
        <v>0.9165329052969503</v>
      </c>
      <c r="AC153">
        <v>0.4510433386837881</v>
      </c>
      <c r="AD153">
        <v>0.6725521669341894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59.18</v>
      </c>
      <c r="D154">
        <v>17413.77418</v>
      </c>
      <c r="E154" t="s">
        <v>660</v>
      </c>
      <c r="F154" t="s">
        <v>632</v>
      </c>
      <c r="G154" t="s">
        <v>671</v>
      </c>
      <c r="H154" t="s">
        <v>700</v>
      </c>
      <c r="I154" t="s">
        <v>856</v>
      </c>
      <c r="J154" t="s">
        <v>1321</v>
      </c>
      <c r="K154">
        <v>44049</v>
      </c>
      <c r="L154">
        <v>0.028387968908415</v>
      </c>
      <c r="M154">
        <v>0.015783145877039</v>
      </c>
      <c r="N154">
        <v>0.06</v>
      </c>
      <c r="O154">
        <v>0.1008756190641036</v>
      </c>
      <c r="P154" t="s">
        <v>637</v>
      </c>
      <c r="Q154" t="s">
        <v>637</v>
      </c>
      <c r="R154">
        <v>8</v>
      </c>
      <c r="S154">
        <v>0.3169811320754717</v>
      </c>
      <c r="T154">
        <v>64</v>
      </c>
      <c r="U154">
        <v>0.9246875</v>
      </c>
      <c r="V154">
        <v>5.1081</v>
      </c>
      <c r="W154">
        <v>5.3</v>
      </c>
      <c r="X154">
        <v>1.68</v>
      </c>
      <c r="Y154">
        <v>-0.315522</v>
      </c>
      <c r="Z154">
        <v>0.3877887788778878</v>
      </c>
      <c r="AA154">
        <v>0.3017656500802569</v>
      </c>
      <c r="AB154">
        <v>0.6597110754414125</v>
      </c>
      <c r="AC154">
        <v>0.6420545746388443</v>
      </c>
      <c r="AD154">
        <v>0.6645264847512038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22.18</v>
      </c>
      <c r="D155">
        <v>4447.57796</v>
      </c>
      <c r="E155" t="s">
        <v>666</v>
      </c>
      <c r="F155" t="s">
        <v>632</v>
      </c>
      <c r="G155" t="s">
        <v>671</v>
      </c>
      <c r="H155" t="s">
        <v>700</v>
      </c>
      <c r="I155" t="s">
        <v>857</v>
      </c>
      <c r="J155" t="s">
        <v>1322</v>
      </c>
      <c r="K155">
        <v>44064</v>
      </c>
      <c r="L155">
        <v>0.03719567177637501</v>
      </c>
      <c r="M155">
        <v>0.04770567883626575</v>
      </c>
      <c r="N155">
        <v>0.02</v>
      </c>
      <c r="O155">
        <v>0.09721995635418934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0.7921428571428571</v>
      </c>
      <c r="V155">
        <v>1.7876</v>
      </c>
      <c r="W155">
        <v>1.75</v>
      </c>
      <c r="X155">
        <v>0.8250000000000001</v>
      </c>
      <c r="Y155">
        <v>-0.225829</v>
      </c>
      <c r="Z155">
        <v>0.5148514851485149</v>
      </c>
      <c r="AA155">
        <v>0.3884430176565008</v>
      </c>
      <c r="AB155">
        <v>0.1613162118780096</v>
      </c>
      <c r="AC155">
        <v>0.8202247191011236</v>
      </c>
      <c r="AD155">
        <v>0.6500802568218299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118.95</v>
      </c>
      <c r="D156">
        <v>105934.37205</v>
      </c>
      <c r="E156" t="s">
        <v>667</v>
      </c>
      <c r="F156" t="s">
        <v>632</v>
      </c>
      <c r="G156" t="s">
        <v>671</v>
      </c>
      <c r="H156" t="s">
        <v>700</v>
      </c>
      <c r="I156" t="s">
        <v>858</v>
      </c>
      <c r="J156" t="s">
        <v>1320</v>
      </c>
      <c r="K156">
        <v>44042</v>
      </c>
      <c r="L156">
        <v>0.054560739806641</v>
      </c>
      <c r="M156">
        <v>0.005076403090295889</v>
      </c>
      <c r="N156">
        <v>0.04</v>
      </c>
      <c r="O156">
        <v>0.09382868537829481</v>
      </c>
      <c r="P156" t="s">
        <v>637</v>
      </c>
      <c r="Q156" t="s">
        <v>636</v>
      </c>
      <c r="R156">
        <v>25</v>
      </c>
      <c r="S156">
        <v>0.5852119026149685</v>
      </c>
      <c r="T156">
        <v>122</v>
      </c>
      <c r="U156">
        <v>0.975</v>
      </c>
      <c r="V156">
        <v>8.877599999999999</v>
      </c>
      <c r="W156">
        <v>11.09</v>
      </c>
      <c r="X156">
        <v>6.49</v>
      </c>
      <c r="Y156">
        <v>-0.171369</v>
      </c>
      <c r="Z156">
        <v>0.7013201320132013</v>
      </c>
      <c r="AA156">
        <v>0.4654895666131621</v>
      </c>
      <c r="AB156">
        <v>0.4012841091492777</v>
      </c>
      <c r="AC156">
        <v>0.5874799357945425</v>
      </c>
      <c r="AD156">
        <v>0.6324237560192616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70.62</v>
      </c>
      <c r="D157">
        <v>100463.3058</v>
      </c>
      <c r="E157" t="s">
        <v>670</v>
      </c>
      <c r="F157" t="s">
        <v>632</v>
      </c>
      <c r="G157" t="s">
        <v>673</v>
      </c>
      <c r="H157" t="s">
        <v>700</v>
      </c>
      <c r="I157" t="s">
        <v>859</v>
      </c>
      <c r="J157" t="s">
        <v>1313</v>
      </c>
      <c r="K157">
        <v>44087</v>
      </c>
      <c r="L157">
        <v>0.044815409473373</v>
      </c>
      <c r="M157">
        <v>0.02780673957232893</v>
      </c>
      <c r="N157">
        <v>0.021</v>
      </c>
      <c r="O157">
        <v>0.09269114277613544</v>
      </c>
      <c r="P157" t="s">
        <v>637</v>
      </c>
      <c r="Q157" t="s">
        <v>637</v>
      </c>
      <c r="R157">
        <v>9</v>
      </c>
      <c r="S157">
        <v>0.5882647243512342</v>
      </c>
      <c r="T157">
        <v>81</v>
      </c>
      <c r="U157">
        <v>0.8718518518518519</v>
      </c>
      <c r="V157">
        <v>5.819</v>
      </c>
      <c r="W157">
        <v>5.38</v>
      </c>
      <c r="X157">
        <v>3.16486421700964</v>
      </c>
      <c r="Y157">
        <v>-0.12707</v>
      </c>
      <c r="Z157">
        <v>0.6023102310231023</v>
      </c>
      <c r="AA157">
        <v>0.5232744783306581</v>
      </c>
      <c r="AB157">
        <v>0.1966292134831461</v>
      </c>
      <c r="AC157">
        <v>0.6998394863563404</v>
      </c>
      <c r="AD157">
        <v>0.622792937399679</v>
      </c>
    </row>
    <row r="158" spans="1:30">
      <c r="A158" s="1" t="s">
        <v>165</v>
      </c>
      <c r="B158">
        <f>HYPERLINK("https://www.suredividend.com/sure-analysis-RDEIY/","Red Eléctrica Corp. SA")</f>
        <v>0</v>
      </c>
      <c r="C158">
        <v>9.289999999999999</v>
      </c>
      <c r="D158">
        <v>10009.439413</v>
      </c>
      <c r="E158" t="s">
        <v>663</v>
      </c>
      <c r="F158" t="s">
        <v>632</v>
      </c>
      <c r="G158" t="s">
        <v>679</v>
      </c>
      <c r="H158" t="s">
        <v>702</v>
      </c>
      <c r="I158" t="s">
        <v>860</v>
      </c>
      <c r="J158" t="s">
        <v>1316</v>
      </c>
      <c r="K158">
        <v>44053</v>
      </c>
      <c r="L158">
        <v>0.06330462863293801</v>
      </c>
      <c r="M158">
        <v>-0.01440247168366893</v>
      </c>
      <c r="N158">
        <v>0.05</v>
      </c>
      <c r="O158">
        <v>0.09224661747698337</v>
      </c>
      <c r="P158" t="s">
        <v>637</v>
      </c>
      <c r="Q158" t="s">
        <v>636</v>
      </c>
      <c r="R158">
        <v>4</v>
      </c>
      <c r="S158">
        <v>0.4084027777777778</v>
      </c>
      <c r="T158">
        <v>8.640000000000001</v>
      </c>
      <c r="U158">
        <v>1.075231481481481</v>
      </c>
      <c r="V158">
        <v>0.7052</v>
      </c>
      <c r="W158">
        <v>1.44</v>
      </c>
      <c r="X158">
        <v>0.5881000000000001</v>
      </c>
      <c r="Y158">
        <v>-0.059717</v>
      </c>
      <c r="Z158">
        <v>0.7623762376237623</v>
      </c>
      <c r="AA158">
        <v>0.6067415730337078</v>
      </c>
      <c r="AB158">
        <v>0.5296950240770465</v>
      </c>
      <c r="AC158">
        <v>0.4751203852327447</v>
      </c>
      <c r="AD158">
        <v>0.6195826645264847</v>
      </c>
    </row>
    <row r="159" spans="1:30">
      <c r="A159" s="1" t="s">
        <v>166</v>
      </c>
      <c r="B159">
        <f>HYPERLINK("https://www.suredividend.com/sure-analysis-KDP/","Keurig Dr Pepper, Inc.")</f>
        <v>0</v>
      </c>
      <c r="C159">
        <v>27.88</v>
      </c>
      <c r="D159">
        <v>39232.736</v>
      </c>
      <c r="E159" t="s">
        <v>667</v>
      </c>
      <c r="F159" t="s">
        <v>632</v>
      </c>
      <c r="G159" t="s">
        <v>671</v>
      </c>
      <c r="H159" t="s">
        <v>701</v>
      </c>
      <c r="I159" t="s">
        <v>861</v>
      </c>
      <c r="J159" t="s">
        <v>1321</v>
      </c>
      <c r="K159">
        <v>44074</v>
      </c>
      <c r="L159">
        <v>0.021520803443328</v>
      </c>
      <c r="M159">
        <v>-0.02157070391298854</v>
      </c>
      <c r="N159">
        <v>0.1</v>
      </c>
      <c r="O159">
        <v>0.09185324836294728</v>
      </c>
      <c r="P159" t="s">
        <v>637</v>
      </c>
      <c r="Q159" t="s">
        <v>446</v>
      </c>
      <c r="R159">
        <v>0</v>
      </c>
      <c r="S159">
        <v>0.4316546762589929</v>
      </c>
      <c r="T159">
        <v>25</v>
      </c>
      <c r="U159">
        <v>1.1152</v>
      </c>
      <c r="V159">
        <v>0.8273</v>
      </c>
      <c r="W159">
        <v>1.39</v>
      </c>
      <c r="X159">
        <v>0.6000000000000001</v>
      </c>
      <c r="Y159">
        <v>0.024063</v>
      </c>
      <c r="Z159">
        <v>0.2838283828382838</v>
      </c>
      <c r="AA159">
        <v>0.7191011235955057</v>
      </c>
      <c r="AB159">
        <v>0.9165329052969503</v>
      </c>
      <c r="AC159">
        <v>0.4269662921348315</v>
      </c>
      <c r="AD159">
        <v>0.6163723916532906</v>
      </c>
    </row>
    <row r="160" spans="1:30">
      <c r="A160" s="1" t="s">
        <v>167</v>
      </c>
      <c r="B160">
        <f>HYPERLINK("https://www.suredividend.com/sure-analysis-ICE/","Intercontinental Exchange, Inc.")</f>
        <v>0</v>
      </c>
      <c r="C160">
        <v>100.56</v>
      </c>
      <c r="D160">
        <v>56439.09888</v>
      </c>
      <c r="E160" t="s">
        <v>667</v>
      </c>
      <c r="F160" t="s">
        <v>632</v>
      </c>
      <c r="G160" t="s">
        <v>671</v>
      </c>
      <c r="H160" t="s">
        <v>700</v>
      </c>
      <c r="I160" t="s">
        <v>862</v>
      </c>
      <c r="J160" t="s">
        <v>1313</v>
      </c>
      <c r="K160">
        <v>44083</v>
      </c>
      <c r="L160">
        <v>0.011435958631662</v>
      </c>
      <c r="M160">
        <v>-0.0376555067203902</v>
      </c>
      <c r="N160">
        <v>0.12</v>
      </c>
      <c r="O160">
        <v>0.09010710364745056</v>
      </c>
      <c r="P160" t="s">
        <v>637</v>
      </c>
      <c r="Q160" t="s">
        <v>446</v>
      </c>
      <c r="R160">
        <v>7</v>
      </c>
      <c r="S160">
        <v>0.2625570776255708</v>
      </c>
      <c r="T160">
        <v>83</v>
      </c>
      <c r="U160">
        <v>1.211566265060241</v>
      </c>
      <c r="V160">
        <v>3.8875</v>
      </c>
      <c r="W160">
        <v>4.38</v>
      </c>
      <c r="X160">
        <v>1.15</v>
      </c>
      <c r="Y160">
        <v>0.067856</v>
      </c>
      <c r="Z160">
        <v>0.1056105610561056</v>
      </c>
      <c r="AA160">
        <v>0.754414125200642</v>
      </c>
      <c r="AB160">
        <v>0.9534510433386838</v>
      </c>
      <c r="AC160">
        <v>0.3386837881219904</v>
      </c>
      <c r="AD160">
        <v>0.6019261637239165</v>
      </c>
    </row>
    <row r="161" spans="1:30">
      <c r="A161" s="1" t="s">
        <v>168</v>
      </c>
      <c r="B161">
        <f>HYPERLINK("https://www.suredividend.com/sure-analysis-CMCSA/","Comcast Corp.")</f>
        <v>0</v>
      </c>
      <c r="C161">
        <v>46.15</v>
      </c>
      <c r="D161">
        <v>210818.016906</v>
      </c>
      <c r="E161" t="s">
        <v>670</v>
      </c>
      <c r="F161" t="s">
        <v>632</v>
      </c>
      <c r="G161" t="s">
        <v>671</v>
      </c>
      <c r="H161" t="s">
        <v>701</v>
      </c>
      <c r="I161" t="s">
        <v>863</v>
      </c>
      <c r="J161" t="s">
        <v>1314</v>
      </c>
      <c r="K161">
        <v>44049</v>
      </c>
      <c r="L161">
        <v>0.019068255687974</v>
      </c>
      <c r="M161">
        <v>-0.0006509009639530383</v>
      </c>
      <c r="N161">
        <v>0.07000000000000001</v>
      </c>
      <c r="O161">
        <v>0.08743968158858517</v>
      </c>
      <c r="P161" t="s">
        <v>637</v>
      </c>
      <c r="Q161" t="s">
        <v>372</v>
      </c>
      <c r="R161">
        <v>12</v>
      </c>
      <c r="S161">
        <v>0.352</v>
      </c>
      <c r="T161">
        <v>46</v>
      </c>
      <c r="U161">
        <v>1.003260869565217</v>
      </c>
      <c r="V161">
        <v>2.5258</v>
      </c>
      <c r="W161">
        <v>2.5</v>
      </c>
      <c r="X161">
        <v>0.88</v>
      </c>
      <c r="Y161">
        <v>0.02784</v>
      </c>
      <c r="Z161">
        <v>0.2409240924092409</v>
      </c>
      <c r="AA161">
        <v>0.725521669341894</v>
      </c>
      <c r="AB161">
        <v>0.7504012841091493</v>
      </c>
      <c r="AC161">
        <v>0.5537720706260032</v>
      </c>
      <c r="AD161">
        <v>0.5778491171749599</v>
      </c>
    </row>
    <row r="162" spans="1:30">
      <c r="A162" s="1" t="s">
        <v>169</v>
      </c>
      <c r="B162">
        <f>HYPERLINK("https://www.suredividend.com/sure-analysis-VZ/","Verizon Communications, Inc.")</f>
        <v>0</v>
      </c>
      <c r="C162">
        <v>59.39</v>
      </c>
      <c r="D162">
        <v>245758.7895</v>
      </c>
      <c r="E162" t="s">
        <v>663</v>
      </c>
      <c r="F162" t="s">
        <v>632</v>
      </c>
      <c r="G162" t="s">
        <v>671</v>
      </c>
      <c r="H162" t="s">
        <v>700</v>
      </c>
      <c r="I162" t="s">
        <v>864</v>
      </c>
      <c r="J162" t="s">
        <v>1314</v>
      </c>
      <c r="K162">
        <v>44036</v>
      </c>
      <c r="L162">
        <v>0.04142111466576801</v>
      </c>
      <c r="M162">
        <v>0.01187168856655663</v>
      </c>
      <c r="N162">
        <v>0.04</v>
      </c>
      <c r="O162">
        <v>0.08601022833045802</v>
      </c>
      <c r="P162" t="s">
        <v>637</v>
      </c>
      <c r="Q162" t="s">
        <v>637</v>
      </c>
      <c r="R162">
        <v>15</v>
      </c>
      <c r="S162">
        <v>0.5114345114345115</v>
      </c>
      <c r="T162">
        <v>63</v>
      </c>
      <c r="U162">
        <v>0.9426984126984127</v>
      </c>
      <c r="V162">
        <v>4.6258</v>
      </c>
      <c r="W162">
        <v>4.81</v>
      </c>
      <c r="X162">
        <v>2.46</v>
      </c>
      <c r="Y162">
        <v>-0.017373</v>
      </c>
      <c r="Z162">
        <v>0.570957095709571</v>
      </c>
      <c r="AA162">
        <v>0.6645264847512038</v>
      </c>
      <c r="AB162">
        <v>0.4012841091492777</v>
      </c>
      <c r="AC162">
        <v>0.6308186195826645</v>
      </c>
      <c r="AD162">
        <v>0.5730337078651685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114.72</v>
      </c>
      <c r="D163">
        <v>22100.92272</v>
      </c>
      <c r="E163" t="s">
        <v>661</v>
      </c>
      <c r="F163" t="s">
        <v>632</v>
      </c>
      <c r="G163" t="s">
        <v>671</v>
      </c>
      <c r="H163" t="s">
        <v>700</v>
      </c>
      <c r="I163" t="s">
        <v>865</v>
      </c>
      <c r="J163" t="s">
        <v>1316</v>
      </c>
      <c r="K163">
        <v>44052</v>
      </c>
      <c r="L163">
        <v>0.034714958158995</v>
      </c>
      <c r="M163">
        <v>-0.006571150051918995</v>
      </c>
      <c r="N163">
        <v>0.06</v>
      </c>
      <c r="O163">
        <v>0.08530690106058803</v>
      </c>
      <c r="P163" t="s">
        <v>637</v>
      </c>
      <c r="Q163" t="s">
        <v>372</v>
      </c>
      <c r="R163">
        <v>11</v>
      </c>
      <c r="S163">
        <v>0.5988721804511278</v>
      </c>
      <c r="T163">
        <v>111</v>
      </c>
      <c r="U163">
        <v>1.033513513513513</v>
      </c>
      <c r="V163">
        <v>6.346</v>
      </c>
      <c r="W163">
        <v>6.65</v>
      </c>
      <c r="X163">
        <v>3.9825</v>
      </c>
      <c r="Y163">
        <v>-0.140288</v>
      </c>
      <c r="Z163">
        <v>0.4735973597359736</v>
      </c>
      <c r="AA163">
        <v>0.507223113964687</v>
      </c>
      <c r="AB163">
        <v>0.6597110754414125</v>
      </c>
      <c r="AC163">
        <v>0.521669341894061</v>
      </c>
      <c r="AD163">
        <v>0.5682182985553772</v>
      </c>
    </row>
    <row r="164" spans="1:30">
      <c r="A164" s="1" t="s">
        <v>171</v>
      </c>
      <c r="B164">
        <f>HYPERLINK("https://www.suredividend.com/sure-analysis-CPB/","Campbell Soup Co.")</f>
        <v>0</v>
      </c>
      <c r="C164">
        <v>47.56</v>
      </c>
      <c r="D164">
        <v>14376.00876</v>
      </c>
      <c r="E164" t="s">
        <v>665</v>
      </c>
      <c r="F164" t="s">
        <v>632</v>
      </c>
      <c r="G164" t="s">
        <v>671</v>
      </c>
      <c r="H164" t="s">
        <v>700</v>
      </c>
      <c r="I164" t="s">
        <v>866</v>
      </c>
      <c r="J164" t="s">
        <v>1321</v>
      </c>
      <c r="K164">
        <v>44095</v>
      </c>
      <c r="L164">
        <v>0.029436501261564</v>
      </c>
      <c r="M164">
        <v>0.01005641600219209</v>
      </c>
      <c r="N164">
        <v>0.05</v>
      </c>
      <c r="O164">
        <v>0.08422226822441026</v>
      </c>
      <c r="P164" t="s">
        <v>637</v>
      </c>
      <c r="Q164" t="s">
        <v>372</v>
      </c>
      <c r="R164">
        <v>0</v>
      </c>
      <c r="S164">
        <v>0.4745762711864406</v>
      </c>
      <c r="T164">
        <v>50</v>
      </c>
      <c r="U164">
        <v>0.9512</v>
      </c>
      <c r="V164">
        <v>2.0816</v>
      </c>
      <c r="W164">
        <v>2.95</v>
      </c>
      <c r="X164">
        <v>1.4</v>
      </c>
      <c r="Y164">
        <v>0.018415</v>
      </c>
      <c r="Z164">
        <v>0.4059405940594059</v>
      </c>
      <c r="AA164">
        <v>0.7158908507223114</v>
      </c>
      <c r="AB164">
        <v>0.5296950240770465</v>
      </c>
      <c r="AC164">
        <v>0.622792937399679</v>
      </c>
      <c r="AD164">
        <v>0.5634028892455859</v>
      </c>
    </row>
    <row r="165" spans="1:30">
      <c r="A165" s="1" t="s">
        <v>172</v>
      </c>
      <c r="B165">
        <f>HYPERLINK("https://www.suredividend.com/sure-analysis-HBI/","Hanesbrands, Inc.")</f>
        <v>0</v>
      </c>
      <c r="C165">
        <v>15.51</v>
      </c>
      <c r="D165">
        <v>5399.97711</v>
      </c>
      <c r="E165" t="s">
        <v>661</v>
      </c>
      <c r="F165" t="s">
        <v>632</v>
      </c>
      <c r="G165" t="s">
        <v>671</v>
      </c>
      <c r="H165" t="s">
        <v>700</v>
      </c>
      <c r="I165" t="s">
        <v>867</v>
      </c>
      <c r="J165" t="s">
        <v>1318</v>
      </c>
      <c r="K165">
        <v>44061</v>
      </c>
      <c r="L165">
        <v>0.038684719535783</v>
      </c>
      <c r="M165">
        <v>-0.006664647283955216</v>
      </c>
      <c r="N165">
        <v>0.06</v>
      </c>
      <c r="O165">
        <v>0.08406856901989412</v>
      </c>
      <c r="P165" t="s">
        <v>637</v>
      </c>
      <c r="Q165" t="s">
        <v>637</v>
      </c>
      <c r="R165">
        <v>0</v>
      </c>
      <c r="S165">
        <v>0.4137931034482759</v>
      </c>
      <c r="T165">
        <v>15</v>
      </c>
      <c r="U165">
        <v>1.034</v>
      </c>
      <c r="V165">
        <v>1.4597</v>
      </c>
      <c r="W165">
        <v>1.45</v>
      </c>
      <c r="X165">
        <v>0.6000000000000001</v>
      </c>
      <c r="Y165">
        <v>0.03125</v>
      </c>
      <c r="Z165">
        <v>0.533003300330033</v>
      </c>
      <c r="AA165">
        <v>0.7287319422150883</v>
      </c>
      <c r="AB165">
        <v>0.6597110754414125</v>
      </c>
      <c r="AC165">
        <v>0.5200642054574639</v>
      </c>
      <c r="AD165">
        <v>0.5601926163723917</v>
      </c>
    </row>
    <row r="166" spans="1:30">
      <c r="A166" s="1" t="s">
        <v>173</v>
      </c>
      <c r="B166">
        <f>HYPERLINK("https://www.suredividend.com/sure-analysis-MRK/","Merck &amp; Co., Inc.")</f>
        <v>0</v>
      </c>
      <c r="C166">
        <v>82.93000000000001</v>
      </c>
      <c r="D166">
        <v>209749.8732</v>
      </c>
      <c r="E166" t="s">
        <v>663</v>
      </c>
      <c r="F166" t="s">
        <v>632</v>
      </c>
      <c r="G166" t="s">
        <v>671</v>
      </c>
      <c r="H166" t="s">
        <v>700</v>
      </c>
      <c r="I166" t="s">
        <v>868</v>
      </c>
      <c r="J166" t="s">
        <v>1315</v>
      </c>
      <c r="K166">
        <v>44044</v>
      </c>
      <c r="L166">
        <v>0.028698902689014</v>
      </c>
      <c r="M166">
        <v>0.007296574774422915</v>
      </c>
      <c r="N166">
        <v>0.05</v>
      </c>
      <c r="O166">
        <v>0.08361651077112997</v>
      </c>
      <c r="P166" t="s">
        <v>637</v>
      </c>
      <c r="Q166" t="s">
        <v>637</v>
      </c>
      <c r="R166">
        <v>9</v>
      </c>
      <c r="S166">
        <v>0.4168126094570928</v>
      </c>
      <c r="T166">
        <v>86</v>
      </c>
      <c r="U166">
        <v>0.9643023255813954</v>
      </c>
      <c r="V166">
        <v>4.1233</v>
      </c>
      <c r="W166">
        <v>5.71</v>
      </c>
      <c r="X166">
        <v>2.38</v>
      </c>
      <c r="Y166">
        <v>-0.011326</v>
      </c>
      <c r="Z166">
        <v>0.3960396039603961</v>
      </c>
      <c r="AA166">
        <v>0.6773675762439808</v>
      </c>
      <c r="AB166">
        <v>0.5296950240770465</v>
      </c>
      <c r="AC166">
        <v>0.5987158908507223</v>
      </c>
      <c r="AD166">
        <v>0.5569823434991974</v>
      </c>
    </row>
    <row r="167" spans="1:30">
      <c r="A167" s="1" t="s">
        <v>174</v>
      </c>
      <c r="B167">
        <f>HYPERLINK("https://www.suredividend.com/sure-analysis-UHT/","Universal Health Realty Income Trust")</f>
        <v>0</v>
      </c>
      <c r="C167">
        <v>54.64</v>
      </c>
      <c r="D167">
        <v>752.376408</v>
      </c>
      <c r="E167" t="s">
        <v>669</v>
      </c>
      <c r="F167" t="s">
        <v>634</v>
      </c>
      <c r="G167" t="s">
        <v>671</v>
      </c>
      <c r="H167" t="s">
        <v>700</v>
      </c>
      <c r="I167" t="s">
        <v>869</v>
      </c>
      <c r="J167" t="s">
        <v>1323</v>
      </c>
      <c r="K167">
        <v>44013</v>
      </c>
      <c r="L167">
        <v>0.050146412884333</v>
      </c>
      <c r="M167">
        <v>0.01200686967311748</v>
      </c>
      <c r="N167">
        <v>0.03</v>
      </c>
      <c r="O167">
        <v>0.08318076672098629</v>
      </c>
      <c r="P167" t="s">
        <v>637</v>
      </c>
      <c r="Q167" t="s">
        <v>637</v>
      </c>
      <c r="R167">
        <v>34</v>
      </c>
      <c r="S167">
        <v>0.817910447761194</v>
      </c>
      <c r="T167">
        <v>58</v>
      </c>
      <c r="U167">
        <v>0.9420689655172414</v>
      </c>
      <c r="V167">
        <v>1.4374</v>
      </c>
      <c r="W167">
        <v>3.35</v>
      </c>
      <c r="X167">
        <v>2.74</v>
      </c>
      <c r="Y167">
        <v>-0.464943</v>
      </c>
      <c r="Z167">
        <v>0.6567656765676567</v>
      </c>
      <c r="AA167">
        <v>0.1268057784911718</v>
      </c>
      <c r="AB167">
        <v>0.2680577849117175</v>
      </c>
      <c r="AC167">
        <v>0.6324237560192616</v>
      </c>
      <c r="AD167">
        <v>0.5521669341894061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23.73</v>
      </c>
      <c r="D168">
        <v>5021.33919</v>
      </c>
      <c r="E168" t="s">
        <v>660</v>
      </c>
      <c r="F168" t="s">
        <v>632</v>
      </c>
      <c r="G168" t="s">
        <v>671</v>
      </c>
      <c r="H168" t="s">
        <v>700</v>
      </c>
      <c r="I168" t="s">
        <v>870</v>
      </c>
      <c r="J168" t="s">
        <v>1321</v>
      </c>
      <c r="K168">
        <v>44056</v>
      </c>
      <c r="L168">
        <v>0.03244837758112</v>
      </c>
      <c r="M168">
        <v>0.002265313935308377</v>
      </c>
      <c r="N168">
        <v>0.05</v>
      </c>
      <c r="O168">
        <v>0.08248046316570257</v>
      </c>
      <c r="P168" t="s">
        <v>637</v>
      </c>
      <c r="Q168" t="s">
        <v>372</v>
      </c>
      <c r="R168">
        <v>19</v>
      </c>
      <c r="S168">
        <v>0.6416666666666667</v>
      </c>
      <c r="T168">
        <v>24</v>
      </c>
      <c r="U168">
        <v>0.98875</v>
      </c>
      <c r="V168">
        <v>0.4615</v>
      </c>
      <c r="W168">
        <v>1.2</v>
      </c>
      <c r="X168">
        <v>0.77</v>
      </c>
      <c r="Y168">
        <v>0.03715</v>
      </c>
      <c r="Z168">
        <v>0.4471947194719472</v>
      </c>
      <c r="AA168">
        <v>0.7319422150882825</v>
      </c>
      <c r="AB168">
        <v>0.5296950240770465</v>
      </c>
      <c r="AC168">
        <v>0.5698234349919743</v>
      </c>
      <c r="AD168">
        <v>0.5441412520064205</v>
      </c>
    </row>
    <row r="169" spans="1:30">
      <c r="A169" s="1" t="s">
        <v>176</v>
      </c>
      <c r="B169">
        <f>HYPERLINK("https://www.suredividend.com/sure-analysis-NVS/","Novartis AG")</f>
        <v>0</v>
      </c>
      <c r="C169">
        <v>87.11</v>
      </c>
      <c r="D169">
        <v>192050.865419</v>
      </c>
      <c r="E169" t="s">
        <v>663</v>
      </c>
      <c r="F169" t="s">
        <v>632</v>
      </c>
      <c r="G169" t="s">
        <v>676</v>
      </c>
      <c r="H169" t="s">
        <v>700</v>
      </c>
      <c r="I169" t="s">
        <v>871</v>
      </c>
      <c r="J169" t="s">
        <v>1315</v>
      </c>
      <c r="K169">
        <v>44033</v>
      </c>
      <c r="L169">
        <v>0.035442543909998</v>
      </c>
      <c r="M169">
        <v>0.008775847668768932</v>
      </c>
      <c r="N169">
        <v>0.04</v>
      </c>
      <c r="O169">
        <v>0.08021876815510409</v>
      </c>
      <c r="P169" t="s">
        <v>637</v>
      </c>
      <c r="Q169" t="s">
        <v>637</v>
      </c>
      <c r="R169">
        <v>24</v>
      </c>
      <c r="S169">
        <v>0.5407005253940456</v>
      </c>
      <c r="T169">
        <v>91</v>
      </c>
      <c r="U169">
        <v>0.9572527472527472</v>
      </c>
      <c r="V169">
        <v>3.1711</v>
      </c>
      <c r="W169">
        <v>5.71</v>
      </c>
      <c r="X169">
        <v>3.0874</v>
      </c>
      <c r="Y169">
        <v>0.002647</v>
      </c>
      <c r="Z169">
        <v>0.4884488448844885</v>
      </c>
      <c r="AA169">
        <v>0.695024077046549</v>
      </c>
      <c r="AB169">
        <v>0.4012841091492777</v>
      </c>
      <c r="AC169">
        <v>0.6115569823434992</v>
      </c>
      <c r="AD169">
        <v>0.5296950240770465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198.64</v>
      </c>
      <c r="D170">
        <v>7939.998352</v>
      </c>
      <c r="E170" t="s">
        <v>664</v>
      </c>
      <c r="F170" t="s">
        <v>632</v>
      </c>
      <c r="G170" t="s">
        <v>680</v>
      </c>
      <c r="H170" t="s">
        <v>700</v>
      </c>
      <c r="I170" t="s">
        <v>872</v>
      </c>
      <c r="J170" t="s">
        <v>1313</v>
      </c>
      <c r="K170">
        <v>44062</v>
      </c>
      <c r="L170">
        <v>0.030457108336689</v>
      </c>
      <c r="M170">
        <v>-0.0006452138610342217</v>
      </c>
      <c r="N170">
        <v>0.05</v>
      </c>
      <c r="O170">
        <v>0.07843523428700783</v>
      </c>
      <c r="P170" t="s">
        <v>637</v>
      </c>
      <c r="Q170" t="s">
        <v>637</v>
      </c>
      <c r="R170">
        <v>8</v>
      </c>
      <c r="S170">
        <v>0.275</v>
      </c>
      <c r="T170">
        <v>198</v>
      </c>
      <c r="U170">
        <v>1.003232323232323</v>
      </c>
      <c r="V170">
        <v>13.0167</v>
      </c>
      <c r="W170">
        <v>22</v>
      </c>
      <c r="X170">
        <v>6.05</v>
      </c>
      <c r="Y170">
        <v>-0.254242</v>
      </c>
      <c r="Z170">
        <v>0.4174917491749175</v>
      </c>
      <c r="AA170">
        <v>0.362760834670947</v>
      </c>
      <c r="AB170">
        <v>0.5296950240770465</v>
      </c>
      <c r="AC170">
        <v>0.5553772070626003</v>
      </c>
      <c r="AD170">
        <v>0.5152487961476726</v>
      </c>
    </row>
    <row r="171" spans="1:30">
      <c r="A171" s="1" t="s">
        <v>178</v>
      </c>
      <c r="B171">
        <f>HYPERLINK("https://www.suredividend.com/sure-analysis-NUE/","Nucor Corp.")</f>
        <v>0</v>
      </c>
      <c r="C171">
        <v>45.25</v>
      </c>
      <c r="D171">
        <v>13660.74875</v>
      </c>
      <c r="E171" t="s">
        <v>669</v>
      </c>
      <c r="F171" t="s">
        <v>632</v>
      </c>
      <c r="G171" t="s">
        <v>671</v>
      </c>
      <c r="H171" t="s">
        <v>700</v>
      </c>
      <c r="I171" t="s">
        <v>873</v>
      </c>
      <c r="J171" t="s">
        <v>1322</v>
      </c>
      <c r="K171">
        <v>44096</v>
      </c>
      <c r="L171">
        <v>0.035524861878453</v>
      </c>
      <c r="M171">
        <v>0.03598874023963483</v>
      </c>
      <c r="N171">
        <v>0.011</v>
      </c>
      <c r="O171">
        <v>0.07725876450806157</v>
      </c>
      <c r="P171" t="s">
        <v>637</v>
      </c>
      <c r="Q171" t="s">
        <v>637</v>
      </c>
      <c r="R171">
        <v>47</v>
      </c>
      <c r="S171">
        <v>0.7511682242990654</v>
      </c>
      <c r="T171">
        <v>54</v>
      </c>
      <c r="U171">
        <v>0.8379629629629629</v>
      </c>
      <c r="V171">
        <v>1.672</v>
      </c>
      <c r="W171">
        <v>2.14</v>
      </c>
      <c r="X171">
        <v>1.6075</v>
      </c>
      <c r="Y171">
        <v>-0.082894</v>
      </c>
      <c r="Z171">
        <v>0.4917491749174918</v>
      </c>
      <c r="AA171">
        <v>0.5810593900481541</v>
      </c>
      <c r="AB171">
        <v>0.1019261637239165</v>
      </c>
      <c r="AC171">
        <v>0.7399678972712681</v>
      </c>
      <c r="AD171">
        <v>0.5056179775280899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49.23</v>
      </c>
      <c r="D172">
        <v>16530.84324</v>
      </c>
      <c r="E172" t="s">
        <v>670</v>
      </c>
      <c r="F172" t="s">
        <v>632</v>
      </c>
      <c r="G172" t="s">
        <v>673</v>
      </c>
      <c r="H172" t="s">
        <v>702</v>
      </c>
      <c r="I172" t="s">
        <v>874</v>
      </c>
      <c r="J172" t="s">
        <v>1313</v>
      </c>
      <c r="K172">
        <v>44092</v>
      </c>
      <c r="L172">
        <v>0.042409545781964</v>
      </c>
      <c r="M172">
        <v>0.003108784610785564</v>
      </c>
      <c r="N172">
        <v>0.03</v>
      </c>
      <c r="O172">
        <v>0.07447901205718943</v>
      </c>
      <c r="P172" t="s">
        <v>637</v>
      </c>
      <c r="Q172" t="s">
        <v>637</v>
      </c>
      <c r="R172">
        <v>9</v>
      </c>
      <c r="S172">
        <v>0.4832921154736319</v>
      </c>
      <c r="T172">
        <v>50</v>
      </c>
      <c r="U172">
        <v>0.9845999999999999</v>
      </c>
      <c r="V172">
        <v>4.5035</v>
      </c>
      <c r="W172">
        <v>4.32</v>
      </c>
      <c r="X172">
        <v>2.08782193884609</v>
      </c>
      <c r="Y172">
        <v>-0.018879</v>
      </c>
      <c r="Z172">
        <v>0.5825082508250825</v>
      </c>
      <c r="AA172">
        <v>0.6613162118780096</v>
      </c>
      <c r="AB172">
        <v>0.2680577849117175</v>
      </c>
      <c r="AC172">
        <v>0.5746388443017656</v>
      </c>
      <c r="AD172">
        <v>0.4879614767255216</v>
      </c>
    </row>
    <row r="173" spans="1:30">
      <c r="A173" s="1" t="s">
        <v>180</v>
      </c>
      <c r="B173">
        <f>HYPERLINK("https://www.suredividend.com/sure-analysis-AMGN/","Amgen, Inc.")</f>
        <v>0</v>
      </c>
      <c r="C173">
        <v>243.82</v>
      </c>
      <c r="D173">
        <v>142803.91108</v>
      </c>
      <c r="E173" t="s">
        <v>663</v>
      </c>
      <c r="F173" t="s">
        <v>632</v>
      </c>
      <c r="G173" t="s">
        <v>671</v>
      </c>
      <c r="H173" t="s">
        <v>701</v>
      </c>
      <c r="I173" t="s">
        <v>875</v>
      </c>
      <c r="J173" t="s">
        <v>1315</v>
      </c>
      <c r="K173">
        <v>44040</v>
      </c>
      <c r="L173">
        <v>0.025018456238208</v>
      </c>
      <c r="M173">
        <v>-0.03981094794326256</v>
      </c>
      <c r="N173">
        <v>0.09</v>
      </c>
      <c r="O173">
        <v>0.07371190750777168</v>
      </c>
      <c r="P173" t="s">
        <v>637</v>
      </c>
      <c r="Q173" t="s">
        <v>372</v>
      </c>
      <c r="R173">
        <v>10</v>
      </c>
      <c r="S173">
        <v>0.3953337653920933</v>
      </c>
      <c r="T173">
        <v>199</v>
      </c>
      <c r="U173">
        <v>1.225226130653266</v>
      </c>
      <c r="V173">
        <v>12.3169</v>
      </c>
      <c r="W173">
        <v>15.43</v>
      </c>
      <c r="X173">
        <v>6.1</v>
      </c>
      <c r="Y173">
        <v>0.247927</v>
      </c>
      <c r="Z173">
        <v>0.3283828382838284</v>
      </c>
      <c r="AA173">
        <v>0.884430176565008</v>
      </c>
      <c r="AB173">
        <v>0.8780096308186195</v>
      </c>
      <c r="AC173">
        <v>0.317817014446228</v>
      </c>
      <c r="AD173">
        <v>0.4863563402889245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112.15</v>
      </c>
      <c r="D174">
        <v>12793.3991</v>
      </c>
      <c r="E174" t="s">
        <v>660</v>
      </c>
      <c r="F174" t="s">
        <v>632</v>
      </c>
      <c r="G174" t="s">
        <v>671</v>
      </c>
      <c r="H174" t="s">
        <v>700</v>
      </c>
      <c r="I174" t="s">
        <v>876</v>
      </c>
      <c r="J174" t="s">
        <v>1321</v>
      </c>
      <c r="K174">
        <v>44069</v>
      </c>
      <c r="L174">
        <v>0.031564868479714</v>
      </c>
      <c r="M174">
        <v>-0.005681673640534846</v>
      </c>
      <c r="N174">
        <v>0.05</v>
      </c>
      <c r="O174">
        <v>0.0736381676953326</v>
      </c>
      <c r="P174" t="s">
        <v>637</v>
      </c>
      <c r="Q174" t="s">
        <v>637</v>
      </c>
      <c r="R174">
        <v>23</v>
      </c>
      <c r="S174">
        <v>0.5205882352941177</v>
      </c>
      <c r="T174">
        <v>109</v>
      </c>
      <c r="U174">
        <v>1.028899082568807</v>
      </c>
      <c r="V174">
        <v>7.5468</v>
      </c>
      <c r="W174">
        <v>6.8</v>
      </c>
      <c r="X174">
        <v>3.54</v>
      </c>
      <c r="Y174">
        <v>0.027485</v>
      </c>
      <c r="Z174">
        <v>0.4405940594059406</v>
      </c>
      <c r="AA174">
        <v>0.7239165329052969</v>
      </c>
      <c r="AB174">
        <v>0.5296950240770465</v>
      </c>
      <c r="AC174">
        <v>0.5313001605136436</v>
      </c>
      <c r="AD174">
        <v>0.4847512038523274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51.35</v>
      </c>
      <c r="D175">
        <v>12819.2194</v>
      </c>
      <c r="E175" t="s">
        <v>668</v>
      </c>
      <c r="F175" t="s">
        <v>632</v>
      </c>
      <c r="G175" t="s">
        <v>671</v>
      </c>
      <c r="H175" t="s">
        <v>701</v>
      </c>
      <c r="I175" t="s">
        <v>877</v>
      </c>
      <c r="J175" t="s">
        <v>1316</v>
      </c>
      <c r="K175">
        <v>44089</v>
      </c>
      <c r="L175">
        <v>0.028627069133398</v>
      </c>
      <c r="M175">
        <v>-0.009325175992098367</v>
      </c>
      <c r="N175">
        <v>0.055</v>
      </c>
      <c r="O175">
        <v>0.07248161544519238</v>
      </c>
      <c r="P175" t="s">
        <v>637</v>
      </c>
      <c r="Q175" t="s">
        <v>372</v>
      </c>
      <c r="R175">
        <v>17</v>
      </c>
      <c r="S175">
        <v>0.6049382716049382</v>
      </c>
      <c r="T175">
        <v>49</v>
      </c>
      <c r="U175">
        <v>1.047959183673469</v>
      </c>
      <c r="V175">
        <v>2.6419</v>
      </c>
      <c r="W175">
        <v>2.43</v>
      </c>
      <c r="X175">
        <v>1.47</v>
      </c>
      <c r="Y175">
        <v>-0.053631</v>
      </c>
      <c r="Z175">
        <v>0.3910891089108911</v>
      </c>
      <c r="AA175">
        <v>0.6195826645264847</v>
      </c>
      <c r="AB175">
        <v>0.6027287319422151</v>
      </c>
      <c r="AC175">
        <v>0.4975922953451043</v>
      </c>
      <c r="AD175">
        <v>0.4751203852327447</v>
      </c>
    </row>
    <row r="176" spans="1:30">
      <c r="A176" s="1" t="s">
        <v>183</v>
      </c>
      <c r="B176">
        <f>HYPERLINK("https://www.suredividend.com/sure-analysis-LEG/","Leggett &amp; Platt, Inc.")</f>
        <v>0</v>
      </c>
      <c r="C176">
        <v>41.01</v>
      </c>
      <c r="D176">
        <v>5429.43693</v>
      </c>
      <c r="E176" t="s">
        <v>664</v>
      </c>
      <c r="F176" t="s">
        <v>632</v>
      </c>
      <c r="G176" t="s">
        <v>671</v>
      </c>
      <c r="H176" t="s">
        <v>700</v>
      </c>
      <c r="I176" t="s">
        <v>878</v>
      </c>
      <c r="J176" t="s">
        <v>1318</v>
      </c>
      <c r="K176">
        <v>44054</v>
      </c>
      <c r="L176">
        <v>0.039014874420872</v>
      </c>
      <c r="M176">
        <v>-0.01513032473123399</v>
      </c>
      <c r="N176">
        <v>0.05</v>
      </c>
      <c r="O176">
        <v>0.07000884007923869</v>
      </c>
      <c r="P176" t="s">
        <v>637</v>
      </c>
      <c r="Q176" t="s">
        <v>637</v>
      </c>
      <c r="R176">
        <v>47</v>
      </c>
      <c r="S176">
        <v>0.9411764705882354</v>
      </c>
      <c r="T176">
        <v>38</v>
      </c>
      <c r="U176">
        <v>1.079210526315789</v>
      </c>
      <c r="V176">
        <v>1.6729</v>
      </c>
      <c r="W176">
        <v>1.7</v>
      </c>
      <c r="X176">
        <v>1.6</v>
      </c>
      <c r="Y176">
        <v>0.004409</v>
      </c>
      <c r="Z176">
        <v>0.5363036303630363</v>
      </c>
      <c r="AA176">
        <v>0.7046548956661316</v>
      </c>
      <c r="AB176">
        <v>0.5296950240770465</v>
      </c>
      <c r="AC176">
        <v>0.4703049759229534</v>
      </c>
      <c r="AD176">
        <v>0.4574638844301766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108.11</v>
      </c>
      <c r="D177">
        <v>27372.47901</v>
      </c>
      <c r="E177" t="s">
        <v>666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0.030616964203126</v>
      </c>
      <c r="M177">
        <v>-0.02145416365201336</v>
      </c>
      <c r="N177">
        <v>0.06</v>
      </c>
      <c r="O177">
        <v>0.06962124605343933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1.114536082474227</v>
      </c>
      <c r="V177">
        <v>7.0643</v>
      </c>
      <c r="W177">
        <v>8.85</v>
      </c>
      <c r="X177">
        <v>3.31</v>
      </c>
      <c r="Y177">
        <v>-0.27002</v>
      </c>
      <c r="Z177">
        <v>0.4224422442244224</v>
      </c>
      <c r="AA177">
        <v>0.3515248796147672</v>
      </c>
      <c r="AB177">
        <v>0.6597110754414125</v>
      </c>
      <c r="AC177">
        <v>0.4285714285714285</v>
      </c>
      <c r="AD177">
        <v>0.4558587479935794</v>
      </c>
    </row>
    <row r="178" spans="1:30">
      <c r="A178" s="1" t="s">
        <v>185</v>
      </c>
      <c r="B178">
        <f>HYPERLINK("https://www.suredividend.com/sure-analysis-MDLZ/","Mondelez International, Inc.")</f>
        <v>0</v>
      </c>
      <c r="C178">
        <v>56.16</v>
      </c>
      <c r="D178">
        <v>80215.5744</v>
      </c>
      <c r="E178" t="s">
        <v>670</v>
      </c>
      <c r="F178" t="s">
        <v>632</v>
      </c>
      <c r="G178" t="s">
        <v>671</v>
      </c>
      <c r="H178" t="s">
        <v>701</v>
      </c>
      <c r="I178" t="s">
        <v>880</v>
      </c>
      <c r="J178" t="s">
        <v>1321</v>
      </c>
      <c r="K178">
        <v>44049</v>
      </c>
      <c r="L178">
        <v>0.020299145299145</v>
      </c>
      <c r="M178">
        <v>-0.02296846575950329</v>
      </c>
      <c r="N178">
        <v>0.07000000000000001</v>
      </c>
      <c r="O178">
        <v>0.06760138295220908</v>
      </c>
      <c r="P178" t="s">
        <v>637</v>
      </c>
      <c r="Q178" t="s">
        <v>446</v>
      </c>
      <c r="R178">
        <v>7</v>
      </c>
      <c r="S178">
        <v>0.4596774193548387</v>
      </c>
      <c r="T178">
        <v>50</v>
      </c>
      <c r="U178">
        <v>1.1232</v>
      </c>
      <c r="V178">
        <v>2.3938</v>
      </c>
      <c r="W178">
        <v>2.48</v>
      </c>
      <c r="X178">
        <v>1.14</v>
      </c>
      <c r="Y178">
        <v>0.008350000000000002</v>
      </c>
      <c r="Z178">
        <v>0.2722772277227723</v>
      </c>
      <c r="AA178">
        <v>0.7094703049759229</v>
      </c>
      <c r="AB178">
        <v>0.7504012841091493</v>
      </c>
      <c r="AC178">
        <v>0.4189406099518459</v>
      </c>
      <c r="AD178">
        <v>0.4462279293739968</v>
      </c>
    </row>
    <row r="179" spans="1:30">
      <c r="A179" s="1" t="s">
        <v>186</v>
      </c>
      <c r="B179">
        <f>HYPERLINK("https://www.suredividend.com/sure-analysis-PPL/","PPL Corp.")</f>
        <v>0</v>
      </c>
      <c r="C179">
        <v>26.47</v>
      </c>
      <c r="D179">
        <v>20349.68601</v>
      </c>
      <c r="E179" t="s">
        <v>663</v>
      </c>
      <c r="F179" t="s">
        <v>632</v>
      </c>
      <c r="G179" t="s">
        <v>671</v>
      </c>
      <c r="H179" t="s">
        <v>700</v>
      </c>
      <c r="I179" t="s">
        <v>881</v>
      </c>
      <c r="J179" t="s">
        <v>1316</v>
      </c>
      <c r="K179">
        <v>44053</v>
      </c>
      <c r="L179">
        <v>0.06252361163581401</v>
      </c>
      <c r="M179">
        <v>-0.01136219537618732</v>
      </c>
      <c r="N179">
        <v>0.02</v>
      </c>
      <c r="O179">
        <v>0.06581628665984374</v>
      </c>
      <c r="P179" t="s">
        <v>637</v>
      </c>
      <c r="Q179" t="s">
        <v>636</v>
      </c>
      <c r="R179">
        <v>19</v>
      </c>
      <c r="S179">
        <v>0.662</v>
      </c>
      <c r="T179">
        <v>25</v>
      </c>
      <c r="U179">
        <v>1.0588</v>
      </c>
      <c r="V179">
        <v>2.3114</v>
      </c>
      <c r="W179">
        <v>2.5</v>
      </c>
      <c r="X179">
        <v>1.655</v>
      </c>
      <c r="Y179">
        <v>-0.165248</v>
      </c>
      <c r="Z179">
        <v>0.7557755775577557</v>
      </c>
      <c r="AA179">
        <v>0.4719101123595506</v>
      </c>
      <c r="AB179">
        <v>0.1613162118780096</v>
      </c>
      <c r="AC179">
        <v>0.4911717495987159</v>
      </c>
      <c r="AD179">
        <v>0.4317817014446228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134.54</v>
      </c>
      <c r="D180">
        <v>57847.4911</v>
      </c>
      <c r="E180" t="s">
        <v>666</v>
      </c>
      <c r="F180" t="s">
        <v>632</v>
      </c>
      <c r="G180" t="s">
        <v>671</v>
      </c>
      <c r="H180" t="s">
        <v>701</v>
      </c>
      <c r="I180" t="s">
        <v>882</v>
      </c>
      <c r="J180" t="s">
        <v>1319</v>
      </c>
      <c r="K180">
        <v>44044</v>
      </c>
      <c r="L180">
        <v>0.026163222833358</v>
      </c>
      <c r="M180">
        <v>-0.03947593013269035</v>
      </c>
      <c r="N180">
        <v>0.08</v>
      </c>
      <c r="O180">
        <v>0.06541784147150143</v>
      </c>
      <c r="P180" t="s">
        <v>637</v>
      </c>
      <c r="Q180" t="s">
        <v>372</v>
      </c>
      <c r="R180">
        <v>44</v>
      </c>
      <c r="S180">
        <v>0.704</v>
      </c>
      <c r="T180">
        <v>110</v>
      </c>
      <c r="U180">
        <v>1.223090909090909</v>
      </c>
      <c r="V180">
        <v>5.7241</v>
      </c>
      <c r="W180">
        <v>5</v>
      </c>
      <c r="X180">
        <v>3.52</v>
      </c>
      <c r="Y180">
        <v>-0.175966</v>
      </c>
      <c r="Z180">
        <v>0.3498349834983498</v>
      </c>
      <c r="AA180">
        <v>0.4590690208667737</v>
      </c>
      <c r="AB180">
        <v>0.8274478330658106</v>
      </c>
      <c r="AC180">
        <v>0.3210272873194221</v>
      </c>
      <c r="AD180">
        <v>0.4301765650080256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33.76</v>
      </c>
      <c r="D181">
        <v>315.169586</v>
      </c>
      <c r="E181" t="s">
        <v>669</v>
      </c>
      <c r="F181" t="s">
        <v>632</v>
      </c>
      <c r="G181" t="s">
        <v>671</v>
      </c>
      <c r="H181" t="s">
        <v>701</v>
      </c>
      <c r="I181" t="s">
        <v>883</v>
      </c>
      <c r="J181" t="s">
        <v>1316</v>
      </c>
      <c r="K181">
        <v>43978</v>
      </c>
      <c r="L181">
        <v>0.029573459715639</v>
      </c>
      <c r="M181">
        <v>0.001417775071817173</v>
      </c>
      <c r="N181">
        <v>0.036</v>
      </c>
      <c r="O181">
        <v>0.06404583902268346</v>
      </c>
      <c r="P181" t="s">
        <v>637</v>
      </c>
      <c r="Q181" t="s">
        <v>637</v>
      </c>
      <c r="R181">
        <v>25</v>
      </c>
      <c r="S181">
        <v>0.5942857142857143</v>
      </c>
      <c r="T181">
        <v>34</v>
      </c>
      <c r="U181">
        <v>0.9929411764705882</v>
      </c>
      <c r="V181">
        <v>1.7417</v>
      </c>
      <c r="W181">
        <v>1.68</v>
      </c>
      <c r="X181">
        <v>0.9984000000000001</v>
      </c>
      <c r="Y181">
        <v>-0.091985</v>
      </c>
      <c r="Z181">
        <v>0.4108910891089109</v>
      </c>
      <c r="AA181">
        <v>0.5698234349919743</v>
      </c>
      <c r="AB181">
        <v>0.3443017656500802</v>
      </c>
      <c r="AC181">
        <v>0.5666131621187801</v>
      </c>
      <c r="AD181">
        <v>0.4189406099518459</v>
      </c>
    </row>
    <row r="182" spans="1:30">
      <c r="A182" s="1" t="s">
        <v>189</v>
      </c>
      <c r="B182">
        <f>HYPERLINK("https://www.suredividend.com/sure-analysis-BLK/","BlackRock, Inc.")</f>
        <v>0</v>
      </c>
      <c r="C182">
        <v>547.8099999999999</v>
      </c>
      <c r="D182">
        <v>83532.26003999999</v>
      </c>
      <c r="E182" t="s">
        <v>670</v>
      </c>
      <c r="F182" t="s">
        <v>632</v>
      </c>
      <c r="G182" t="s">
        <v>671</v>
      </c>
      <c r="H182" t="s">
        <v>700</v>
      </c>
      <c r="I182" t="s">
        <v>884</v>
      </c>
      <c r="J182" t="s">
        <v>1313</v>
      </c>
      <c r="K182">
        <v>44035</v>
      </c>
      <c r="L182">
        <v>0.025300742958324</v>
      </c>
      <c r="M182">
        <v>-0.03058758485334134</v>
      </c>
      <c r="N182">
        <v>0.07000000000000001</v>
      </c>
      <c r="O182">
        <v>0.06403590886026245</v>
      </c>
      <c r="P182" t="s">
        <v>637</v>
      </c>
      <c r="Q182" t="s">
        <v>372</v>
      </c>
      <c r="R182">
        <v>10</v>
      </c>
      <c r="S182">
        <v>0.4725536992840095</v>
      </c>
      <c r="T182">
        <v>469</v>
      </c>
      <c r="U182">
        <v>1.168038379530917</v>
      </c>
      <c r="V182">
        <v>28.6779</v>
      </c>
      <c r="W182">
        <v>29.33</v>
      </c>
      <c r="X182">
        <v>13.86</v>
      </c>
      <c r="Y182">
        <v>0.228274</v>
      </c>
      <c r="Z182">
        <v>0.334983498349835</v>
      </c>
      <c r="AA182">
        <v>0.8715890850722312</v>
      </c>
      <c r="AB182">
        <v>0.7504012841091493</v>
      </c>
      <c r="AC182">
        <v>0.3820224719101124</v>
      </c>
      <c r="AD182">
        <v>0.4173354735152487</v>
      </c>
    </row>
    <row r="183" spans="1:30">
      <c r="A183" s="1" t="s">
        <v>190</v>
      </c>
      <c r="B183">
        <f>HYPERLINK("https://www.suredividend.com/sure-analysis-TTC/","The Toro Co.")</f>
        <v>0</v>
      </c>
      <c r="C183">
        <v>82.95999999999999</v>
      </c>
      <c r="D183">
        <v>8901.359119999999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44092</v>
      </c>
      <c r="L183">
        <v>0.011752651880424</v>
      </c>
      <c r="M183">
        <v>-0.05355722287758136</v>
      </c>
      <c r="N183">
        <v>0.11</v>
      </c>
      <c r="O183">
        <v>0.06351642379161282</v>
      </c>
      <c r="P183" t="s">
        <v>637</v>
      </c>
      <c r="Q183" t="s">
        <v>446</v>
      </c>
      <c r="R183">
        <v>10</v>
      </c>
      <c r="S183">
        <v>0.3409090909090909</v>
      </c>
      <c r="T183">
        <v>63</v>
      </c>
      <c r="U183">
        <v>1.316825396825397</v>
      </c>
      <c r="V183">
        <v>2.7509</v>
      </c>
      <c r="W183">
        <v>2.86</v>
      </c>
      <c r="X183">
        <v>0.975</v>
      </c>
      <c r="Y183">
        <v>0.135816</v>
      </c>
      <c r="Z183">
        <v>0.1089108910891089</v>
      </c>
      <c r="AA183">
        <v>0.8073836276083468</v>
      </c>
      <c r="AB183">
        <v>0.9414125200642054</v>
      </c>
      <c r="AC183">
        <v>0.232744783306581</v>
      </c>
      <c r="AD183">
        <v>0.4125200642054574</v>
      </c>
    </row>
    <row r="184" spans="1:30">
      <c r="A184" s="1" t="s">
        <v>191</v>
      </c>
      <c r="B184">
        <f>HYPERLINK("https://www.suredividend.com/sure-analysis-HD/","The Home Depot, Inc.")</f>
        <v>0</v>
      </c>
      <c r="C184">
        <v>268.55</v>
      </c>
      <c r="D184">
        <v>289083.333</v>
      </c>
      <c r="E184" t="s">
        <v>665</v>
      </c>
      <c r="F184" t="s">
        <v>632</v>
      </c>
      <c r="G184" t="s">
        <v>671</v>
      </c>
      <c r="H184" t="s">
        <v>700</v>
      </c>
      <c r="I184" t="s">
        <v>886</v>
      </c>
      <c r="J184" t="s">
        <v>1318</v>
      </c>
      <c r="K184">
        <v>44075</v>
      </c>
      <c r="L184">
        <v>0.021299571774343</v>
      </c>
      <c r="M184">
        <v>-0.02883602139261121</v>
      </c>
      <c r="N184">
        <v>0.07000000000000001</v>
      </c>
      <c r="O184">
        <v>0.06173111227370121</v>
      </c>
      <c r="P184" t="s">
        <v>637</v>
      </c>
      <c r="Q184" t="s">
        <v>446</v>
      </c>
      <c r="R184">
        <v>11</v>
      </c>
      <c r="S184">
        <v>0.5061946902654867</v>
      </c>
      <c r="T184">
        <v>232</v>
      </c>
      <c r="U184">
        <v>1.157543103448276</v>
      </c>
      <c r="V184">
        <v>10.9631</v>
      </c>
      <c r="W184">
        <v>11.3</v>
      </c>
      <c r="X184">
        <v>5.72</v>
      </c>
      <c r="Y184">
        <v>0.168676</v>
      </c>
      <c r="Z184">
        <v>0.2788778877887789</v>
      </c>
      <c r="AA184">
        <v>0.8250401284109149</v>
      </c>
      <c r="AB184">
        <v>0.7504012841091493</v>
      </c>
      <c r="AC184">
        <v>0.3916532905296951</v>
      </c>
      <c r="AD184">
        <v>0.404494382022472</v>
      </c>
    </row>
    <row r="185" spans="1:30">
      <c r="A185" s="1" t="s">
        <v>192</v>
      </c>
      <c r="B185">
        <f>HYPERLINK("https://www.suredividend.com/sure-analysis-FTS/","Fortis, Inc.")</f>
        <v>0</v>
      </c>
      <c r="C185">
        <v>40.2</v>
      </c>
      <c r="D185">
        <v>18676.92</v>
      </c>
      <c r="E185" t="s">
        <v>670</v>
      </c>
      <c r="F185" t="s">
        <v>632</v>
      </c>
      <c r="G185" t="s">
        <v>673</v>
      </c>
      <c r="H185" t="s">
        <v>700</v>
      </c>
      <c r="I185" t="s">
        <v>887</v>
      </c>
      <c r="J185" t="s">
        <v>1316</v>
      </c>
      <c r="K185">
        <v>44063</v>
      </c>
      <c r="L185">
        <v>0.034879379199497</v>
      </c>
      <c r="M185">
        <v>-0.02182785928402675</v>
      </c>
      <c r="N185">
        <v>0.05</v>
      </c>
      <c r="O185">
        <v>0.06128267007458632</v>
      </c>
      <c r="P185" t="s">
        <v>637</v>
      </c>
      <c r="Q185" t="s">
        <v>637</v>
      </c>
      <c r="R185">
        <v>46</v>
      </c>
      <c r="S185">
        <v>0.7538446472149462</v>
      </c>
      <c r="T185">
        <v>36</v>
      </c>
      <c r="U185">
        <v>1.116666666666667</v>
      </c>
      <c r="V185">
        <v>1.9932</v>
      </c>
      <c r="W185">
        <v>1.86</v>
      </c>
      <c r="X185">
        <v>1.4021510438198</v>
      </c>
      <c r="Y185">
        <v>-0.057002</v>
      </c>
      <c r="Z185">
        <v>0.4785478547854785</v>
      </c>
      <c r="AA185">
        <v>0.6147672552166934</v>
      </c>
      <c r="AB185">
        <v>0.5296950240770465</v>
      </c>
      <c r="AC185">
        <v>0.4253611556982344</v>
      </c>
      <c r="AD185">
        <v>0.4028892455858748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58.38</v>
      </c>
      <c r="D186">
        <v>9747.673572</v>
      </c>
      <c r="E186" t="s">
        <v>669</v>
      </c>
      <c r="F186" t="s">
        <v>633</v>
      </c>
      <c r="G186" t="s">
        <v>671</v>
      </c>
      <c r="H186" t="s">
        <v>700</v>
      </c>
      <c r="I186" t="s">
        <v>888</v>
      </c>
      <c r="J186" t="s">
        <v>1316</v>
      </c>
      <c r="K186">
        <v>44096</v>
      </c>
      <c r="L186">
        <v>0.03614251455978</v>
      </c>
      <c r="M186">
        <v>-0.01915054345747369</v>
      </c>
      <c r="N186">
        <v>0.04</v>
      </c>
      <c r="O186">
        <v>0.05820108061048423</v>
      </c>
      <c r="P186" t="s">
        <v>637</v>
      </c>
      <c r="Q186" t="s">
        <v>637</v>
      </c>
      <c r="R186">
        <v>5</v>
      </c>
      <c r="S186">
        <v>0.3201820940819423</v>
      </c>
      <c r="T186">
        <v>53</v>
      </c>
      <c r="U186">
        <v>1.101509433962264</v>
      </c>
      <c r="V186">
        <v>-3.3332</v>
      </c>
      <c r="W186">
        <v>6.59</v>
      </c>
      <c r="X186">
        <v>2.11</v>
      </c>
      <c r="Y186">
        <v>0.120537</v>
      </c>
      <c r="Z186">
        <v>0.5</v>
      </c>
      <c r="AA186">
        <v>0.7913322632423756</v>
      </c>
      <c r="AB186">
        <v>0.4012841091492777</v>
      </c>
      <c r="AC186">
        <v>0.4462279293739968</v>
      </c>
      <c r="AD186">
        <v>0.3900481540930979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48.72</v>
      </c>
      <c r="D187">
        <v>209273.8368</v>
      </c>
      <c r="E187" t="s">
        <v>666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44034</v>
      </c>
      <c r="L187">
        <v>0.033251231527093</v>
      </c>
      <c r="M187">
        <v>-0.04848582300978121</v>
      </c>
      <c r="N187">
        <v>0.075</v>
      </c>
      <c r="O187">
        <v>0.05719541297850861</v>
      </c>
      <c r="P187" t="s">
        <v>637</v>
      </c>
      <c r="Q187" t="s">
        <v>637</v>
      </c>
      <c r="R187">
        <v>58</v>
      </c>
      <c r="S187">
        <v>0.9</v>
      </c>
      <c r="T187">
        <v>38</v>
      </c>
      <c r="U187">
        <v>1.282105263157895</v>
      </c>
      <c r="V187">
        <v>2.1439</v>
      </c>
      <c r="W187">
        <v>1.8</v>
      </c>
      <c r="X187">
        <v>1.62</v>
      </c>
      <c r="Y187">
        <v>-0.104247</v>
      </c>
      <c r="Z187">
        <v>0.4603960396039604</v>
      </c>
      <c r="AA187">
        <v>0.5537720706260032</v>
      </c>
      <c r="AB187">
        <v>0.7889245585874799</v>
      </c>
      <c r="AC187">
        <v>0.2632423756019262</v>
      </c>
      <c r="AD187">
        <v>0.3868378812199037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68.08</v>
      </c>
      <c r="D188">
        <v>36915.76728</v>
      </c>
      <c r="E188" t="s">
        <v>661</v>
      </c>
      <c r="F188" t="s">
        <v>632</v>
      </c>
      <c r="G188" t="s">
        <v>671</v>
      </c>
      <c r="H188" t="s">
        <v>701</v>
      </c>
      <c r="I188" t="s">
        <v>890</v>
      </c>
      <c r="J188" t="s">
        <v>1320</v>
      </c>
      <c r="K188">
        <v>44063</v>
      </c>
      <c r="L188">
        <v>0.012338425381903</v>
      </c>
      <c r="M188">
        <v>-0.03490278644916878</v>
      </c>
      <c r="N188">
        <v>0.08</v>
      </c>
      <c r="O188">
        <v>0.05548468954548036</v>
      </c>
      <c r="P188" t="s">
        <v>637</v>
      </c>
      <c r="Q188" t="s">
        <v>446</v>
      </c>
      <c r="R188">
        <v>1</v>
      </c>
      <c r="S188">
        <v>0.2366197183098591</v>
      </c>
      <c r="T188">
        <v>57</v>
      </c>
      <c r="U188">
        <v>1.194385964912281</v>
      </c>
      <c r="V188">
        <v>2.9622</v>
      </c>
      <c r="W188">
        <v>3.55</v>
      </c>
      <c r="X188">
        <v>0.84</v>
      </c>
      <c r="Y188">
        <v>0.141229</v>
      </c>
      <c r="Z188">
        <v>0.1122112211221122</v>
      </c>
      <c r="AA188">
        <v>0.810593900481541</v>
      </c>
      <c r="AB188">
        <v>0.8274478330658106</v>
      </c>
      <c r="AC188">
        <v>0.3563402889245586</v>
      </c>
      <c r="AD188">
        <v>0.377207062600321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41.12</v>
      </c>
      <c r="D189">
        <v>1006.98768</v>
      </c>
      <c r="E189" t="s">
        <v>664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44070</v>
      </c>
      <c r="L189">
        <v>0.074173151750972</v>
      </c>
      <c r="M189">
        <v>-0.0317154825737983</v>
      </c>
      <c r="N189">
        <v>0.015</v>
      </c>
      <c r="O189">
        <v>0.05436911280475076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1.174857142857143</v>
      </c>
      <c r="V189">
        <v>3.0852</v>
      </c>
      <c r="W189">
        <v>3.2</v>
      </c>
      <c r="X189">
        <v>3.05</v>
      </c>
      <c r="Y189">
        <v>-0.250182</v>
      </c>
      <c r="Z189">
        <v>0.8217821782178218</v>
      </c>
      <c r="AA189">
        <v>0.3659711075441412</v>
      </c>
      <c r="AB189">
        <v>0.1163723916532905</v>
      </c>
      <c r="AC189">
        <v>0.3756019261637239</v>
      </c>
      <c r="AD189">
        <v>0.3691813804173355</v>
      </c>
    </row>
    <row r="190" spans="1:30">
      <c r="A190" s="1" t="s">
        <v>197</v>
      </c>
      <c r="B190">
        <f>HYPERLINK("https://www.suredividend.com/sure-analysis-AEP/","American Electric Power Co., Inc.")</f>
        <v>0</v>
      </c>
      <c r="C190">
        <v>80.65000000000001</v>
      </c>
      <c r="D190">
        <v>40014.90075</v>
      </c>
      <c r="E190" t="s">
        <v>669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43998</v>
      </c>
      <c r="L190">
        <v>0.034717916924984</v>
      </c>
      <c r="M190">
        <v>-0.02516571399942191</v>
      </c>
      <c r="N190">
        <v>0.045</v>
      </c>
      <c r="O190">
        <v>0.0526668243193158</v>
      </c>
      <c r="P190" t="s">
        <v>637</v>
      </c>
      <c r="Q190" t="s">
        <v>372</v>
      </c>
      <c r="R190">
        <v>16</v>
      </c>
      <c r="S190">
        <v>0.6682577565632457</v>
      </c>
      <c r="T190">
        <v>71</v>
      </c>
      <c r="U190">
        <v>1.135915492957747</v>
      </c>
      <c r="V190">
        <v>3.848</v>
      </c>
      <c r="W190">
        <v>4.19</v>
      </c>
      <c r="X190">
        <v>2.8</v>
      </c>
      <c r="Y190">
        <v>-0.14466</v>
      </c>
      <c r="Z190">
        <v>0.4752475247524752</v>
      </c>
      <c r="AA190">
        <v>0.4991974317817015</v>
      </c>
      <c r="AB190">
        <v>0.4542536115569824</v>
      </c>
      <c r="AC190">
        <v>0.406099518459069</v>
      </c>
      <c r="AD190">
        <v>0.3611556982343499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63.08</v>
      </c>
      <c r="D191">
        <v>21631.33052</v>
      </c>
      <c r="E191" t="s">
        <v>666</v>
      </c>
      <c r="F191" t="s">
        <v>632</v>
      </c>
      <c r="G191" t="s">
        <v>671</v>
      </c>
      <c r="H191" t="s">
        <v>700</v>
      </c>
      <c r="I191" t="s">
        <v>893</v>
      </c>
      <c r="J191" t="s">
        <v>1321</v>
      </c>
      <c r="K191">
        <v>44050</v>
      </c>
      <c r="L191">
        <v>0.036144578313253</v>
      </c>
      <c r="M191">
        <v>-0.01328423884022745</v>
      </c>
      <c r="N191">
        <v>0.03</v>
      </c>
      <c r="O191">
        <v>0.05187450005483862</v>
      </c>
      <c r="P191" t="s">
        <v>637</v>
      </c>
      <c r="Q191" t="s">
        <v>637</v>
      </c>
      <c r="R191">
        <v>16</v>
      </c>
      <c r="S191">
        <v>0.5846153846153846</v>
      </c>
      <c r="T191">
        <v>59</v>
      </c>
      <c r="U191">
        <v>1.069152542372881</v>
      </c>
      <c r="V191">
        <v>3.1875</v>
      </c>
      <c r="W191">
        <v>3.9</v>
      </c>
      <c r="X191">
        <v>2.28</v>
      </c>
      <c r="Y191">
        <v>-0.017599</v>
      </c>
      <c r="Z191">
        <v>0.5016501650165016</v>
      </c>
      <c r="AA191">
        <v>0.6629213483146067</v>
      </c>
      <c r="AB191">
        <v>0.2680577849117175</v>
      </c>
      <c r="AC191">
        <v>0.4815409309791333</v>
      </c>
      <c r="AD191">
        <v>0.3579454253611557</v>
      </c>
    </row>
    <row r="192" spans="1:30">
      <c r="A192" s="1" t="s">
        <v>199</v>
      </c>
      <c r="B192">
        <f>HYPERLINK("https://www.suredividend.com/sure-analysis-SAP/","SAP SE")</f>
        <v>0</v>
      </c>
      <c r="C192">
        <v>152.06</v>
      </c>
      <c r="D192">
        <v>179369.976</v>
      </c>
      <c r="E192" t="s">
        <v>664</v>
      </c>
      <c r="F192" t="s">
        <v>632</v>
      </c>
      <c r="G192" t="s">
        <v>675</v>
      </c>
      <c r="H192" t="s">
        <v>700</v>
      </c>
      <c r="I192" t="s">
        <v>894</v>
      </c>
      <c r="J192" t="s">
        <v>1320</v>
      </c>
      <c r="K192">
        <v>44041</v>
      </c>
      <c r="L192">
        <v>0.011401420491911</v>
      </c>
      <c r="M192">
        <v>-0.04625285268122914</v>
      </c>
      <c r="N192">
        <v>0.09</v>
      </c>
      <c r="O192">
        <v>0.05167591938520433</v>
      </c>
      <c r="P192" t="s">
        <v>637</v>
      </c>
      <c r="Q192" t="s">
        <v>446</v>
      </c>
      <c r="R192">
        <v>5</v>
      </c>
      <c r="S192">
        <v>0.28895</v>
      </c>
      <c r="T192">
        <v>120</v>
      </c>
      <c r="U192">
        <v>1.267166666666667</v>
      </c>
      <c r="V192">
        <v>4.2396</v>
      </c>
      <c r="W192">
        <v>6</v>
      </c>
      <c r="X192">
        <v>1.7337</v>
      </c>
      <c r="Y192">
        <v>0.292368</v>
      </c>
      <c r="Z192">
        <v>0.1023102310231023</v>
      </c>
      <c r="AA192">
        <v>0.9020866773675762</v>
      </c>
      <c r="AB192">
        <v>0.8780096308186195</v>
      </c>
      <c r="AC192">
        <v>0.2808988764044943</v>
      </c>
      <c r="AD192">
        <v>0.3563402889245586</v>
      </c>
    </row>
    <row r="193" spans="1:30">
      <c r="A193" s="1" t="s">
        <v>200</v>
      </c>
      <c r="B193">
        <f>HYPERLINK("https://www.suredividend.com/sure-analysis-SNA/","Snap-On, Inc.")</f>
        <v>0</v>
      </c>
      <c r="C193">
        <v>142.04</v>
      </c>
      <c r="D193">
        <v>7736.379048</v>
      </c>
      <c r="E193" t="s">
        <v>666</v>
      </c>
      <c r="F193" t="s">
        <v>632</v>
      </c>
      <c r="G193" t="s">
        <v>671</v>
      </c>
      <c r="H193" t="s">
        <v>700</v>
      </c>
      <c r="I193" t="s">
        <v>895</v>
      </c>
      <c r="J193" t="s">
        <v>1319</v>
      </c>
      <c r="K193">
        <v>44046</v>
      </c>
      <c r="L193">
        <v>0.029498732751337</v>
      </c>
      <c r="M193">
        <v>0.01630020092879514</v>
      </c>
      <c r="N193">
        <v>0</v>
      </c>
      <c r="O193">
        <v>0.05011001027124906</v>
      </c>
      <c r="P193" t="s">
        <v>637</v>
      </c>
      <c r="Q193" t="s">
        <v>372</v>
      </c>
      <c r="R193">
        <v>10</v>
      </c>
      <c r="S193">
        <v>0.452972972972973</v>
      </c>
      <c r="T193">
        <v>154</v>
      </c>
      <c r="U193">
        <v>0.9223376623376622</v>
      </c>
      <c r="V193">
        <v>10.4898</v>
      </c>
      <c r="W193">
        <v>9.25</v>
      </c>
      <c r="X193">
        <v>4.19</v>
      </c>
      <c r="Y193">
        <v>-0.08314000000000001</v>
      </c>
      <c r="Z193">
        <v>0.4075907590759076</v>
      </c>
      <c r="AA193">
        <v>0.579454253611557</v>
      </c>
      <c r="AB193">
        <v>0.04895666131621188</v>
      </c>
      <c r="AC193">
        <v>0.6436597110754414</v>
      </c>
      <c r="AD193">
        <v>0.3451043338683788</v>
      </c>
    </row>
    <row r="194" spans="1:30">
      <c r="A194" s="1" t="s">
        <v>201</v>
      </c>
      <c r="B194">
        <f>HYPERLINK("https://www.suredividend.com/sure-analysis-SYY/","Sysco Corp.")</f>
        <v>0</v>
      </c>
      <c r="C194">
        <v>62.01</v>
      </c>
      <c r="D194">
        <v>31534.31736</v>
      </c>
      <c r="E194" t="s">
        <v>669</v>
      </c>
      <c r="F194" t="s">
        <v>632</v>
      </c>
      <c r="G194" t="s">
        <v>671</v>
      </c>
      <c r="H194" t="s">
        <v>700</v>
      </c>
      <c r="I194" t="s">
        <v>896</v>
      </c>
      <c r="J194" t="s">
        <v>1321</v>
      </c>
      <c r="K194">
        <v>44013</v>
      </c>
      <c r="L194">
        <v>0.028059990324141</v>
      </c>
      <c r="M194">
        <v>-0.03091286619041367</v>
      </c>
      <c r="N194">
        <v>0.052</v>
      </c>
      <c r="O194">
        <v>0.04698424628414721</v>
      </c>
      <c r="P194" t="s">
        <v>637</v>
      </c>
      <c r="Q194" t="s">
        <v>372</v>
      </c>
      <c r="R194">
        <v>51</v>
      </c>
      <c r="S194">
        <v>0.87</v>
      </c>
      <c r="T194">
        <v>53</v>
      </c>
      <c r="U194">
        <v>1.17</v>
      </c>
      <c r="V194">
        <v>0.409</v>
      </c>
      <c r="W194">
        <v>2</v>
      </c>
      <c r="X194">
        <v>1.74</v>
      </c>
      <c r="Y194">
        <v>-0.213071</v>
      </c>
      <c r="Z194">
        <v>0.3844884488448845</v>
      </c>
      <c r="AA194">
        <v>0.4028892455858748</v>
      </c>
      <c r="AB194">
        <v>0.593900481540931</v>
      </c>
      <c r="AC194">
        <v>0.3804173354735153</v>
      </c>
      <c r="AD194">
        <v>0.3306581059390048</v>
      </c>
    </row>
    <row r="195" spans="1:30">
      <c r="A195" s="1" t="s">
        <v>202</v>
      </c>
      <c r="B195">
        <f>HYPERLINK("https://www.suredividend.com/sure-analysis-RSG/","Republic Services, Inc.")</f>
        <v>0</v>
      </c>
      <c r="C195">
        <v>94.06999999999999</v>
      </c>
      <c r="D195">
        <v>29960.63651</v>
      </c>
      <c r="E195" t="s">
        <v>662</v>
      </c>
      <c r="F195" t="s">
        <v>632</v>
      </c>
      <c r="G195" t="s">
        <v>671</v>
      </c>
      <c r="H195" t="s">
        <v>700</v>
      </c>
      <c r="I195" t="s">
        <v>897</v>
      </c>
      <c r="J195" t="s">
        <v>1319</v>
      </c>
      <c r="K195">
        <v>44052</v>
      </c>
      <c r="L195">
        <v>0.017221218241734</v>
      </c>
      <c r="M195">
        <v>-0.02947489273271786</v>
      </c>
      <c r="N195">
        <v>0.06</v>
      </c>
      <c r="O195">
        <v>0.04683361738162439</v>
      </c>
      <c r="P195" t="s">
        <v>637</v>
      </c>
      <c r="Q195" t="s">
        <v>446</v>
      </c>
      <c r="R195">
        <v>11</v>
      </c>
      <c r="S195">
        <v>0.5</v>
      </c>
      <c r="T195">
        <v>81</v>
      </c>
      <c r="U195">
        <v>1.161358024691358</v>
      </c>
      <c r="V195">
        <v>3.313</v>
      </c>
      <c r="W195">
        <v>3.24</v>
      </c>
      <c r="X195">
        <v>1.62</v>
      </c>
      <c r="Y195">
        <v>0.083257</v>
      </c>
      <c r="Z195">
        <v>0.1914191419141914</v>
      </c>
      <c r="AA195">
        <v>0.7624398073836276</v>
      </c>
      <c r="AB195">
        <v>0.6597110754414125</v>
      </c>
      <c r="AC195">
        <v>0.3868378812199037</v>
      </c>
      <c r="AD195">
        <v>0.3290529695024077</v>
      </c>
    </row>
    <row r="196" spans="1:30">
      <c r="A196" s="1" t="s">
        <v>203</v>
      </c>
      <c r="B196">
        <f>HYPERLINK("https://www.suredividend.com/sure-analysis-PEG/","Public Service Enterprise Group, Inc.")</f>
        <v>0</v>
      </c>
      <c r="C196">
        <v>54.13</v>
      </c>
      <c r="D196">
        <v>27376.57228</v>
      </c>
      <c r="E196" t="s">
        <v>668</v>
      </c>
      <c r="F196" t="s">
        <v>632</v>
      </c>
      <c r="G196" t="s">
        <v>671</v>
      </c>
      <c r="H196" t="s">
        <v>700</v>
      </c>
      <c r="I196" t="s">
        <v>898</v>
      </c>
      <c r="J196" t="s">
        <v>1316</v>
      </c>
      <c r="K196">
        <v>44056</v>
      </c>
      <c r="L196">
        <v>0.035470164418991</v>
      </c>
      <c r="M196">
        <v>-0.01971668537293925</v>
      </c>
      <c r="N196">
        <v>0.03</v>
      </c>
      <c r="O196">
        <v>0.04616239467908678</v>
      </c>
      <c r="P196" t="s">
        <v>637</v>
      </c>
      <c r="Q196" t="s">
        <v>637</v>
      </c>
      <c r="R196">
        <v>9</v>
      </c>
      <c r="S196">
        <v>0.5647058823529412</v>
      </c>
      <c r="T196">
        <v>49</v>
      </c>
      <c r="U196">
        <v>1.10469387755102</v>
      </c>
      <c r="V196">
        <v>3.4504</v>
      </c>
      <c r="W196">
        <v>3.4</v>
      </c>
      <c r="X196">
        <v>1.92</v>
      </c>
      <c r="Y196">
        <v>-0.130581</v>
      </c>
      <c r="Z196">
        <v>0.4900990099009901</v>
      </c>
      <c r="AA196">
        <v>0.5200642054574639</v>
      </c>
      <c r="AB196">
        <v>0.2680577849117175</v>
      </c>
      <c r="AC196">
        <v>0.4446227929373997</v>
      </c>
      <c r="AD196">
        <v>0.3258426966292135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75.77</v>
      </c>
      <c r="D197">
        <v>25344.83769</v>
      </c>
      <c r="E197" t="s">
        <v>663</v>
      </c>
      <c r="F197" t="s">
        <v>632</v>
      </c>
      <c r="G197" t="s">
        <v>671</v>
      </c>
      <c r="H197" t="s">
        <v>700</v>
      </c>
      <c r="I197" t="s">
        <v>899</v>
      </c>
      <c r="J197" t="s">
        <v>1316</v>
      </c>
      <c r="K197">
        <v>44052</v>
      </c>
      <c r="L197">
        <v>0.039725485020456</v>
      </c>
      <c r="M197">
        <v>-0.03019769080515555</v>
      </c>
      <c r="N197">
        <v>0.035</v>
      </c>
      <c r="O197">
        <v>0.04444045840130562</v>
      </c>
      <c r="P197" t="s">
        <v>637</v>
      </c>
      <c r="Q197" t="s">
        <v>636</v>
      </c>
      <c r="R197">
        <v>46</v>
      </c>
      <c r="S197">
        <v>0.708235294117647</v>
      </c>
      <c r="T197">
        <v>65</v>
      </c>
      <c r="U197">
        <v>1.165692307692308</v>
      </c>
      <c r="V197">
        <v>4.0038</v>
      </c>
      <c r="W197">
        <v>4.25</v>
      </c>
      <c r="X197">
        <v>3.01</v>
      </c>
      <c r="Y197">
        <v>-0.199472</v>
      </c>
      <c r="Z197">
        <v>0.5495049504950495</v>
      </c>
      <c r="AA197">
        <v>0.4253611556982344</v>
      </c>
      <c r="AB197">
        <v>0.3362760834670947</v>
      </c>
      <c r="AC197">
        <v>0.3836276083467094</v>
      </c>
      <c r="AD197">
        <v>0.3210272873194221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96.98</v>
      </c>
      <c r="D198">
        <v>19416.46278</v>
      </c>
      <c r="E198" t="s">
        <v>664</v>
      </c>
      <c r="F198" t="s">
        <v>632</v>
      </c>
      <c r="G198" t="s">
        <v>671</v>
      </c>
      <c r="H198" t="s">
        <v>700</v>
      </c>
      <c r="I198" t="s">
        <v>900</v>
      </c>
      <c r="J198" t="s">
        <v>1316</v>
      </c>
      <c r="K198">
        <v>44061</v>
      </c>
      <c r="L198">
        <v>0.03815219632914001</v>
      </c>
      <c r="M198">
        <v>-0.0283285971280498</v>
      </c>
      <c r="N198">
        <v>0.035</v>
      </c>
      <c r="O198">
        <v>0.04318947091135716</v>
      </c>
      <c r="P198" t="s">
        <v>637</v>
      </c>
      <c r="Q198" t="s">
        <v>637</v>
      </c>
      <c r="R198">
        <v>26</v>
      </c>
      <c r="S198">
        <v>0.6607142857142858</v>
      </c>
      <c r="T198">
        <v>84</v>
      </c>
      <c r="U198">
        <v>1.15452380952381</v>
      </c>
      <c r="V198">
        <v>6.165</v>
      </c>
      <c r="W198">
        <v>5.6</v>
      </c>
      <c r="X198">
        <v>3.7</v>
      </c>
      <c r="Y198">
        <v>-0.174989</v>
      </c>
      <c r="Z198">
        <v>0.5247524752475248</v>
      </c>
      <c r="AA198">
        <v>0.4606741573033708</v>
      </c>
      <c r="AB198">
        <v>0.3362760834670947</v>
      </c>
      <c r="AC198">
        <v>0.3948635634028892</v>
      </c>
      <c r="AD198">
        <v>0.3146067415730337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102.97</v>
      </c>
      <c r="D199">
        <v>19718.755</v>
      </c>
      <c r="E199" t="s">
        <v>666</v>
      </c>
      <c r="F199" t="s">
        <v>632</v>
      </c>
      <c r="G199" t="s">
        <v>671</v>
      </c>
      <c r="H199" t="s">
        <v>700</v>
      </c>
      <c r="I199" t="s">
        <v>901</v>
      </c>
      <c r="J199" t="s">
        <v>1313</v>
      </c>
      <c r="K199">
        <v>44047</v>
      </c>
      <c r="L199">
        <v>0.017092356997183</v>
      </c>
      <c r="M199">
        <v>-0.0331441974490192</v>
      </c>
      <c r="N199">
        <v>0.06</v>
      </c>
      <c r="O199">
        <v>0.04263956073899333</v>
      </c>
      <c r="P199" t="s">
        <v>637</v>
      </c>
      <c r="Q199" t="s">
        <v>446</v>
      </c>
      <c r="R199">
        <v>10</v>
      </c>
      <c r="S199">
        <v>0.4045977011494253</v>
      </c>
      <c r="T199">
        <v>87</v>
      </c>
      <c r="U199">
        <v>1.183563218390805</v>
      </c>
      <c r="V199">
        <v>3.8446</v>
      </c>
      <c r="W199">
        <v>4.35</v>
      </c>
      <c r="X199">
        <v>1.76</v>
      </c>
      <c r="Y199">
        <v>0.146659</v>
      </c>
      <c r="Z199">
        <v>0.1848184818481848</v>
      </c>
      <c r="AA199">
        <v>0.812199036918138</v>
      </c>
      <c r="AB199">
        <v>0.6597110754414125</v>
      </c>
      <c r="AC199">
        <v>0.3723916532905296</v>
      </c>
      <c r="AD199">
        <v>0.3097913322632423</v>
      </c>
    </row>
    <row r="200" spans="1:30">
      <c r="A200" s="1" t="s">
        <v>207</v>
      </c>
      <c r="B200">
        <f>HYPERLINK("https://www.suredividend.com/sure-analysis-MGRC/","McGrath RentCorp")</f>
        <v>0</v>
      </c>
      <c r="C200">
        <v>58.49</v>
      </c>
      <c r="D200">
        <v>1408.620519</v>
      </c>
      <c r="E200" t="s">
        <v>663</v>
      </c>
      <c r="F200" t="s">
        <v>632</v>
      </c>
      <c r="G200" t="s">
        <v>671</v>
      </c>
      <c r="H200" t="s">
        <v>701</v>
      </c>
      <c r="I200" t="s">
        <v>902</v>
      </c>
      <c r="J200" t="s">
        <v>1319</v>
      </c>
      <c r="K200">
        <v>44041</v>
      </c>
      <c r="L200">
        <v>0.027184134040006</v>
      </c>
      <c r="M200">
        <v>-0.01584743732418303</v>
      </c>
      <c r="N200">
        <v>0.03</v>
      </c>
      <c r="O200">
        <v>0.04184272934897204</v>
      </c>
      <c r="P200" t="s">
        <v>637</v>
      </c>
      <c r="Q200" t="s">
        <v>637</v>
      </c>
      <c r="R200">
        <v>29</v>
      </c>
      <c r="S200">
        <v>0.5230263157894737</v>
      </c>
      <c r="T200">
        <v>54</v>
      </c>
      <c r="U200">
        <v>1.083148148148148</v>
      </c>
      <c r="V200">
        <v>4.1895</v>
      </c>
      <c r="W200">
        <v>3.04</v>
      </c>
      <c r="X200">
        <v>1.59</v>
      </c>
      <c r="Y200">
        <v>-0.154402</v>
      </c>
      <c r="Z200">
        <v>0.3712871287128713</v>
      </c>
      <c r="AA200">
        <v>0.4879614767255216</v>
      </c>
      <c r="AB200">
        <v>0.2680577849117175</v>
      </c>
      <c r="AC200">
        <v>0.4670947030497593</v>
      </c>
      <c r="AD200">
        <v>0.3049759229534511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161.49</v>
      </c>
      <c r="D201">
        <v>113330.93667</v>
      </c>
      <c r="E201" t="s">
        <v>663</v>
      </c>
      <c r="F201" t="s">
        <v>632</v>
      </c>
      <c r="G201" t="s">
        <v>671</v>
      </c>
      <c r="H201" t="s">
        <v>700</v>
      </c>
      <c r="I201" t="s">
        <v>903</v>
      </c>
      <c r="J201" t="s">
        <v>1319</v>
      </c>
      <c r="K201">
        <v>44036</v>
      </c>
      <c r="L201">
        <v>0.021797015295064</v>
      </c>
      <c r="M201">
        <v>-0.07057472709365498</v>
      </c>
      <c r="N201">
        <v>0.09</v>
      </c>
      <c r="O201">
        <v>0.03929523102689747</v>
      </c>
      <c r="P201" t="s">
        <v>637</v>
      </c>
      <c r="Q201" t="s">
        <v>372</v>
      </c>
      <c r="R201">
        <v>10</v>
      </c>
      <c r="S201">
        <v>0.5021398002853067</v>
      </c>
      <c r="T201">
        <v>112</v>
      </c>
      <c r="U201">
        <v>1.441875</v>
      </c>
      <c r="V201">
        <v>8.2196</v>
      </c>
      <c r="W201">
        <v>7.01</v>
      </c>
      <c r="X201">
        <v>3.52</v>
      </c>
      <c r="Y201">
        <v>-0.033168</v>
      </c>
      <c r="Z201">
        <v>0.2871287128712872</v>
      </c>
      <c r="AA201">
        <v>0.6404494382022472</v>
      </c>
      <c r="AB201">
        <v>0.8780096308186195</v>
      </c>
      <c r="AC201">
        <v>0.1621187800963082</v>
      </c>
      <c r="AD201">
        <v>0.2841091492776886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139.52</v>
      </c>
      <c r="D202">
        <v>29023.337847</v>
      </c>
      <c r="E202" t="s">
        <v>660</v>
      </c>
      <c r="F202" t="s">
        <v>632</v>
      </c>
      <c r="G202" t="s">
        <v>671</v>
      </c>
      <c r="H202" t="s">
        <v>700</v>
      </c>
      <c r="I202" t="s">
        <v>904</v>
      </c>
      <c r="J202" t="s">
        <v>1321</v>
      </c>
      <c r="K202">
        <v>44042</v>
      </c>
      <c r="L202">
        <v>0.022161697247706</v>
      </c>
      <c r="M202">
        <v>-0.04299036319492311</v>
      </c>
      <c r="N202">
        <v>0.06</v>
      </c>
      <c r="O202">
        <v>0.03920117337297402</v>
      </c>
      <c r="P202" t="s">
        <v>637</v>
      </c>
      <c r="Q202" t="s">
        <v>446</v>
      </c>
      <c r="R202">
        <v>10</v>
      </c>
      <c r="S202">
        <v>0.5240677966101694</v>
      </c>
      <c r="T202">
        <v>112</v>
      </c>
      <c r="U202">
        <v>1.245714285714286</v>
      </c>
      <c r="V202">
        <v>5.13</v>
      </c>
      <c r="W202">
        <v>5.9</v>
      </c>
      <c r="X202">
        <v>3.092</v>
      </c>
      <c r="Y202">
        <v>-0.09567000000000001</v>
      </c>
      <c r="Z202">
        <v>0.2953795379537953</v>
      </c>
      <c r="AA202">
        <v>0.565008025682183</v>
      </c>
      <c r="AB202">
        <v>0.6597110754414125</v>
      </c>
      <c r="AC202">
        <v>0.3017656500802569</v>
      </c>
      <c r="AD202">
        <v>0.2825040128410915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118.97</v>
      </c>
      <c r="D203">
        <v>12721.81901</v>
      </c>
      <c r="E203" t="s">
        <v>667</v>
      </c>
      <c r="F203" t="s">
        <v>632</v>
      </c>
      <c r="G203" t="s">
        <v>671</v>
      </c>
      <c r="H203" t="s">
        <v>700</v>
      </c>
      <c r="I203" t="s">
        <v>905</v>
      </c>
      <c r="J203" t="s">
        <v>1322</v>
      </c>
      <c r="K203">
        <v>44067</v>
      </c>
      <c r="L203">
        <v>0.025216441119609</v>
      </c>
      <c r="M203">
        <v>-0.02653761346323114</v>
      </c>
      <c r="N203">
        <v>0.04</v>
      </c>
      <c r="O203">
        <v>0.03858093650223848</v>
      </c>
      <c r="P203" t="s">
        <v>637</v>
      </c>
      <c r="Q203" t="s">
        <v>372</v>
      </c>
      <c r="R203">
        <v>17</v>
      </c>
      <c r="S203">
        <v>0.5172413793103449</v>
      </c>
      <c r="T203">
        <v>104</v>
      </c>
      <c r="U203">
        <v>1.143942307692308</v>
      </c>
      <c r="V203">
        <v>3.7714</v>
      </c>
      <c r="W203">
        <v>5.8</v>
      </c>
      <c r="X203">
        <v>3</v>
      </c>
      <c r="Y203">
        <v>-0.006927999999999999</v>
      </c>
      <c r="Z203">
        <v>0.3333333333333334</v>
      </c>
      <c r="AA203">
        <v>0.6805778491171749</v>
      </c>
      <c r="AB203">
        <v>0.4012841091492777</v>
      </c>
      <c r="AC203">
        <v>0.4028892455858748</v>
      </c>
      <c r="AD203">
        <v>0.2760834670947031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69.06</v>
      </c>
      <c r="D204">
        <v>123832.7864</v>
      </c>
      <c r="E204" t="s">
        <v>667</v>
      </c>
      <c r="F204" t="s">
        <v>632</v>
      </c>
      <c r="G204" t="s">
        <v>681</v>
      </c>
      <c r="H204" t="s">
        <v>700</v>
      </c>
      <c r="I204" t="s">
        <v>906</v>
      </c>
      <c r="J204" t="s">
        <v>1315</v>
      </c>
      <c r="K204">
        <v>44067</v>
      </c>
      <c r="L204">
        <v>0.013453518679409</v>
      </c>
      <c r="M204">
        <v>-0.04105810994399117</v>
      </c>
      <c r="N204">
        <v>0.06</v>
      </c>
      <c r="O204">
        <v>0.03760545517708702</v>
      </c>
      <c r="P204" t="s">
        <v>637</v>
      </c>
      <c r="Q204" t="s">
        <v>446</v>
      </c>
      <c r="R204">
        <v>0</v>
      </c>
      <c r="S204">
        <v>0.3318214285714286</v>
      </c>
      <c r="T204">
        <v>56</v>
      </c>
      <c r="U204">
        <v>1.233214285714286</v>
      </c>
      <c r="V204">
        <v>2.6066</v>
      </c>
      <c r="W204">
        <v>2.8</v>
      </c>
      <c r="X204">
        <v>0.9291</v>
      </c>
      <c r="Y204">
        <v>0.323242</v>
      </c>
      <c r="Z204">
        <v>0.1254125412541254</v>
      </c>
      <c r="AA204">
        <v>0.9229534510433386</v>
      </c>
      <c r="AB204">
        <v>0.6597110754414125</v>
      </c>
      <c r="AC204">
        <v>0.3097913322632423</v>
      </c>
      <c r="AD204">
        <v>0.2680577849117175</v>
      </c>
    </row>
    <row r="205" spans="1:30">
      <c r="A205" s="1" t="s">
        <v>212</v>
      </c>
      <c r="B205">
        <f>HYPERLINK("https://www.suredividend.com/sure-analysis-RMD/","ResMed, Inc.")</f>
        <v>0</v>
      </c>
      <c r="C205">
        <v>169.04</v>
      </c>
      <c r="D205">
        <v>24494.06504</v>
      </c>
      <c r="E205" t="s">
        <v>664</v>
      </c>
      <c r="F205" t="s">
        <v>632</v>
      </c>
      <c r="G205" t="s">
        <v>671</v>
      </c>
      <c r="H205" t="s">
        <v>700</v>
      </c>
      <c r="I205" t="s">
        <v>907</v>
      </c>
      <c r="J205" t="s">
        <v>1315</v>
      </c>
      <c r="K205">
        <v>44062</v>
      </c>
      <c r="L205">
        <v>0.009228584950307001</v>
      </c>
      <c r="M205">
        <v>-0.08401702270130118</v>
      </c>
      <c r="N205">
        <v>0.12</v>
      </c>
      <c r="O205">
        <v>0.03684796540835156</v>
      </c>
      <c r="P205" t="s">
        <v>637</v>
      </c>
      <c r="Q205" t="s">
        <v>446</v>
      </c>
      <c r="R205">
        <v>7</v>
      </c>
      <c r="S205">
        <v>0.3151515151515151</v>
      </c>
      <c r="T205">
        <v>109</v>
      </c>
      <c r="U205">
        <v>1.550825688073394</v>
      </c>
      <c r="V205">
        <v>4.3054</v>
      </c>
      <c r="W205">
        <v>4.95</v>
      </c>
      <c r="X205">
        <v>1.56</v>
      </c>
      <c r="Y205">
        <v>0.255776</v>
      </c>
      <c r="Z205">
        <v>0.06765676567656766</v>
      </c>
      <c r="AA205">
        <v>0.8892455858747994</v>
      </c>
      <c r="AB205">
        <v>0.9534510433386838</v>
      </c>
      <c r="AC205">
        <v>0.1252006420545747</v>
      </c>
      <c r="AD205">
        <v>0.2664526484751204</v>
      </c>
    </row>
    <row r="206" spans="1:30">
      <c r="A206" s="1" t="s">
        <v>213</v>
      </c>
      <c r="B206">
        <f>HYPERLINK("https://www.suredividend.com/sure-analysis-BAH/","Booz Allen Hamilton Holding Corp.")</f>
        <v>0</v>
      </c>
      <c r="C206">
        <v>84.84</v>
      </c>
      <c r="D206">
        <v>11691.12168</v>
      </c>
      <c r="E206" t="s">
        <v>667</v>
      </c>
      <c r="F206" t="s">
        <v>632</v>
      </c>
      <c r="G206" t="s">
        <v>671</v>
      </c>
      <c r="H206" t="s">
        <v>700</v>
      </c>
      <c r="I206" t="s">
        <v>908</v>
      </c>
      <c r="J206" t="s">
        <v>1319</v>
      </c>
      <c r="K206">
        <v>44081</v>
      </c>
      <c r="L206">
        <v>0.013201320132013</v>
      </c>
      <c r="M206">
        <v>-0.05778941709815066</v>
      </c>
      <c r="N206">
        <v>0.08</v>
      </c>
      <c r="O206">
        <v>0.03631026180208852</v>
      </c>
      <c r="P206" t="s">
        <v>637</v>
      </c>
      <c r="Q206" t="s">
        <v>446</v>
      </c>
      <c r="R206">
        <v>8</v>
      </c>
      <c r="S206">
        <v>0.32</v>
      </c>
      <c r="T206">
        <v>63</v>
      </c>
      <c r="U206">
        <v>1.346666666666667</v>
      </c>
      <c r="V206">
        <v>3.5398</v>
      </c>
      <c r="W206">
        <v>3.5</v>
      </c>
      <c r="X206">
        <v>1.12</v>
      </c>
      <c r="Y206">
        <v>0.171985</v>
      </c>
      <c r="Z206">
        <v>0.1237623762376238</v>
      </c>
      <c r="AA206">
        <v>0.8266452648475121</v>
      </c>
      <c r="AB206">
        <v>0.8274478330658106</v>
      </c>
      <c r="AC206">
        <v>0.2182985553772071</v>
      </c>
      <c r="AD206">
        <v>0.2584269662921348</v>
      </c>
    </row>
    <row r="207" spans="1:30">
      <c r="A207" s="1" t="s">
        <v>214</v>
      </c>
      <c r="B207">
        <f>HYPERLINK("https://www.suredividend.com/sure-analysis-XYL/","Xylem, Inc.")</f>
        <v>0</v>
      </c>
      <c r="C207">
        <v>83.06</v>
      </c>
      <c r="D207">
        <v>14947.39454</v>
      </c>
      <c r="E207" t="s">
        <v>664</v>
      </c>
      <c r="F207" t="s">
        <v>632</v>
      </c>
      <c r="G207" t="s">
        <v>671</v>
      </c>
      <c r="H207" t="s">
        <v>700</v>
      </c>
      <c r="I207" t="s">
        <v>909</v>
      </c>
      <c r="J207" t="s">
        <v>1319</v>
      </c>
      <c r="K207">
        <v>44052</v>
      </c>
      <c r="L207">
        <v>0.012039489525644</v>
      </c>
      <c r="M207">
        <v>-0.06297351855568456</v>
      </c>
      <c r="N207">
        <v>0.09</v>
      </c>
      <c r="O207">
        <v>0.03617092986741133</v>
      </c>
      <c r="P207" t="s">
        <v>637</v>
      </c>
      <c r="Q207" t="s">
        <v>446</v>
      </c>
      <c r="R207">
        <v>7</v>
      </c>
      <c r="S207">
        <v>0.4761904761904762</v>
      </c>
      <c r="T207">
        <v>60</v>
      </c>
      <c r="U207">
        <v>1.384333333333333</v>
      </c>
      <c r="V207">
        <v>1.3992</v>
      </c>
      <c r="W207">
        <v>2.1</v>
      </c>
      <c r="X207">
        <v>1</v>
      </c>
      <c r="Y207">
        <v>0.047019</v>
      </c>
      <c r="Z207">
        <v>0.1105610561056106</v>
      </c>
      <c r="AA207">
        <v>0.7415730337078652</v>
      </c>
      <c r="AB207">
        <v>0.8780096308186195</v>
      </c>
      <c r="AC207">
        <v>0.1910112359550562</v>
      </c>
      <c r="AD207">
        <v>0.2568218298555378</v>
      </c>
    </row>
    <row r="208" spans="1:30">
      <c r="A208" s="1" t="s">
        <v>215</v>
      </c>
      <c r="B208">
        <f>HYPERLINK("https://www.suredividend.com/sure-analysis-FOXA/","Fox Corp.")</f>
        <v>0</v>
      </c>
      <c r="C208">
        <v>26.7</v>
      </c>
      <c r="D208">
        <v>15944.8395</v>
      </c>
      <c r="E208" t="s">
        <v>668</v>
      </c>
      <c r="F208" t="s">
        <v>632</v>
      </c>
      <c r="G208" t="s">
        <v>671</v>
      </c>
      <c r="H208" t="s">
        <v>701</v>
      </c>
      <c r="I208" t="s">
        <v>910</v>
      </c>
      <c r="J208" t="s">
        <v>1314</v>
      </c>
      <c r="K208">
        <v>44069</v>
      </c>
      <c r="L208">
        <v>0.017228464419475</v>
      </c>
      <c r="M208">
        <v>0.009553535389267065</v>
      </c>
      <c r="N208">
        <v>0.01</v>
      </c>
      <c r="O208">
        <v>0.03511131857399041</v>
      </c>
      <c r="P208" t="s">
        <v>637</v>
      </c>
      <c r="Q208" t="s">
        <v>372</v>
      </c>
      <c r="R208">
        <v>0</v>
      </c>
      <c r="S208">
        <v>0.2433862433862434</v>
      </c>
      <c r="T208">
        <v>28</v>
      </c>
      <c r="U208">
        <v>0.9535714285714285</v>
      </c>
      <c r="V208">
        <v>1.6171</v>
      </c>
      <c r="W208">
        <v>1.89</v>
      </c>
      <c r="X208">
        <v>0.46</v>
      </c>
      <c r="Y208">
        <v>-0.151033</v>
      </c>
      <c r="Z208">
        <v>0.1930693069306931</v>
      </c>
      <c r="AA208">
        <v>0.4911717495987159</v>
      </c>
      <c r="AB208">
        <v>0.08828250401284109</v>
      </c>
      <c r="AC208">
        <v>0.6163723916532906</v>
      </c>
      <c r="AD208">
        <v>0.2552166934189406</v>
      </c>
    </row>
    <row r="209" spans="1:30">
      <c r="A209" s="1" t="s">
        <v>216</v>
      </c>
      <c r="B209">
        <f>HYPERLINK("https://www.suredividend.com/sure-analysis-CBSH/","Commerce Bancshares, Inc. (Missouri)")</f>
        <v>0</v>
      </c>
      <c r="C209">
        <v>54.07</v>
      </c>
      <c r="D209">
        <v>6030.58931</v>
      </c>
      <c r="E209" t="s">
        <v>664</v>
      </c>
      <c r="F209" t="s">
        <v>632</v>
      </c>
      <c r="G209" t="s">
        <v>671</v>
      </c>
      <c r="H209" t="s">
        <v>701</v>
      </c>
      <c r="I209" t="s">
        <v>911</v>
      </c>
      <c r="J209" t="s">
        <v>1313</v>
      </c>
      <c r="K209">
        <v>44035</v>
      </c>
      <c r="L209">
        <v>0.019146256703433</v>
      </c>
      <c r="M209">
        <v>-0.0447821769443999</v>
      </c>
      <c r="N209">
        <v>0.06</v>
      </c>
      <c r="O209">
        <v>0.03486447809668936</v>
      </c>
      <c r="P209" t="s">
        <v>637</v>
      </c>
      <c r="Q209" t="s">
        <v>372</v>
      </c>
      <c r="R209">
        <v>10</v>
      </c>
      <c r="S209">
        <v>0.414095239981856</v>
      </c>
      <c r="T209">
        <v>43</v>
      </c>
      <c r="U209">
        <v>1.257441860465116</v>
      </c>
      <c r="V209">
        <v>2.6387</v>
      </c>
      <c r="W209">
        <v>2.5</v>
      </c>
      <c r="X209">
        <v>1.03523809995464</v>
      </c>
      <c r="Y209">
        <v>-0.060973</v>
      </c>
      <c r="Z209">
        <v>0.2442244224422442</v>
      </c>
      <c r="AA209">
        <v>0.6051364365971108</v>
      </c>
      <c r="AB209">
        <v>0.6597110754414125</v>
      </c>
      <c r="AC209">
        <v>0.28892455858748</v>
      </c>
      <c r="AD209">
        <v>0.2536115569823435</v>
      </c>
    </row>
    <row r="210" spans="1:30">
      <c r="A210" s="1" t="s">
        <v>217</v>
      </c>
      <c r="B210">
        <f>HYPERLINK("https://www.suredividend.com/sure-analysis-WSM/","Williams-Sonoma, Inc.")</f>
        <v>0</v>
      </c>
      <c r="C210">
        <v>86.86</v>
      </c>
      <c r="D210">
        <v>6757.699314</v>
      </c>
      <c r="E210" t="s">
        <v>660</v>
      </c>
      <c r="F210" t="s">
        <v>632</v>
      </c>
      <c r="G210" t="s">
        <v>671</v>
      </c>
      <c r="H210" t="s">
        <v>700</v>
      </c>
      <c r="I210" t="s">
        <v>912</v>
      </c>
      <c r="J210" t="s">
        <v>1318</v>
      </c>
      <c r="K210">
        <v>44070</v>
      </c>
      <c r="L210">
        <v>0.022104536034998</v>
      </c>
      <c r="M210">
        <v>-0.0368309155177784</v>
      </c>
      <c r="N210">
        <v>0.05</v>
      </c>
      <c r="O210">
        <v>0.03473543316798677</v>
      </c>
      <c r="P210" t="s">
        <v>637</v>
      </c>
      <c r="Q210" t="s">
        <v>372</v>
      </c>
      <c r="R210">
        <v>14</v>
      </c>
      <c r="S210">
        <v>0.4</v>
      </c>
      <c r="T210">
        <v>72</v>
      </c>
      <c r="U210">
        <v>1.206388888888889</v>
      </c>
      <c r="V210">
        <v>5.2939</v>
      </c>
      <c r="W210">
        <v>4.8</v>
      </c>
      <c r="X210">
        <v>1.92</v>
      </c>
      <c r="Y210">
        <v>0.296999</v>
      </c>
      <c r="Z210">
        <v>0.2937293729372937</v>
      </c>
      <c r="AA210">
        <v>0.9036918138041733</v>
      </c>
      <c r="AB210">
        <v>0.5296950240770465</v>
      </c>
      <c r="AC210">
        <v>0.3451043338683788</v>
      </c>
      <c r="AD210">
        <v>0.2504012841091493</v>
      </c>
    </row>
    <row r="211" spans="1:30">
      <c r="A211" s="1" t="s">
        <v>218</v>
      </c>
      <c r="B211">
        <f>HYPERLINK("https://www.suredividend.com/sure-analysis-WHR/","Whirlpool Corp.")</f>
        <v>0</v>
      </c>
      <c r="C211">
        <v>178.11</v>
      </c>
      <c r="D211">
        <v>11095.148718</v>
      </c>
      <c r="E211" t="s">
        <v>660</v>
      </c>
      <c r="F211" t="s">
        <v>632</v>
      </c>
      <c r="G211" t="s">
        <v>671</v>
      </c>
      <c r="H211" t="s">
        <v>700</v>
      </c>
      <c r="I211" t="s">
        <v>913</v>
      </c>
      <c r="J211" t="s">
        <v>1318</v>
      </c>
      <c r="K211">
        <v>44042</v>
      </c>
      <c r="L211">
        <v>0.026949637864241</v>
      </c>
      <c r="M211">
        <v>-0.07594336768435039</v>
      </c>
      <c r="N211">
        <v>0.09</v>
      </c>
      <c r="O211">
        <v>0.03360303407606424</v>
      </c>
      <c r="P211" t="s">
        <v>637</v>
      </c>
      <c r="Q211" t="s">
        <v>372</v>
      </c>
      <c r="R211">
        <v>10</v>
      </c>
      <c r="S211">
        <v>0.4</v>
      </c>
      <c r="T211">
        <v>120</v>
      </c>
      <c r="U211">
        <v>1.48425</v>
      </c>
      <c r="V211">
        <v>13.16</v>
      </c>
      <c r="W211">
        <v>12</v>
      </c>
      <c r="X211">
        <v>4.8</v>
      </c>
      <c r="Y211">
        <v>0.150284</v>
      </c>
      <c r="Z211">
        <v>0.3663366336633663</v>
      </c>
      <c r="AA211">
        <v>0.8138041733547351</v>
      </c>
      <c r="AB211">
        <v>0.8780096308186195</v>
      </c>
      <c r="AC211">
        <v>0.1428571428571429</v>
      </c>
      <c r="AD211">
        <v>0.2407704654895666</v>
      </c>
    </row>
    <row r="212" spans="1:30">
      <c r="A212" s="1" t="s">
        <v>219</v>
      </c>
      <c r="B212">
        <f>HYPERLINK("https://www.suredividend.com/sure-analysis-PEP/","PepsiCo, Inc.")</f>
        <v>0</v>
      </c>
      <c r="C212">
        <v>133.55</v>
      </c>
      <c r="D212">
        <v>184917.3365</v>
      </c>
      <c r="E212" t="s">
        <v>663</v>
      </c>
      <c r="F212" t="s">
        <v>632</v>
      </c>
      <c r="G212" t="s">
        <v>671</v>
      </c>
      <c r="H212" t="s">
        <v>701</v>
      </c>
      <c r="I212" t="s">
        <v>914</v>
      </c>
      <c r="J212" t="s">
        <v>1321</v>
      </c>
      <c r="K212">
        <v>44025</v>
      </c>
      <c r="L212">
        <v>0.029108947959565</v>
      </c>
      <c r="M212">
        <v>-0.05433896164234697</v>
      </c>
      <c r="N212">
        <v>0.055</v>
      </c>
      <c r="O212">
        <v>0.03169319652404079</v>
      </c>
      <c r="P212" t="s">
        <v>637</v>
      </c>
      <c r="Q212" t="s">
        <v>637</v>
      </c>
      <c r="R212">
        <v>48</v>
      </c>
      <c r="S212">
        <v>0.727996254681648</v>
      </c>
      <c r="T212">
        <v>101</v>
      </c>
      <c r="U212">
        <v>1.322277227722772</v>
      </c>
      <c r="V212">
        <v>4.9221</v>
      </c>
      <c r="W212">
        <v>5.34</v>
      </c>
      <c r="X212">
        <v>3.8875</v>
      </c>
      <c r="Y212">
        <v>-0.015989</v>
      </c>
      <c r="Z212">
        <v>0.400990099009901</v>
      </c>
      <c r="AA212">
        <v>0.6677367576243981</v>
      </c>
      <c r="AB212">
        <v>0.6027287319422151</v>
      </c>
      <c r="AC212">
        <v>0.2279293739967897</v>
      </c>
      <c r="AD212">
        <v>0.2359550561797753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52.16</v>
      </c>
      <c r="D213">
        <v>7061.16</v>
      </c>
      <c r="E213" t="s">
        <v>664</v>
      </c>
      <c r="F213" t="s">
        <v>632</v>
      </c>
      <c r="G213" t="s">
        <v>671</v>
      </c>
      <c r="H213" t="s">
        <v>700</v>
      </c>
      <c r="I213" t="s">
        <v>915</v>
      </c>
      <c r="J213" t="s">
        <v>1319</v>
      </c>
      <c r="K213">
        <v>44061</v>
      </c>
      <c r="L213">
        <v>0.018021472392638</v>
      </c>
      <c r="M213">
        <v>-0.04700800026312291</v>
      </c>
      <c r="N213">
        <v>0.06</v>
      </c>
      <c r="O213">
        <v>0.03163176180899296</v>
      </c>
      <c r="P213" t="s">
        <v>637</v>
      </c>
      <c r="Q213" t="s">
        <v>372</v>
      </c>
      <c r="R213">
        <v>26</v>
      </c>
      <c r="S213">
        <v>0.5222222222222223</v>
      </c>
      <c r="T213">
        <v>41</v>
      </c>
      <c r="U213">
        <v>1.27219512195122</v>
      </c>
      <c r="V213">
        <v>1.8336</v>
      </c>
      <c r="W213">
        <v>1.8</v>
      </c>
      <c r="X213">
        <v>0.9400000000000001</v>
      </c>
      <c r="Y213">
        <v>0.09833599999999999</v>
      </c>
      <c r="Z213">
        <v>0.2161716171617162</v>
      </c>
      <c r="AA213">
        <v>0.7720706260032102</v>
      </c>
      <c r="AB213">
        <v>0.6597110754414125</v>
      </c>
      <c r="AC213">
        <v>0.2760834670947031</v>
      </c>
      <c r="AD213">
        <v>0.2343499197431782</v>
      </c>
    </row>
    <row r="214" spans="1:30">
      <c r="A214" s="1" t="s">
        <v>221</v>
      </c>
      <c r="B214">
        <f>HYPERLINK("https://www.suredividend.com/sure-analysis-WABC/","Westamerica Bancorporation")</f>
        <v>0</v>
      </c>
      <c r="C214">
        <v>52.84</v>
      </c>
      <c r="D214">
        <v>1423.134436</v>
      </c>
      <c r="E214" t="s">
        <v>663</v>
      </c>
      <c r="F214" t="s">
        <v>632</v>
      </c>
      <c r="G214" t="s">
        <v>671</v>
      </c>
      <c r="H214" t="s">
        <v>701</v>
      </c>
      <c r="I214" t="s">
        <v>916</v>
      </c>
      <c r="J214" t="s">
        <v>1313</v>
      </c>
      <c r="K214">
        <v>44028</v>
      </c>
      <c r="L214">
        <v>0.031037093111279</v>
      </c>
      <c r="M214">
        <v>-0.01903009105864184</v>
      </c>
      <c r="N214">
        <v>0.02</v>
      </c>
      <c r="O214">
        <v>0.03148592564292207</v>
      </c>
      <c r="P214" t="s">
        <v>637</v>
      </c>
      <c r="Q214" t="s">
        <v>637</v>
      </c>
      <c r="R214">
        <v>28</v>
      </c>
      <c r="S214">
        <v>0.6142322097378278</v>
      </c>
      <c r="T214">
        <v>48</v>
      </c>
      <c r="U214">
        <v>1.100833333333333</v>
      </c>
      <c r="V214">
        <v>2.8748</v>
      </c>
      <c r="W214">
        <v>2.67</v>
      </c>
      <c r="X214">
        <v>1.64</v>
      </c>
      <c r="Y214">
        <v>-0.154019</v>
      </c>
      <c r="Z214">
        <v>0.4356435643564357</v>
      </c>
      <c r="AA214">
        <v>0.4895666131621188</v>
      </c>
      <c r="AB214">
        <v>0.1613162118780096</v>
      </c>
      <c r="AC214">
        <v>0.4478330658105939</v>
      </c>
      <c r="AD214">
        <v>0.2311396468699839</v>
      </c>
    </row>
    <row r="215" spans="1:30">
      <c r="A215" s="1" t="s">
        <v>222</v>
      </c>
      <c r="B215">
        <f>HYPERLINK("https://www.suredividend.com/sure-analysis-WTRG/","Essential Utilities, Inc.")</f>
        <v>0</v>
      </c>
      <c r="C215">
        <v>39.57</v>
      </c>
      <c r="D215">
        <v>9700.78335</v>
      </c>
      <c r="E215" t="s">
        <v>661</v>
      </c>
      <c r="F215" t="s">
        <v>632</v>
      </c>
      <c r="G215" t="s">
        <v>671</v>
      </c>
      <c r="H215" t="s">
        <v>700</v>
      </c>
      <c r="I215" t="s">
        <v>917</v>
      </c>
      <c r="J215" t="s">
        <v>1316</v>
      </c>
      <c r="K215">
        <v>44061</v>
      </c>
      <c r="L215">
        <v>0.023684609552691</v>
      </c>
      <c r="M215">
        <v>-0.06683509718755443</v>
      </c>
      <c r="N215">
        <v>0.07000000000000001</v>
      </c>
      <c r="O215">
        <v>0.02638382637812131</v>
      </c>
      <c r="P215" t="s">
        <v>637</v>
      </c>
      <c r="Q215" t="s">
        <v>372</v>
      </c>
      <c r="R215">
        <v>29</v>
      </c>
      <c r="S215">
        <v>0.6007692307692307</v>
      </c>
      <c r="T215">
        <v>28</v>
      </c>
      <c r="U215">
        <v>1.413214285714286</v>
      </c>
      <c r="V215">
        <v>1.171</v>
      </c>
      <c r="W215">
        <v>1.56</v>
      </c>
      <c r="X215">
        <v>0.9372</v>
      </c>
      <c r="Y215">
        <v>-0.119493</v>
      </c>
      <c r="Z215">
        <v>0.3168316831683168</v>
      </c>
      <c r="AA215">
        <v>0.5313001605136436</v>
      </c>
      <c r="AB215">
        <v>0.7504012841091493</v>
      </c>
      <c r="AC215">
        <v>0.1701444622792937</v>
      </c>
      <c r="AD215">
        <v>0.2102728731942215</v>
      </c>
    </row>
    <row r="216" spans="1:30">
      <c r="A216" s="1" t="s">
        <v>223</v>
      </c>
      <c r="B216">
        <f>HYPERLINK("https://www.suredividend.com/sure-analysis-WU/","The Western Union Co.")</f>
        <v>0</v>
      </c>
      <c r="C216">
        <v>21.57</v>
      </c>
      <c r="D216">
        <v>8865.35628</v>
      </c>
      <c r="E216" t="s">
        <v>667</v>
      </c>
      <c r="F216" t="s">
        <v>632</v>
      </c>
      <c r="G216" t="s">
        <v>671</v>
      </c>
      <c r="H216" t="s">
        <v>700</v>
      </c>
      <c r="I216" t="s">
        <v>918</v>
      </c>
      <c r="J216" t="s">
        <v>1313</v>
      </c>
      <c r="K216">
        <v>44063</v>
      </c>
      <c r="L216">
        <v>0.03940658321743101</v>
      </c>
      <c r="M216">
        <v>-0.03553944132597298</v>
      </c>
      <c r="N216">
        <v>0.01</v>
      </c>
      <c r="O216">
        <v>0.02279999009052358</v>
      </c>
      <c r="P216" t="s">
        <v>637</v>
      </c>
      <c r="Q216" t="s">
        <v>637</v>
      </c>
      <c r="R216">
        <v>14</v>
      </c>
      <c r="S216">
        <v>0.5151515151515151</v>
      </c>
      <c r="T216">
        <v>18</v>
      </c>
      <c r="U216">
        <v>1.198333333333333</v>
      </c>
      <c r="V216">
        <v>1.4616</v>
      </c>
      <c r="W216">
        <v>1.65</v>
      </c>
      <c r="X216">
        <v>0.85</v>
      </c>
      <c r="Y216">
        <v>-0.03877000000000001</v>
      </c>
      <c r="Z216">
        <v>0.5412541254125413</v>
      </c>
      <c r="AA216">
        <v>0.6324237560192616</v>
      </c>
      <c r="AB216">
        <v>0.08828250401284109</v>
      </c>
      <c r="AC216">
        <v>0.3515248796147672</v>
      </c>
      <c r="AD216">
        <v>0.1958266452648475</v>
      </c>
    </row>
    <row r="217" spans="1:30">
      <c r="A217" s="1" t="s">
        <v>224</v>
      </c>
      <c r="B217">
        <f>HYPERLINK("https://www.suredividend.com/sure-analysis-AMT/","American Tower Corp.")</f>
        <v>0</v>
      </c>
      <c r="C217">
        <v>239.81</v>
      </c>
      <c r="D217">
        <v>106372.76151</v>
      </c>
      <c r="E217" t="s">
        <v>660</v>
      </c>
      <c r="F217" t="s">
        <v>634</v>
      </c>
      <c r="G217" t="s">
        <v>671</v>
      </c>
      <c r="H217" t="s">
        <v>700</v>
      </c>
      <c r="I217" t="s">
        <v>919</v>
      </c>
      <c r="J217" t="s">
        <v>1323</v>
      </c>
      <c r="K217">
        <v>44049</v>
      </c>
      <c r="L217">
        <v>0.017263667069763</v>
      </c>
      <c r="M217">
        <v>-0.05576293713798064</v>
      </c>
      <c r="N217">
        <v>0.06</v>
      </c>
      <c r="O217">
        <v>0.02184816064055162</v>
      </c>
      <c r="P217" t="s">
        <v>637</v>
      </c>
      <c r="Q217" t="s">
        <v>446</v>
      </c>
      <c r="R217">
        <v>9</v>
      </c>
      <c r="S217">
        <v>0.5048780487804878</v>
      </c>
      <c r="T217">
        <v>180</v>
      </c>
      <c r="U217">
        <v>1.332277777777778</v>
      </c>
      <c r="V217">
        <v>4.3392</v>
      </c>
      <c r="W217">
        <v>8.199999999999999</v>
      </c>
      <c r="X217">
        <v>4.14</v>
      </c>
      <c r="Y217">
        <v>0.07538099999999999</v>
      </c>
      <c r="Z217">
        <v>0.198019801980198</v>
      </c>
      <c r="AA217">
        <v>0.7576243980738363</v>
      </c>
      <c r="AB217">
        <v>0.6597110754414125</v>
      </c>
      <c r="AC217">
        <v>0.2247191011235955</v>
      </c>
      <c r="AD217">
        <v>0.1926163723916533</v>
      </c>
    </row>
    <row r="218" spans="1:30">
      <c r="A218" s="1" t="s">
        <v>225</v>
      </c>
      <c r="B218">
        <f>HYPERLINK("https://www.suredividend.com/sure-analysis-NSC/","Norfolk Southern Corp.")</f>
        <v>0</v>
      </c>
      <c r="C218">
        <v>219.16</v>
      </c>
      <c r="D218">
        <v>55909.68844</v>
      </c>
      <c r="E218" t="s">
        <v>664</v>
      </c>
      <c r="F218" t="s">
        <v>632</v>
      </c>
      <c r="G218" t="s">
        <v>671</v>
      </c>
      <c r="H218" t="s">
        <v>700</v>
      </c>
      <c r="I218" t="s">
        <v>920</v>
      </c>
      <c r="J218" t="s">
        <v>1319</v>
      </c>
      <c r="K218">
        <v>44042</v>
      </c>
      <c r="L218">
        <v>0.01715641540427</v>
      </c>
      <c r="M218">
        <v>-0.0609867116600612</v>
      </c>
      <c r="N218">
        <v>0.065</v>
      </c>
      <c r="O218">
        <v>0.02088697528333339</v>
      </c>
      <c r="P218" t="s">
        <v>637</v>
      </c>
      <c r="Q218" t="s">
        <v>446</v>
      </c>
      <c r="R218">
        <v>3</v>
      </c>
      <c r="S218">
        <v>0.4423529411764706</v>
      </c>
      <c r="T218">
        <v>160</v>
      </c>
      <c r="U218">
        <v>1.36975</v>
      </c>
      <c r="V218">
        <v>8.0746</v>
      </c>
      <c r="W218">
        <v>8.5</v>
      </c>
      <c r="X218">
        <v>3.76</v>
      </c>
      <c r="Y218">
        <v>0.197792</v>
      </c>
      <c r="Z218">
        <v>0.1864686468646864</v>
      </c>
      <c r="AA218">
        <v>0.8491171749598716</v>
      </c>
      <c r="AB218">
        <v>0.7134831460674157</v>
      </c>
      <c r="AC218">
        <v>0.202247191011236</v>
      </c>
      <c r="AD218">
        <v>0.1910112359550562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215.67</v>
      </c>
      <c r="D219">
        <v>25010.60289</v>
      </c>
      <c r="E219" t="s">
        <v>664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44042</v>
      </c>
      <c r="L219">
        <v>0.018685955394816</v>
      </c>
      <c r="M219">
        <v>-0.06635808979687874</v>
      </c>
      <c r="N219">
        <v>0.065</v>
      </c>
      <c r="O219">
        <v>0.01707465335439551</v>
      </c>
      <c r="P219" t="s">
        <v>637</v>
      </c>
      <c r="Q219" t="s">
        <v>446</v>
      </c>
      <c r="R219">
        <v>10</v>
      </c>
      <c r="S219">
        <v>0.5373333333333333</v>
      </c>
      <c r="T219">
        <v>153</v>
      </c>
      <c r="U219">
        <v>1.409607843137255</v>
      </c>
      <c r="V219">
        <v>6.6366</v>
      </c>
      <c r="W219">
        <v>7.5</v>
      </c>
      <c r="X219">
        <v>4.03</v>
      </c>
      <c r="Y219">
        <v>0.319163</v>
      </c>
      <c r="Z219">
        <v>0.2326732673267327</v>
      </c>
      <c r="AA219">
        <v>0.9213483146067416</v>
      </c>
      <c r="AB219">
        <v>0.7134831460674157</v>
      </c>
      <c r="AC219">
        <v>0.1749598715890851</v>
      </c>
      <c r="AD219">
        <v>0.1749598715890851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166.12</v>
      </c>
      <c r="D220">
        <v>143423.899188</v>
      </c>
      <c r="E220" t="s">
        <v>660</v>
      </c>
      <c r="F220" t="s">
        <v>632</v>
      </c>
      <c r="G220" t="s">
        <v>671</v>
      </c>
      <c r="H220" t="s">
        <v>700</v>
      </c>
      <c r="I220" t="s">
        <v>922</v>
      </c>
      <c r="J220" t="s">
        <v>1319</v>
      </c>
      <c r="K220">
        <v>44049</v>
      </c>
      <c r="L220">
        <v>0.023717794365518</v>
      </c>
      <c r="M220">
        <v>-0.0842174349269198</v>
      </c>
      <c r="N220">
        <v>0.08</v>
      </c>
      <c r="O220">
        <v>0.01693255211133127</v>
      </c>
      <c r="P220" t="s">
        <v>637</v>
      </c>
      <c r="Q220" t="s">
        <v>446</v>
      </c>
      <c r="R220">
        <v>11</v>
      </c>
      <c r="S220">
        <v>0.5880597014925373</v>
      </c>
      <c r="T220">
        <v>107</v>
      </c>
      <c r="U220">
        <v>1.552523364485981</v>
      </c>
      <c r="V220">
        <v>5.0685</v>
      </c>
      <c r="W220">
        <v>6.7</v>
      </c>
      <c r="X220">
        <v>3.94</v>
      </c>
      <c r="Y220">
        <v>0.402448</v>
      </c>
      <c r="Z220">
        <v>0.3184818481848185</v>
      </c>
      <c r="AA220">
        <v>0.9422150882825041</v>
      </c>
      <c r="AB220">
        <v>0.8274478330658106</v>
      </c>
      <c r="AC220">
        <v>0.1235955056179775</v>
      </c>
      <c r="AD220">
        <v>0.173354735152488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138</v>
      </c>
      <c r="D221">
        <v>23050.968</v>
      </c>
      <c r="E221" t="s">
        <v>668</v>
      </c>
      <c r="F221" t="s">
        <v>632</v>
      </c>
      <c r="G221" t="s">
        <v>671</v>
      </c>
      <c r="H221" t="s">
        <v>701</v>
      </c>
      <c r="I221" t="s">
        <v>923</v>
      </c>
      <c r="J221" t="s">
        <v>1320</v>
      </c>
      <c r="K221">
        <v>43979</v>
      </c>
      <c r="L221">
        <v>0.012753623188405</v>
      </c>
      <c r="M221">
        <v>-0.09451754443955329</v>
      </c>
      <c r="N221">
        <v>0.1</v>
      </c>
      <c r="O221">
        <v>0.01316568878134539</v>
      </c>
      <c r="P221" t="s">
        <v>637</v>
      </c>
      <c r="Q221" t="s">
        <v>446</v>
      </c>
      <c r="R221">
        <v>6</v>
      </c>
      <c r="S221">
        <v>0.303448275862069</v>
      </c>
      <c r="T221">
        <v>84</v>
      </c>
      <c r="U221">
        <v>1.642857142857143</v>
      </c>
      <c r="V221">
        <v>4.5827</v>
      </c>
      <c r="W221">
        <v>5.8</v>
      </c>
      <c r="X221">
        <v>1.76</v>
      </c>
      <c r="Y221">
        <v>0.717272</v>
      </c>
      <c r="Z221">
        <v>0.1155115511551155</v>
      </c>
      <c r="AA221">
        <v>0.9807383627608347</v>
      </c>
      <c r="AB221">
        <v>0.9165329052969503</v>
      </c>
      <c r="AC221">
        <v>0.09149277688603531</v>
      </c>
      <c r="AD221">
        <v>0.1573033707865168</v>
      </c>
    </row>
    <row r="222" spans="1:30">
      <c r="A222" s="1" t="s">
        <v>229</v>
      </c>
      <c r="B222">
        <f>HYPERLINK("https://www.suredividend.com/sure-analysis-CBU/","Community Bank System, Inc.")</f>
        <v>0</v>
      </c>
      <c r="C222">
        <v>53.31</v>
      </c>
      <c r="D222">
        <v>2853.662976</v>
      </c>
      <c r="E222" t="s">
        <v>666</v>
      </c>
      <c r="F222" t="s">
        <v>632</v>
      </c>
      <c r="G222" t="s">
        <v>671</v>
      </c>
      <c r="H222" t="s">
        <v>700</v>
      </c>
      <c r="I222" t="s">
        <v>924</v>
      </c>
      <c r="J222" t="s">
        <v>1313</v>
      </c>
      <c r="K222">
        <v>44043</v>
      </c>
      <c r="L222">
        <v>0.030763459013318</v>
      </c>
      <c r="M222">
        <v>-0.06546626593642557</v>
      </c>
      <c r="N222">
        <v>0.04</v>
      </c>
      <c r="O222">
        <v>0.01105899369142449</v>
      </c>
      <c r="P222" t="s">
        <v>637</v>
      </c>
      <c r="Q222" t="s">
        <v>637</v>
      </c>
      <c r="R222">
        <v>27</v>
      </c>
      <c r="S222">
        <v>0.5655172413793104</v>
      </c>
      <c r="T222">
        <v>38</v>
      </c>
      <c r="U222">
        <v>1.402894736842105</v>
      </c>
      <c r="V222">
        <v>3.0201</v>
      </c>
      <c r="W222">
        <v>2.9</v>
      </c>
      <c r="X222">
        <v>1.64</v>
      </c>
      <c r="Y222">
        <v>-0.138633</v>
      </c>
      <c r="Z222">
        <v>0.4273927392739274</v>
      </c>
      <c r="AA222">
        <v>0.5088282504012841</v>
      </c>
      <c r="AB222">
        <v>0.4012841091492777</v>
      </c>
      <c r="AC222">
        <v>0.1797752808988764</v>
      </c>
      <c r="AD222">
        <v>0.1524879614767255</v>
      </c>
    </row>
    <row r="223" spans="1:30">
      <c r="A223" s="1" t="s">
        <v>230</v>
      </c>
      <c r="B223">
        <f>HYPERLINK("https://www.suredividend.com/sure-analysis-LIN/","Linde Plc")</f>
        <v>0</v>
      </c>
      <c r="C223">
        <v>232.75</v>
      </c>
      <c r="D223">
        <v>122277.54</v>
      </c>
      <c r="E223" t="s">
        <v>664</v>
      </c>
      <c r="F223" t="s">
        <v>632</v>
      </c>
      <c r="G223" t="s">
        <v>677</v>
      </c>
      <c r="H223" t="s">
        <v>700</v>
      </c>
      <c r="I223" t="s">
        <v>925</v>
      </c>
      <c r="J223" t="s">
        <v>1322</v>
      </c>
      <c r="K223">
        <v>44049</v>
      </c>
      <c r="L223">
        <v>0.015793770139634</v>
      </c>
      <c r="M223">
        <v>-0.06990980734239427</v>
      </c>
      <c r="N223">
        <v>0.06</v>
      </c>
      <c r="O223">
        <v>0.00655847369673257</v>
      </c>
      <c r="P223" t="s">
        <v>637</v>
      </c>
      <c r="Q223" t="s">
        <v>446</v>
      </c>
      <c r="R223">
        <v>27</v>
      </c>
      <c r="S223">
        <v>0.4774025974025974</v>
      </c>
      <c r="T223">
        <v>162</v>
      </c>
      <c r="U223">
        <v>1.436728395061728</v>
      </c>
      <c r="V223">
        <v>4.2639</v>
      </c>
      <c r="W223">
        <v>7.7</v>
      </c>
      <c r="X223">
        <v>3.676</v>
      </c>
      <c r="Y223">
        <v>0.210348</v>
      </c>
      <c r="Z223">
        <v>0.1600660066006601</v>
      </c>
      <c r="AA223">
        <v>0.853932584269663</v>
      </c>
      <c r="AB223">
        <v>0.6597110754414125</v>
      </c>
      <c r="AC223">
        <v>0.1637239165329053</v>
      </c>
      <c r="AD223">
        <v>0.1396468699839487</v>
      </c>
    </row>
    <row r="224" spans="1:30">
      <c r="A224" s="1" t="s">
        <v>231</v>
      </c>
      <c r="B224">
        <f>HYPERLINK("https://www.suredividend.com/sure-analysis-LLY/","Eli Lilly &amp; Co.")</f>
        <v>0</v>
      </c>
      <c r="C224">
        <v>150.26</v>
      </c>
      <c r="D224">
        <v>143719.1822</v>
      </c>
      <c r="E224" t="s">
        <v>663</v>
      </c>
      <c r="F224" t="s">
        <v>632</v>
      </c>
      <c r="G224" t="s">
        <v>671</v>
      </c>
      <c r="H224" t="s">
        <v>700</v>
      </c>
      <c r="I224" t="s">
        <v>926</v>
      </c>
      <c r="J224" t="s">
        <v>1315</v>
      </c>
      <c r="K224">
        <v>44042</v>
      </c>
      <c r="L224">
        <v>0.018434713163849</v>
      </c>
      <c r="M224">
        <v>-0.05540202156049223</v>
      </c>
      <c r="N224">
        <v>0.04</v>
      </c>
      <c r="O224">
        <v>0.005127110779557409</v>
      </c>
      <c r="P224" t="s">
        <v>637</v>
      </c>
      <c r="Q224" t="s">
        <v>446</v>
      </c>
      <c r="R224">
        <v>6</v>
      </c>
      <c r="S224">
        <v>0.3794520547945205</v>
      </c>
      <c r="T224">
        <v>113</v>
      </c>
      <c r="U224">
        <v>1.329734513274336</v>
      </c>
      <c r="V224">
        <v>6.1674</v>
      </c>
      <c r="W224">
        <v>7.3</v>
      </c>
      <c r="X224">
        <v>2.77</v>
      </c>
      <c r="Y224">
        <v>0.343767</v>
      </c>
      <c r="Z224">
        <v>0.2244224422442244</v>
      </c>
      <c r="AA224">
        <v>0.9245585874799357</v>
      </c>
      <c r="AB224">
        <v>0.4012841091492777</v>
      </c>
      <c r="AC224">
        <v>0.2263242375601926</v>
      </c>
      <c r="AD224">
        <v>0.1348314606741573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218.18</v>
      </c>
      <c r="D225">
        <v>162348.39254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1318</v>
      </c>
      <c r="K225">
        <v>44042</v>
      </c>
      <c r="L225">
        <v>0.022504354202951</v>
      </c>
      <c r="M225">
        <v>-0.08102389309709201</v>
      </c>
      <c r="N225">
        <v>0.06</v>
      </c>
      <c r="O225">
        <v>0.002001193280950275</v>
      </c>
      <c r="P225" t="s">
        <v>637</v>
      </c>
      <c r="Q225" t="s">
        <v>372</v>
      </c>
      <c r="R225">
        <v>44</v>
      </c>
      <c r="S225">
        <v>0.8183333333333334</v>
      </c>
      <c r="T225">
        <v>143</v>
      </c>
      <c r="U225">
        <v>1.525734265734266</v>
      </c>
      <c r="V225">
        <v>6.3603</v>
      </c>
      <c r="W225">
        <v>6</v>
      </c>
      <c r="X225">
        <v>4.91</v>
      </c>
      <c r="Y225">
        <v>0.026246</v>
      </c>
      <c r="Z225">
        <v>0.3036303630363036</v>
      </c>
      <c r="AA225">
        <v>0.7223113964686998</v>
      </c>
      <c r="AB225">
        <v>0.6597110754414125</v>
      </c>
      <c r="AC225">
        <v>0.1332263242375602</v>
      </c>
      <c r="AD225">
        <v>0.1235955056179775</v>
      </c>
    </row>
    <row r="226" spans="1:30">
      <c r="A226" s="1" t="s">
        <v>233</v>
      </c>
      <c r="B226">
        <f>HYPERLINK("https://www.suredividend.com/sure-analysis-WEC/","WEC Energy Group, Inc.")</f>
        <v>0</v>
      </c>
      <c r="C226">
        <v>96.31</v>
      </c>
      <c r="D226">
        <v>30379.54485</v>
      </c>
      <c r="E226" t="s">
        <v>663</v>
      </c>
      <c r="F226" t="s">
        <v>632</v>
      </c>
      <c r="G226" t="s">
        <v>671</v>
      </c>
      <c r="H226" t="s">
        <v>700</v>
      </c>
      <c r="I226" t="s">
        <v>928</v>
      </c>
      <c r="J226" t="s">
        <v>1316</v>
      </c>
      <c r="K226">
        <v>44047</v>
      </c>
      <c r="L226">
        <v>0.025386771882462</v>
      </c>
      <c r="M226">
        <v>-0.07848646543419402</v>
      </c>
      <c r="N226">
        <v>0.052</v>
      </c>
      <c r="O226">
        <v>0.001901118655395218</v>
      </c>
      <c r="P226" t="s">
        <v>637</v>
      </c>
      <c r="Q226" t="s">
        <v>372</v>
      </c>
      <c r="R226">
        <v>17</v>
      </c>
      <c r="S226">
        <v>0.6554959785522788</v>
      </c>
      <c r="T226">
        <v>64</v>
      </c>
      <c r="U226">
        <v>1.50484375</v>
      </c>
      <c r="V226">
        <v>3.7169</v>
      </c>
      <c r="W226">
        <v>3.73</v>
      </c>
      <c r="X226">
        <v>2.445</v>
      </c>
      <c r="Y226">
        <v>0.004275</v>
      </c>
      <c r="Z226">
        <v>0.3366336633663367</v>
      </c>
      <c r="AA226">
        <v>0.7030497592295345</v>
      </c>
      <c r="AB226">
        <v>0.593900481540931</v>
      </c>
      <c r="AC226">
        <v>0.1396468699839487</v>
      </c>
      <c r="AD226">
        <v>0.1219903691813804</v>
      </c>
    </row>
    <row r="227" spans="1:30">
      <c r="A227" s="1" t="s">
        <v>234</v>
      </c>
      <c r="B227">
        <f>HYPERLINK("https://www.suredividend.com/sure-analysis-INFY/","Infosys Ltd.")</f>
        <v>0</v>
      </c>
      <c r="C227">
        <v>13.57</v>
      </c>
      <c r="D227">
        <v>57800.1937</v>
      </c>
      <c r="E227" t="s">
        <v>664</v>
      </c>
      <c r="F227" t="s">
        <v>632</v>
      </c>
      <c r="G227" t="s">
        <v>682</v>
      </c>
      <c r="H227" t="s">
        <v>700</v>
      </c>
      <c r="I227" t="s">
        <v>929</v>
      </c>
      <c r="J227" t="s">
        <v>1320</v>
      </c>
      <c r="K227">
        <v>44035</v>
      </c>
      <c r="L227">
        <v>0.017612380250552</v>
      </c>
      <c r="M227">
        <v>-0.07884538480907954</v>
      </c>
      <c r="N227">
        <v>0.06</v>
      </c>
      <c r="O227">
        <v>0.001701788398421167</v>
      </c>
      <c r="P227" t="s">
        <v>637</v>
      </c>
      <c r="Q227" t="s">
        <v>446</v>
      </c>
      <c r="R227">
        <v>4</v>
      </c>
      <c r="S227">
        <v>0.4192982456140352</v>
      </c>
      <c r="T227">
        <v>9</v>
      </c>
      <c r="U227">
        <v>1.507777777777778</v>
      </c>
      <c r="V227">
        <v>0.5542</v>
      </c>
      <c r="W227">
        <v>0.57</v>
      </c>
      <c r="X227">
        <v>0.239</v>
      </c>
      <c r="Y227">
        <v>0.219227</v>
      </c>
      <c r="Z227">
        <v>0.2046204620462046</v>
      </c>
      <c r="AA227">
        <v>0.8651685393258427</v>
      </c>
      <c r="AB227">
        <v>0.6597110754414125</v>
      </c>
      <c r="AC227">
        <v>0.1380417335473515</v>
      </c>
      <c r="AD227">
        <v>0.1203852327447833</v>
      </c>
    </row>
    <row r="228" spans="1:30">
      <c r="A228" s="1" t="s">
        <v>235</v>
      </c>
      <c r="B228">
        <f>HYPERLINK("https://www.suredividend.com/sure-analysis-FAST/","Fastenal Co.")</f>
        <v>0</v>
      </c>
      <c r="C228">
        <v>44.88</v>
      </c>
      <c r="D228">
        <v>25744.33488</v>
      </c>
      <c r="E228" t="s">
        <v>660</v>
      </c>
      <c r="F228" t="s">
        <v>632</v>
      </c>
      <c r="G228" t="s">
        <v>671</v>
      </c>
      <c r="H228" t="s">
        <v>701</v>
      </c>
      <c r="I228" t="s">
        <v>930</v>
      </c>
      <c r="J228" t="s">
        <v>1319</v>
      </c>
      <c r="K228">
        <v>44028</v>
      </c>
      <c r="L228">
        <v>0.020944741532976</v>
      </c>
      <c r="M228">
        <v>-0.09004265137075318</v>
      </c>
      <c r="N228">
        <v>0.07000000000000001</v>
      </c>
      <c r="O228">
        <v>0.0009066845384599898</v>
      </c>
      <c r="P228" t="s">
        <v>637</v>
      </c>
      <c r="Q228" t="s">
        <v>446</v>
      </c>
      <c r="R228">
        <v>20</v>
      </c>
      <c r="S228">
        <v>0.6962962962962963</v>
      </c>
      <c r="T228">
        <v>28</v>
      </c>
      <c r="U228">
        <v>1.602857142857143</v>
      </c>
      <c r="V228">
        <v>1.4534</v>
      </c>
      <c r="W228">
        <v>1.35</v>
      </c>
      <c r="X228">
        <v>0.9400000000000001</v>
      </c>
      <c r="Y228">
        <v>0.402938</v>
      </c>
      <c r="Z228">
        <v>0.2772277227722773</v>
      </c>
      <c r="AA228">
        <v>0.9438202247191012</v>
      </c>
      <c r="AB228">
        <v>0.7504012841091493</v>
      </c>
      <c r="AC228">
        <v>0.1027287319422151</v>
      </c>
      <c r="AD228">
        <v>0.115569823434992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192.63</v>
      </c>
      <c r="D229">
        <v>60902.47869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44049</v>
      </c>
      <c r="L229">
        <v>0.022218761355967</v>
      </c>
      <c r="M229">
        <v>-0.09183532025943641</v>
      </c>
      <c r="N229">
        <v>0.07000000000000001</v>
      </c>
      <c r="O229">
        <v>-0.002427199267994506</v>
      </c>
      <c r="P229" t="s">
        <v>637</v>
      </c>
      <c r="Q229" t="s">
        <v>372</v>
      </c>
      <c r="R229">
        <v>45</v>
      </c>
      <c r="S229">
        <v>0.7781818181818182</v>
      </c>
      <c r="T229">
        <v>119</v>
      </c>
      <c r="U229">
        <v>1.618739495798319</v>
      </c>
      <c r="V229">
        <v>6.8308</v>
      </c>
      <c r="W229">
        <v>5.5</v>
      </c>
      <c r="X229">
        <v>4.28</v>
      </c>
      <c r="Y229">
        <v>0.240214</v>
      </c>
      <c r="Z229">
        <v>0.2970297029702971</v>
      </c>
      <c r="AA229">
        <v>0.8780096308186195</v>
      </c>
      <c r="AB229">
        <v>0.7504012841091493</v>
      </c>
      <c r="AC229">
        <v>0.09951845906902086</v>
      </c>
      <c r="AD229">
        <v>0.1075441412520064</v>
      </c>
    </row>
    <row r="230" spans="1:30">
      <c r="A230" s="1" t="s">
        <v>237</v>
      </c>
      <c r="B230">
        <f>HYPERLINK("https://www.suredividend.com/sure-analysis-WM/","Waste Management, Inc.")</f>
        <v>0</v>
      </c>
      <c r="C230">
        <v>113.63</v>
      </c>
      <c r="D230">
        <v>48004.24343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1319</v>
      </c>
      <c r="K230">
        <v>44049</v>
      </c>
      <c r="L230">
        <v>0.01861304233037</v>
      </c>
      <c r="M230">
        <v>-0.07248632979908332</v>
      </c>
      <c r="N230">
        <v>0.05</v>
      </c>
      <c r="O230">
        <v>-0.003251282156155555</v>
      </c>
      <c r="P230" t="s">
        <v>637</v>
      </c>
      <c r="Q230" t="s">
        <v>446</v>
      </c>
      <c r="R230">
        <v>17</v>
      </c>
      <c r="S230">
        <v>0.5158536585365855</v>
      </c>
      <c r="T230">
        <v>78</v>
      </c>
      <c r="U230">
        <v>1.456794871794872</v>
      </c>
      <c r="V230">
        <v>3.7971</v>
      </c>
      <c r="W230">
        <v>4.1</v>
      </c>
      <c r="X230">
        <v>2.115</v>
      </c>
      <c r="Y230">
        <v>-0.012686</v>
      </c>
      <c r="Z230">
        <v>0.2293729372937293</v>
      </c>
      <c r="AA230">
        <v>0.6741573033707866</v>
      </c>
      <c r="AB230">
        <v>0.5296950240770465</v>
      </c>
      <c r="AC230">
        <v>0.158908507223114</v>
      </c>
      <c r="AD230">
        <v>0.1027287319422151</v>
      </c>
    </row>
    <row r="231" spans="1:30">
      <c r="A231" s="1" t="s">
        <v>238</v>
      </c>
      <c r="B231">
        <f>HYPERLINK("https://www.suredividend.com/sure-analysis-UNP/","Union Pacific Corp.")</f>
        <v>0</v>
      </c>
      <c r="C231">
        <v>198.15</v>
      </c>
      <c r="D231">
        <v>134511.94785</v>
      </c>
      <c r="E231" t="s">
        <v>663</v>
      </c>
      <c r="F231" t="s">
        <v>632</v>
      </c>
      <c r="G231" t="s">
        <v>671</v>
      </c>
      <c r="H231" t="s">
        <v>700</v>
      </c>
      <c r="I231" t="s">
        <v>933</v>
      </c>
      <c r="J231" t="s">
        <v>1319</v>
      </c>
      <c r="K231">
        <v>44035</v>
      </c>
      <c r="L231">
        <v>0.019581125410042</v>
      </c>
      <c r="M231">
        <v>-0.09244458829814417</v>
      </c>
      <c r="N231">
        <v>0.07000000000000001</v>
      </c>
      <c r="O231">
        <v>-0.004617590150177819</v>
      </c>
      <c r="P231" t="s">
        <v>637</v>
      </c>
      <c r="Q231" t="s">
        <v>446</v>
      </c>
      <c r="R231">
        <v>13</v>
      </c>
      <c r="S231">
        <v>0.5091863517060368</v>
      </c>
      <c r="T231">
        <v>122</v>
      </c>
      <c r="U231">
        <v>1.624180327868852</v>
      </c>
      <c r="V231">
        <v>8.0749</v>
      </c>
      <c r="W231">
        <v>7.62</v>
      </c>
      <c r="X231">
        <v>3.88</v>
      </c>
      <c r="Y231">
        <v>0.210224</v>
      </c>
      <c r="Z231">
        <v>0.2541254125412541</v>
      </c>
      <c r="AA231">
        <v>0.8523274478330659</v>
      </c>
      <c r="AB231">
        <v>0.7504012841091493</v>
      </c>
      <c r="AC231">
        <v>0.09630818619582664</v>
      </c>
      <c r="AD231">
        <v>0.09309791332263241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281.82</v>
      </c>
      <c r="D232">
        <v>137992.59936</v>
      </c>
      <c r="E232" t="s">
        <v>670</v>
      </c>
      <c r="F232" t="s">
        <v>632</v>
      </c>
      <c r="G232" t="s">
        <v>671</v>
      </c>
      <c r="H232" t="s">
        <v>700</v>
      </c>
      <c r="I232" t="s">
        <v>888</v>
      </c>
      <c r="J232" t="s">
        <v>1316</v>
      </c>
      <c r="K232">
        <v>44042</v>
      </c>
      <c r="L232">
        <v>0.01880633028174</v>
      </c>
      <c r="M232">
        <v>-0.1059314606936221</v>
      </c>
      <c r="N232">
        <v>0.07000000000000001</v>
      </c>
      <c r="O232">
        <v>-0.01486520787908263</v>
      </c>
      <c r="P232" t="s">
        <v>637</v>
      </c>
      <c r="Q232" t="s">
        <v>446</v>
      </c>
      <c r="R232">
        <v>25</v>
      </c>
      <c r="S232">
        <v>0.5921787709497207</v>
      </c>
      <c r="T232">
        <v>161</v>
      </c>
      <c r="U232">
        <v>1.750434782608696</v>
      </c>
      <c r="V232">
        <v>7.2819</v>
      </c>
      <c r="W232">
        <v>8.949999999999999</v>
      </c>
      <c r="X232">
        <v>5.3</v>
      </c>
      <c r="Y232">
        <v>0.216209</v>
      </c>
      <c r="Z232">
        <v>0.235973597359736</v>
      </c>
      <c r="AA232">
        <v>0.8603531300160513</v>
      </c>
      <c r="AB232">
        <v>0.7504012841091493</v>
      </c>
      <c r="AC232">
        <v>0.06741573033707865</v>
      </c>
      <c r="AD232">
        <v>0.07865168539325842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68.5</v>
      </c>
      <c r="D233">
        <v>35985.927</v>
      </c>
      <c r="E233" t="s">
        <v>660</v>
      </c>
      <c r="F233" t="s">
        <v>632</v>
      </c>
      <c r="G233" t="s">
        <v>671</v>
      </c>
      <c r="H233" t="s">
        <v>701</v>
      </c>
      <c r="I233" t="s">
        <v>934</v>
      </c>
      <c r="J233" t="s">
        <v>1316</v>
      </c>
      <c r="K233">
        <v>44049</v>
      </c>
      <c r="L233">
        <v>0.024379562043795</v>
      </c>
      <c r="M233">
        <v>-0.08472326999719881</v>
      </c>
      <c r="N233">
        <v>0.04</v>
      </c>
      <c r="O233">
        <v>-0.01593356945092772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1.556818181818182</v>
      </c>
      <c r="V233">
        <v>2.677</v>
      </c>
      <c r="W233">
        <v>2.75</v>
      </c>
      <c r="X233">
        <v>1.67</v>
      </c>
      <c r="Y233">
        <v>0.044685</v>
      </c>
      <c r="Z233">
        <v>0.3234323432343234</v>
      </c>
      <c r="AA233">
        <v>0.7367576243980739</v>
      </c>
      <c r="AB233">
        <v>0.4012841091492777</v>
      </c>
      <c r="AC233">
        <v>0.1203852327447833</v>
      </c>
      <c r="AD233">
        <v>0.07544141252006421</v>
      </c>
    </row>
    <row r="234" spans="1:30">
      <c r="A234" s="1" t="s">
        <v>241</v>
      </c>
      <c r="B234">
        <f>HYPERLINK("https://www.suredividend.com/sure-analysis-CHRW/","C.H. Robinson Worldwide, Inc.")</f>
        <v>0</v>
      </c>
      <c r="C234">
        <v>102.36</v>
      </c>
      <c r="D234">
        <v>13800.48228</v>
      </c>
      <c r="E234" t="s">
        <v>668</v>
      </c>
      <c r="F234" t="s">
        <v>632</v>
      </c>
      <c r="G234" t="s">
        <v>671</v>
      </c>
      <c r="H234" t="s">
        <v>701</v>
      </c>
      <c r="I234" t="s">
        <v>935</v>
      </c>
      <c r="J234" t="s">
        <v>1319</v>
      </c>
      <c r="K234">
        <v>44063</v>
      </c>
      <c r="L234">
        <v>0.019831965611567</v>
      </c>
      <c r="M234">
        <v>-0.09250956875377125</v>
      </c>
      <c r="N234">
        <v>0.05</v>
      </c>
      <c r="O234">
        <v>-0.02045686915267109</v>
      </c>
      <c r="P234" t="s">
        <v>637</v>
      </c>
      <c r="Q234" t="s">
        <v>372</v>
      </c>
      <c r="R234">
        <v>22</v>
      </c>
      <c r="S234">
        <v>0.58</v>
      </c>
      <c r="T234">
        <v>63</v>
      </c>
      <c r="U234">
        <v>1.624761904761905</v>
      </c>
      <c r="V234">
        <v>3.4488</v>
      </c>
      <c r="W234">
        <v>3.5</v>
      </c>
      <c r="X234">
        <v>2.03</v>
      </c>
      <c r="Y234">
        <v>0.217267</v>
      </c>
      <c r="Z234">
        <v>0.264026402640264</v>
      </c>
      <c r="AA234">
        <v>0.8619582664526484</v>
      </c>
      <c r="AB234">
        <v>0.5296950240770465</v>
      </c>
      <c r="AC234">
        <v>0.09470304975922954</v>
      </c>
      <c r="AD234">
        <v>0.07223113964686999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514.95</v>
      </c>
      <c r="D235">
        <v>318091.8243</v>
      </c>
      <c r="E235" t="s">
        <v>664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0.001242839110593</v>
      </c>
      <c r="M235">
        <v>-0.1518577943095946</v>
      </c>
      <c r="N235">
        <v>0.15</v>
      </c>
      <c r="O235">
        <v>-0.02326706648721166</v>
      </c>
      <c r="P235" t="s">
        <v>637</v>
      </c>
      <c r="Q235" t="s">
        <v>586</v>
      </c>
      <c r="R235">
        <v>7</v>
      </c>
      <c r="S235">
        <v>0.07071823204419889</v>
      </c>
      <c r="T235">
        <v>226</v>
      </c>
      <c r="U235">
        <v>2.27853982300885</v>
      </c>
      <c r="V235">
        <v>5.5293</v>
      </c>
      <c r="W235">
        <v>9.050000000000001</v>
      </c>
      <c r="X235">
        <v>0.64</v>
      </c>
      <c r="Y235">
        <v>1.903744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0.06420545746388444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114.5</v>
      </c>
      <c r="D236">
        <v>129186.915</v>
      </c>
      <c r="E236" t="s">
        <v>663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0.021921397379912</v>
      </c>
      <c r="M236">
        <v>-0.1212422812872443</v>
      </c>
      <c r="N236">
        <v>0.07000000000000001</v>
      </c>
      <c r="O236">
        <v>-0.02640449365913256</v>
      </c>
      <c r="P236" t="s">
        <v>637</v>
      </c>
      <c r="Q236" t="s">
        <v>446</v>
      </c>
      <c r="R236">
        <v>18</v>
      </c>
      <c r="S236">
        <v>0.6502590673575129</v>
      </c>
      <c r="T236">
        <v>60</v>
      </c>
      <c r="U236">
        <v>1.908333333333333</v>
      </c>
      <c r="V236">
        <v>2.392</v>
      </c>
      <c r="W236">
        <v>3.86</v>
      </c>
      <c r="X236">
        <v>2.51</v>
      </c>
      <c r="Y236">
        <v>0.480284</v>
      </c>
      <c r="Z236">
        <v>0.2904290429042904</v>
      </c>
      <c r="AA236">
        <v>0.956661316211878</v>
      </c>
      <c r="AB236">
        <v>0.7504012841091493</v>
      </c>
      <c r="AC236">
        <v>0.03370786516853932</v>
      </c>
      <c r="AD236">
        <v>0.05939004815409309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156.09</v>
      </c>
      <c r="D237">
        <v>6699.570108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0.007559741174963001</v>
      </c>
      <c r="M237">
        <v>-0.09453909214037759</v>
      </c>
      <c r="N237">
        <v>0.06</v>
      </c>
      <c r="O237">
        <v>-0.02900906634710065</v>
      </c>
      <c r="P237" t="s">
        <v>637</v>
      </c>
      <c r="Q237" t="s">
        <v>446</v>
      </c>
      <c r="R237">
        <v>10</v>
      </c>
      <c r="S237">
        <v>0.3371428571428571</v>
      </c>
      <c r="T237">
        <v>95</v>
      </c>
      <c r="U237">
        <v>1.643052631578947</v>
      </c>
      <c r="V237">
        <v>3.4727</v>
      </c>
      <c r="W237">
        <v>3.5</v>
      </c>
      <c r="X237">
        <v>1.18</v>
      </c>
      <c r="Y237">
        <v>0.05104</v>
      </c>
      <c r="Z237">
        <v>0.04950495049504951</v>
      </c>
      <c r="AA237">
        <v>0.7431781701444623</v>
      </c>
      <c r="AB237">
        <v>0.6597110754414125</v>
      </c>
      <c r="AC237">
        <v>0.08988764044943821</v>
      </c>
      <c r="AD237">
        <v>0.05617977528089888</v>
      </c>
    </row>
    <row r="238" spans="1:30">
      <c r="A238" s="1" t="s">
        <v>245</v>
      </c>
      <c r="B238">
        <f>HYPERLINK("https://www.suredividend.com/sure-analysis-ALB/","Albemarle Corp.")</f>
        <v>0</v>
      </c>
      <c r="C238">
        <v>84.52</v>
      </c>
      <c r="D238">
        <v>8989.37816</v>
      </c>
      <c r="E238" t="s">
        <v>663</v>
      </c>
      <c r="F238" t="s">
        <v>632</v>
      </c>
      <c r="G238" t="s">
        <v>671</v>
      </c>
      <c r="H238" t="s">
        <v>700</v>
      </c>
      <c r="I238" t="s">
        <v>939</v>
      </c>
      <c r="J238" t="s">
        <v>1322</v>
      </c>
      <c r="K238">
        <v>44048</v>
      </c>
      <c r="L238">
        <v>0.017806436346426</v>
      </c>
      <c r="M238">
        <v>-0.1347036462274344</v>
      </c>
      <c r="N238">
        <v>0.09</v>
      </c>
      <c r="O238">
        <v>-0.0297651551568181</v>
      </c>
      <c r="P238" t="s">
        <v>637</v>
      </c>
      <c r="Q238" t="s">
        <v>372</v>
      </c>
      <c r="R238">
        <v>25</v>
      </c>
      <c r="S238">
        <v>0.436231884057971</v>
      </c>
      <c r="T238">
        <v>41</v>
      </c>
      <c r="U238">
        <v>2.061463414634146</v>
      </c>
      <c r="V238">
        <v>4.1299</v>
      </c>
      <c r="W238">
        <v>3.45</v>
      </c>
      <c r="X238">
        <v>1.505</v>
      </c>
      <c r="Y238">
        <v>0.257925</v>
      </c>
      <c r="Z238">
        <v>0.2079207920792079</v>
      </c>
      <c r="AA238">
        <v>0.8908507223113965</v>
      </c>
      <c r="AB238">
        <v>0.8780096308186195</v>
      </c>
      <c r="AC238">
        <v>0.02407704654895666</v>
      </c>
      <c r="AD238">
        <v>0.05296950240770466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219.25</v>
      </c>
      <c r="D239">
        <v>68707.46875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1319</v>
      </c>
      <c r="K239">
        <v>44064</v>
      </c>
      <c r="L239">
        <v>0.013865450399087</v>
      </c>
      <c r="M239">
        <v>-0.1257096515159195</v>
      </c>
      <c r="N239">
        <v>0.08</v>
      </c>
      <c r="O239">
        <v>-0.03575030723673467</v>
      </c>
      <c r="P239" t="s">
        <v>637</v>
      </c>
      <c r="Q239" t="s">
        <v>446</v>
      </c>
      <c r="R239">
        <v>3</v>
      </c>
      <c r="S239">
        <v>0.4281690140845071</v>
      </c>
      <c r="T239">
        <v>112</v>
      </c>
      <c r="U239">
        <v>1.957589285714286</v>
      </c>
      <c r="V239">
        <v>8.663499999999999</v>
      </c>
      <c r="W239">
        <v>7.1</v>
      </c>
      <c r="X239">
        <v>3.04</v>
      </c>
      <c r="Y239">
        <v>0.317529</v>
      </c>
      <c r="Z239">
        <v>0.132013201320132</v>
      </c>
      <c r="AA239">
        <v>0.9197431781701445</v>
      </c>
      <c r="AB239">
        <v>0.8274478330658106</v>
      </c>
      <c r="AC239">
        <v>0.02889245585874799</v>
      </c>
      <c r="AD239">
        <v>0.04815409309791332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204.43</v>
      </c>
      <c r="D240">
        <v>9442.437712999999</v>
      </c>
      <c r="E240" t="s">
        <v>664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0.018563811573643</v>
      </c>
      <c r="M240">
        <v>-0.114974732431498</v>
      </c>
      <c r="N240">
        <v>0.055</v>
      </c>
      <c r="O240">
        <v>-0.03909024703989628</v>
      </c>
      <c r="P240" t="s">
        <v>637</v>
      </c>
      <c r="Q240" t="s">
        <v>446</v>
      </c>
      <c r="R240">
        <v>30</v>
      </c>
      <c r="S240">
        <v>0.6170731707317073</v>
      </c>
      <c r="T240">
        <v>111</v>
      </c>
      <c r="U240">
        <v>1.841711711711712</v>
      </c>
      <c r="V240">
        <v>6.3358</v>
      </c>
      <c r="W240">
        <v>6.15</v>
      </c>
      <c r="X240">
        <v>3.795</v>
      </c>
      <c r="Y240">
        <v>0.07855899999999999</v>
      </c>
      <c r="Z240">
        <v>0.2260726072607261</v>
      </c>
      <c r="AA240">
        <v>0.7592295345104334</v>
      </c>
      <c r="AB240">
        <v>0.6027287319422151</v>
      </c>
      <c r="AC240">
        <v>0.04494382022471911</v>
      </c>
      <c r="AD240">
        <v>0.04333868378812199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290.71</v>
      </c>
      <c r="D241">
        <v>64216.09474</v>
      </c>
      <c r="E241" t="s">
        <v>664</v>
      </c>
      <c r="F241" t="s">
        <v>632</v>
      </c>
      <c r="G241" t="s">
        <v>671</v>
      </c>
      <c r="H241" t="s">
        <v>700</v>
      </c>
      <c r="I241" t="s">
        <v>942</v>
      </c>
      <c r="J241" t="s">
        <v>1322</v>
      </c>
      <c r="K241">
        <v>44041</v>
      </c>
      <c r="L241">
        <v>0.01719927075092</v>
      </c>
      <c r="M241">
        <v>-0.122790360868355</v>
      </c>
      <c r="N241">
        <v>0.06</v>
      </c>
      <c r="O241">
        <v>-0.04160666393694334</v>
      </c>
      <c r="P241" t="s">
        <v>637</v>
      </c>
      <c r="Q241" t="s">
        <v>372</v>
      </c>
      <c r="R241">
        <v>38</v>
      </c>
      <c r="S241">
        <v>0.5952380952380952</v>
      </c>
      <c r="T241">
        <v>151</v>
      </c>
      <c r="U241">
        <v>1.92523178807947</v>
      </c>
      <c r="V241">
        <v>8.6762</v>
      </c>
      <c r="W241">
        <v>8.4</v>
      </c>
      <c r="X241">
        <v>5</v>
      </c>
      <c r="Y241">
        <v>0.301939</v>
      </c>
      <c r="Z241">
        <v>0.1897689768976898</v>
      </c>
      <c r="AA241">
        <v>0.9117174959871589</v>
      </c>
      <c r="AB241">
        <v>0.6597110754414125</v>
      </c>
      <c r="AC241">
        <v>0.0304975922953451</v>
      </c>
      <c r="AD241">
        <v>0.03852327447833066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65.19</v>
      </c>
      <c r="D242">
        <v>1898.169825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1319</v>
      </c>
      <c r="K242">
        <v>44028</v>
      </c>
      <c r="L242">
        <v>0.010431047706703</v>
      </c>
      <c r="M242">
        <v>-0.111976816597993</v>
      </c>
      <c r="N242">
        <v>0.034</v>
      </c>
      <c r="O242">
        <v>-0.06324411327341739</v>
      </c>
      <c r="P242" t="s">
        <v>637</v>
      </c>
      <c r="Q242" t="s">
        <v>446</v>
      </c>
      <c r="R242">
        <v>27</v>
      </c>
      <c r="S242">
        <v>0.4503311258278146</v>
      </c>
      <c r="T242">
        <v>36</v>
      </c>
      <c r="U242">
        <v>1.810833333333333</v>
      </c>
      <c r="V242">
        <v>1.5975</v>
      </c>
      <c r="W242">
        <v>1.51</v>
      </c>
      <c r="X242">
        <v>0.68</v>
      </c>
      <c r="Y242">
        <v>0.234893</v>
      </c>
      <c r="Z242">
        <v>0.08745874587458745</v>
      </c>
      <c r="AA242">
        <v>0.8731942215088283</v>
      </c>
      <c r="AB242">
        <v>0.3282504012841091</v>
      </c>
      <c r="AC242">
        <v>0.05457463884430177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5.61</v>
      </c>
      <c r="D243">
        <v>5338.83504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1322</v>
      </c>
      <c r="K243">
        <v>44083</v>
      </c>
      <c r="L243">
        <v>0.008635580063868002</v>
      </c>
      <c r="M243">
        <v>-0.1090167522713366</v>
      </c>
      <c r="N243">
        <v>0.02</v>
      </c>
      <c r="O243">
        <v>-0.06948719021393568</v>
      </c>
      <c r="P243" t="s">
        <v>637</v>
      </c>
      <c r="Q243" t="s">
        <v>446</v>
      </c>
      <c r="R243">
        <v>1</v>
      </c>
      <c r="S243">
        <v>0.01076568981295622</v>
      </c>
      <c r="T243">
        <v>3.15</v>
      </c>
      <c r="U243">
        <v>1.780952380952381</v>
      </c>
      <c r="V243">
        <v>0.2745</v>
      </c>
      <c r="W243">
        <v>4.5</v>
      </c>
      <c r="X243">
        <v>0.04844560415830301</v>
      </c>
      <c r="Y243">
        <v>0.659763</v>
      </c>
      <c r="Z243">
        <v>0.06435643564356436</v>
      </c>
      <c r="AA243">
        <v>0.9775280898876404</v>
      </c>
      <c r="AB243">
        <v>0.1613162118780096</v>
      </c>
      <c r="AC243">
        <v>0.06099518459069021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5.49</v>
      </c>
      <c r="D244">
        <v>14798.844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0.222222222222222</v>
      </c>
      <c r="M244">
        <v>0.08878314301362678</v>
      </c>
      <c r="N244">
        <v>0.074</v>
      </c>
      <c r="O244">
        <v>0.2662499931327775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0.6535714285714286</v>
      </c>
      <c r="V244">
        <v>0.5124000000000001</v>
      </c>
      <c r="W244">
        <v>1.4</v>
      </c>
      <c r="X244">
        <v>1.22</v>
      </c>
      <c r="Y244">
        <v>-0.580916</v>
      </c>
      <c r="Z244">
        <v>0.9867986798679869</v>
      </c>
      <c r="AA244">
        <v>0.06741573033707865</v>
      </c>
      <c r="AB244">
        <v>0.7833065810593901</v>
      </c>
      <c r="AC244">
        <v>0.9390048154093098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25.01</v>
      </c>
      <c r="D245">
        <v>11109.49202</v>
      </c>
      <c r="E245" t="s">
        <v>664</v>
      </c>
      <c r="F245" t="s">
        <v>632</v>
      </c>
      <c r="G245" t="s">
        <v>671</v>
      </c>
      <c r="H245" t="s">
        <v>700</v>
      </c>
      <c r="I245" t="s">
        <v>946</v>
      </c>
      <c r="J245" t="s">
        <v>1317</v>
      </c>
      <c r="K245">
        <v>44050</v>
      </c>
      <c r="L245">
        <v>0.146941223510595</v>
      </c>
      <c r="M245">
        <v>0.1144765960990575</v>
      </c>
      <c r="N245">
        <v>0.03</v>
      </c>
      <c r="O245">
        <v>0.2254391426514839</v>
      </c>
      <c r="P245" t="s">
        <v>372</v>
      </c>
      <c r="Q245" t="s">
        <v>636</v>
      </c>
      <c r="R245">
        <v>18</v>
      </c>
      <c r="S245">
        <v>0.8546511627906976</v>
      </c>
      <c r="T245">
        <v>43</v>
      </c>
      <c r="U245">
        <v>0.5816279069767443</v>
      </c>
      <c r="V245">
        <v>1.497</v>
      </c>
      <c r="W245">
        <v>4.3</v>
      </c>
      <c r="X245">
        <v>3.675</v>
      </c>
      <c r="Y245">
        <v>-0.659682</v>
      </c>
      <c r="Z245">
        <v>0.9554455445544555</v>
      </c>
      <c r="AA245">
        <v>0.02728731942215088</v>
      </c>
      <c r="AB245">
        <v>0.2680577849117175</v>
      </c>
      <c r="AC245">
        <v>0.9775280898876404</v>
      </c>
      <c r="AD245">
        <v>0.9935794542536115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46.42</v>
      </c>
      <c r="D246">
        <v>3447.890342</v>
      </c>
      <c r="E246" t="s">
        <v>661</v>
      </c>
      <c r="F246" t="s">
        <v>634</v>
      </c>
      <c r="G246" t="s">
        <v>671</v>
      </c>
      <c r="H246" t="s">
        <v>700</v>
      </c>
      <c r="I246" t="s">
        <v>947</v>
      </c>
      <c r="J246" t="s">
        <v>1323</v>
      </c>
      <c r="K246">
        <v>44078</v>
      </c>
      <c r="L246">
        <v>0.062796208530805</v>
      </c>
      <c r="M246">
        <v>0.1415829522906236</v>
      </c>
      <c r="N246">
        <v>0.03</v>
      </c>
      <c r="O246">
        <v>0.2165224271446766</v>
      </c>
      <c r="P246" t="s">
        <v>372</v>
      </c>
      <c r="Q246" t="s">
        <v>637</v>
      </c>
      <c r="R246">
        <v>19</v>
      </c>
      <c r="S246">
        <v>0.422463768115942</v>
      </c>
      <c r="T246">
        <v>90</v>
      </c>
      <c r="U246">
        <v>0.5157777777777778</v>
      </c>
      <c r="V246">
        <v>2.8165</v>
      </c>
      <c r="W246">
        <v>6.9</v>
      </c>
      <c r="X246">
        <v>2.915</v>
      </c>
      <c r="Y246">
        <v>-0.435966</v>
      </c>
      <c r="Z246">
        <v>0.7574257425742574</v>
      </c>
      <c r="AA246">
        <v>0.1524879614767255</v>
      </c>
      <c r="AB246">
        <v>0.2680577849117175</v>
      </c>
      <c r="AC246">
        <v>0.9887640449438203</v>
      </c>
      <c r="AD246">
        <v>0.9903691813804173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33.89</v>
      </c>
      <c r="D247">
        <v>7627.14784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0.120610799645913</v>
      </c>
      <c r="M247">
        <v>0.09765140642123793</v>
      </c>
      <c r="N247">
        <v>0.04</v>
      </c>
      <c r="O247">
        <v>0.2125976025161453</v>
      </c>
      <c r="P247" t="s">
        <v>372</v>
      </c>
      <c r="Q247" t="s">
        <v>636</v>
      </c>
      <c r="R247">
        <v>20</v>
      </c>
      <c r="S247">
        <v>0.9083333333333334</v>
      </c>
      <c r="T247">
        <v>54</v>
      </c>
      <c r="U247">
        <v>0.6275925925925926</v>
      </c>
      <c r="V247">
        <v>4.3038</v>
      </c>
      <c r="W247">
        <v>4.5</v>
      </c>
      <c r="X247">
        <v>4.0875</v>
      </c>
      <c r="Y247">
        <v>-0.486826</v>
      </c>
      <c r="Z247">
        <v>0.9174917491749174</v>
      </c>
      <c r="AA247">
        <v>0.115569823434992</v>
      </c>
      <c r="AB247">
        <v>0.4012841091492777</v>
      </c>
      <c r="AC247">
        <v>0.956661316211878</v>
      </c>
      <c r="AD247">
        <v>0.9871589085072232</v>
      </c>
    </row>
    <row r="248" spans="1:30">
      <c r="A248" s="1" t="s">
        <v>255</v>
      </c>
      <c r="B248">
        <f>HYPERLINK("https://www.suredividend.com/sure-analysis-FTI/","TechnipFMC Plc")</f>
        <v>0</v>
      </c>
      <c r="C248">
        <v>6.06</v>
      </c>
      <c r="D248">
        <v>2722.95192</v>
      </c>
      <c r="E248" t="s">
        <v>661</v>
      </c>
      <c r="F248" t="s">
        <v>632</v>
      </c>
      <c r="G248" t="s">
        <v>677</v>
      </c>
      <c r="H248" t="s">
        <v>700</v>
      </c>
      <c r="I248" t="s">
        <v>949</v>
      </c>
      <c r="J248" t="s">
        <v>1317</v>
      </c>
      <c r="K248">
        <v>44054</v>
      </c>
      <c r="L248">
        <v>0.042904290429042</v>
      </c>
      <c r="M248">
        <v>0.1053644046653075</v>
      </c>
      <c r="N248">
        <v>0.09</v>
      </c>
      <c r="O248">
        <v>0.2048472010851852</v>
      </c>
      <c r="P248" t="s">
        <v>372</v>
      </c>
      <c r="Q248" t="s">
        <v>372</v>
      </c>
      <c r="R248">
        <v>0</v>
      </c>
      <c r="S248">
        <v>0.2736842105263158</v>
      </c>
      <c r="T248">
        <v>10</v>
      </c>
      <c r="U248">
        <v>0.606</v>
      </c>
      <c r="V248">
        <v>-12.9158</v>
      </c>
      <c r="W248">
        <v>0.95</v>
      </c>
      <c r="X248">
        <v>0.26</v>
      </c>
      <c r="Y248">
        <v>-0.750309</v>
      </c>
      <c r="Z248">
        <v>0.5874587458745875</v>
      </c>
      <c r="AA248">
        <v>0.01605136436597111</v>
      </c>
      <c r="AB248">
        <v>0.8780096308186195</v>
      </c>
      <c r="AC248">
        <v>0.9695024077046548</v>
      </c>
      <c r="AD248">
        <v>0.9839486356340289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1.78</v>
      </c>
      <c r="D249">
        <v>396.16392</v>
      </c>
      <c r="E249" t="s">
        <v>668</v>
      </c>
      <c r="F249" t="s">
        <v>632</v>
      </c>
      <c r="G249" t="s">
        <v>673</v>
      </c>
      <c r="H249" t="s">
        <v>700</v>
      </c>
      <c r="I249" t="s">
        <v>950</v>
      </c>
      <c r="J249" t="s">
        <v>1317</v>
      </c>
      <c r="K249">
        <v>43985</v>
      </c>
      <c r="L249">
        <v>0.05022559501826401</v>
      </c>
      <c r="M249">
        <v>0.1151766685146669</v>
      </c>
      <c r="N249">
        <v>0.057</v>
      </c>
      <c r="O249">
        <v>0.2038406231702345</v>
      </c>
      <c r="P249" t="s">
        <v>372</v>
      </c>
      <c r="Q249" t="s">
        <v>637</v>
      </c>
      <c r="R249">
        <v>0</v>
      </c>
      <c r="S249">
        <v>0.01746124201806836</v>
      </c>
      <c r="T249">
        <v>3.07</v>
      </c>
      <c r="U249">
        <v>0.5798045602605864</v>
      </c>
      <c r="V249">
        <v>-3.2138</v>
      </c>
      <c r="W249">
        <v>5.12</v>
      </c>
      <c r="X249">
        <v>0.08940155913251001</v>
      </c>
      <c r="Y249">
        <v>-0.763612</v>
      </c>
      <c r="Z249">
        <v>0.6584158415841584</v>
      </c>
      <c r="AA249">
        <v>0.014446227929374</v>
      </c>
      <c r="AB249">
        <v>0.6107544141252006</v>
      </c>
      <c r="AC249">
        <v>0.9791332263242376</v>
      </c>
      <c r="AD249">
        <v>0.9823434991974318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16.08</v>
      </c>
      <c r="D250">
        <v>17024.7</v>
      </c>
      <c r="E250" t="s">
        <v>660</v>
      </c>
      <c r="F250" t="s">
        <v>633</v>
      </c>
      <c r="G250" t="s">
        <v>671</v>
      </c>
      <c r="H250" t="s">
        <v>700</v>
      </c>
      <c r="I250" t="s">
        <v>951</v>
      </c>
      <c r="J250" t="s">
        <v>1317</v>
      </c>
      <c r="K250">
        <v>44049</v>
      </c>
      <c r="L250">
        <v>0.169154228855721</v>
      </c>
      <c r="M250">
        <v>0.07420794045821788</v>
      </c>
      <c r="N250">
        <v>0.02</v>
      </c>
      <c r="O250">
        <v>0.1999402830467263</v>
      </c>
      <c r="P250" t="s">
        <v>372</v>
      </c>
      <c r="Q250" t="s">
        <v>636</v>
      </c>
      <c r="R250">
        <v>8</v>
      </c>
      <c r="S250">
        <v>0.8369230769230769</v>
      </c>
      <c r="T250">
        <v>23</v>
      </c>
      <c r="U250">
        <v>0.6991304347826086</v>
      </c>
      <c r="V250">
        <v>-1.9838</v>
      </c>
      <c r="W250">
        <v>3.25</v>
      </c>
      <c r="X250">
        <v>2.72</v>
      </c>
      <c r="Y250">
        <v>-0.434798</v>
      </c>
      <c r="Z250">
        <v>0.9636963696369637</v>
      </c>
      <c r="AA250">
        <v>0.1573033707865168</v>
      </c>
      <c r="AB250">
        <v>0.1613162118780096</v>
      </c>
      <c r="AC250">
        <v>0.9149277688603532</v>
      </c>
      <c r="AD250">
        <v>0.9791332263242376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17.95</v>
      </c>
      <c r="D251">
        <v>126.233555</v>
      </c>
      <c r="E251" t="s">
        <v>663</v>
      </c>
      <c r="F251" t="s">
        <v>632</v>
      </c>
      <c r="G251" t="s">
        <v>671</v>
      </c>
      <c r="H251" t="s">
        <v>700</v>
      </c>
      <c r="I251" t="s">
        <v>952</v>
      </c>
      <c r="J251" t="s">
        <v>1317</v>
      </c>
      <c r="K251">
        <v>44048</v>
      </c>
      <c r="L251">
        <v>0.042479108635097</v>
      </c>
      <c r="M251">
        <v>0.1493375865308373</v>
      </c>
      <c r="N251">
        <v>0.01</v>
      </c>
      <c r="O251">
        <v>0.1880860440495875</v>
      </c>
      <c r="P251" t="s">
        <v>372</v>
      </c>
      <c r="Q251" t="s">
        <v>372</v>
      </c>
      <c r="R251">
        <v>2</v>
      </c>
      <c r="S251">
        <v>0.190625</v>
      </c>
      <c r="T251">
        <v>36</v>
      </c>
      <c r="U251">
        <v>0.4986111111111111</v>
      </c>
      <c r="V251">
        <v>4.1236</v>
      </c>
      <c r="W251">
        <v>4</v>
      </c>
      <c r="X251">
        <v>0.7625000000000001</v>
      </c>
      <c r="Y251">
        <v>-0.692584</v>
      </c>
      <c r="Z251">
        <v>0.5841584158415841</v>
      </c>
      <c r="AA251">
        <v>0.02247191011235955</v>
      </c>
      <c r="AB251">
        <v>0.08828250401284109</v>
      </c>
      <c r="AC251">
        <v>0.9919743178170144</v>
      </c>
      <c r="AD251">
        <v>0.9662921348314607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38.63</v>
      </c>
      <c r="D252">
        <v>10604.66897</v>
      </c>
      <c r="E252" t="s">
        <v>664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44048</v>
      </c>
      <c r="L252">
        <v>0.05746828889464101</v>
      </c>
      <c r="M252">
        <v>0.09567316561639583</v>
      </c>
      <c r="N252">
        <v>0.05</v>
      </c>
      <c r="O252">
        <v>0.1875622793380158</v>
      </c>
      <c r="P252" t="s">
        <v>372</v>
      </c>
      <c r="Q252" t="s">
        <v>637</v>
      </c>
      <c r="R252">
        <v>12</v>
      </c>
      <c r="S252">
        <v>0.4625000000000001</v>
      </c>
      <c r="T252">
        <v>61</v>
      </c>
      <c r="U252">
        <v>0.6332786885245902</v>
      </c>
      <c r="V252">
        <v>4.5801</v>
      </c>
      <c r="W252">
        <v>4.8</v>
      </c>
      <c r="X252">
        <v>2.22</v>
      </c>
      <c r="Y252">
        <v>-0.318935</v>
      </c>
      <c r="Z252">
        <v>0.7211221122112211</v>
      </c>
      <c r="AA252">
        <v>0.2953451043338684</v>
      </c>
      <c r="AB252">
        <v>0.5296950240770465</v>
      </c>
      <c r="AC252">
        <v>0.9518459069020867</v>
      </c>
      <c r="AD252">
        <v>0.9630818619582665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7.91</v>
      </c>
      <c r="D253">
        <v>1533.96257</v>
      </c>
      <c r="E253" t="s">
        <v>664</v>
      </c>
      <c r="F253" t="s">
        <v>632</v>
      </c>
      <c r="G253" t="s">
        <v>671</v>
      </c>
      <c r="H253" t="s">
        <v>701</v>
      </c>
      <c r="I253" t="s">
        <v>954</v>
      </c>
      <c r="J253" t="s">
        <v>1313</v>
      </c>
      <c r="K253">
        <v>44040</v>
      </c>
      <c r="L253">
        <v>0.08091024020227501</v>
      </c>
      <c r="M253">
        <v>0.1570003035951952</v>
      </c>
      <c r="N253">
        <v>-0.02</v>
      </c>
      <c r="O253">
        <v>0.1790613136350176</v>
      </c>
      <c r="P253" t="s">
        <v>372</v>
      </c>
      <c r="Q253" t="s">
        <v>636</v>
      </c>
      <c r="R253">
        <v>0</v>
      </c>
      <c r="S253">
        <v>0.2147651006711409</v>
      </c>
      <c r="T253">
        <v>16.4</v>
      </c>
      <c r="U253">
        <v>0.4823170731707317</v>
      </c>
      <c r="V253">
        <v>1.5488</v>
      </c>
      <c r="W253">
        <v>2.98</v>
      </c>
      <c r="X253">
        <v>0.64</v>
      </c>
      <c r="Y253">
        <v>-0.394797</v>
      </c>
      <c r="Z253">
        <v>0.8432343234323433</v>
      </c>
      <c r="AA253">
        <v>0.1910112359550562</v>
      </c>
      <c r="AB253">
        <v>0.01845906902086678</v>
      </c>
      <c r="AC253">
        <v>0.9967897271268058</v>
      </c>
      <c r="AD253">
        <v>0.9550561797752809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12.37</v>
      </c>
      <c r="D254">
        <v>27999.9898</v>
      </c>
      <c r="E254" t="s">
        <v>669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44041</v>
      </c>
      <c r="L254">
        <v>0.081851253031527</v>
      </c>
      <c r="M254">
        <v>0.1008599173302731</v>
      </c>
      <c r="N254">
        <v>0.02</v>
      </c>
      <c r="O254">
        <v>0.1743454771181896</v>
      </c>
      <c r="P254" t="s">
        <v>372</v>
      </c>
      <c r="Q254" t="s">
        <v>637</v>
      </c>
      <c r="R254">
        <v>3</v>
      </c>
      <c r="S254">
        <v>0.4364224137931035</v>
      </c>
      <c r="T254">
        <v>20</v>
      </c>
      <c r="U254">
        <v>0.6184999999999999</v>
      </c>
      <c r="V254">
        <v>0.07060000000000001</v>
      </c>
      <c r="W254">
        <v>2.32</v>
      </c>
      <c r="X254">
        <v>1.0125</v>
      </c>
      <c r="Y254">
        <v>-0.397173</v>
      </c>
      <c r="Z254">
        <v>0.8498349834983498</v>
      </c>
      <c r="AA254">
        <v>0.1845906902086678</v>
      </c>
      <c r="AB254">
        <v>0.1613162118780096</v>
      </c>
      <c r="AC254">
        <v>0.9646869983948636</v>
      </c>
      <c r="AD254">
        <v>0.9502407704654895</v>
      </c>
    </row>
    <row r="255" spans="1:30">
      <c r="A255" s="1" t="s">
        <v>262</v>
      </c>
      <c r="B255">
        <f>HYPERLINK("https://www.suredividend.com/sure-analysis-LRCX/","Lam Research Corp.")</f>
        <v>0</v>
      </c>
      <c r="C255">
        <v>330.27</v>
      </c>
      <c r="D255">
        <v>47918.21376</v>
      </c>
      <c r="E255" t="s">
        <v>668</v>
      </c>
      <c r="F255" t="s">
        <v>632</v>
      </c>
      <c r="G255" t="s">
        <v>671</v>
      </c>
      <c r="H255" t="s">
        <v>701</v>
      </c>
      <c r="I255" t="s">
        <v>956</v>
      </c>
      <c r="J255" t="s">
        <v>1320</v>
      </c>
      <c r="K255">
        <v>44061</v>
      </c>
      <c r="L255">
        <v>0.013927998304417</v>
      </c>
      <c r="M255">
        <v>0.003446055686631588</v>
      </c>
      <c r="N255">
        <v>0.16</v>
      </c>
      <c r="O255">
        <v>0.1737339835411327</v>
      </c>
      <c r="P255" t="s">
        <v>372</v>
      </c>
      <c r="Q255" t="s">
        <v>446</v>
      </c>
      <c r="R255">
        <v>6</v>
      </c>
      <c r="S255">
        <v>0.219047619047619</v>
      </c>
      <c r="T255">
        <v>336</v>
      </c>
      <c r="U255">
        <v>0.9829464285714286</v>
      </c>
      <c r="V255">
        <v>15.5436</v>
      </c>
      <c r="W255">
        <v>21</v>
      </c>
      <c r="X255">
        <v>4.6</v>
      </c>
      <c r="Y255">
        <v>0.360087</v>
      </c>
      <c r="Z255">
        <v>0.1336633663366337</v>
      </c>
      <c r="AA255">
        <v>0.9325842696629213</v>
      </c>
      <c r="AB255">
        <v>0.9823434991974318</v>
      </c>
      <c r="AC255">
        <v>0.5778491171749599</v>
      </c>
      <c r="AD255">
        <v>0.9470304975922953</v>
      </c>
    </row>
    <row r="256" spans="1:30">
      <c r="A256" s="1" t="s">
        <v>263</v>
      </c>
      <c r="B256">
        <f>HYPERLINK("https://www.suredividend.com/sure-analysis-MDP/","Meredith Corp.")</f>
        <v>0</v>
      </c>
      <c r="C256">
        <v>12.58</v>
      </c>
      <c r="D256">
        <v>571.424108</v>
      </c>
      <c r="E256" t="s">
        <v>663</v>
      </c>
      <c r="F256" t="s">
        <v>632</v>
      </c>
      <c r="G256" t="s">
        <v>671</v>
      </c>
      <c r="H256" t="s">
        <v>700</v>
      </c>
      <c r="I256" t="s">
        <v>957</v>
      </c>
      <c r="J256" t="s">
        <v>1314</v>
      </c>
      <c r="K256">
        <v>44056</v>
      </c>
      <c r="L256">
        <v>0.093004769475357</v>
      </c>
      <c r="M256">
        <v>0.1562680925696003</v>
      </c>
      <c r="N256">
        <v>0.015</v>
      </c>
      <c r="O256">
        <v>0.1736121139581444</v>
      </c>
      <c r="P256" t="s">
        <v>372</v>
      </c>
      <c r="Q256" t="s">
        <v>636</v>
      </c>
      <c r="R256">
        <v>0</v>
      </c>
      <c r="S256">
        <v>0.268348623853211</v>
      </c>
      <c r="T256">
        <v>26</v>
      </c>
      <c r="U256">
        <v>0.4838461538461539</v>
      </c>
      <c r="V256">
        <v>-10.6771</v>
      </c>
      <c r="W256">
        <v>4.36</v>
      </c>
      <c r="X256">
        <v>1.17</v>
      </c>
      <c r="Y256">
        <v>-0.654775</v>
      </c>
      <c r="Z256">
        <v>0.877887788778878</v>
      </c>
      <c r="AA256">
        <v>0.03370786516853932</v>
      </c>
      <c r="AB256">
        <v>0.1163723916532905</v>
      </c>
      <c r="AC256">
        <v>0.9951845906902086</v>
      </c>
      <c r="AD256">
        <v>0.9454253611556982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20.42</v>
      </c>
      <c r="D257">
        <v>984.811676</v>
      </c>
      <c r="E257" t="s">
        <v>661</v>
      </c>
      <c r="F257" t="s">
        <v>634</v>
      </c>
      <c r="G257" t="s">
        <v>671</v>
      </c>
      <c r="H257" t="s">
        <v>701</v>
      </c>
      <c r="I257" t="s">
        <v>958</v>
      </c>
      <c r="J257" t="s">
        <v>1323</v>
      </c>
      <c r="K257">
        <v>44062</v>
      </c>
      <c r="L257">
        <v>0.08080313418217401</v>
      </c>
      <c r="M257">
        <v>0.09400384433681452</v>
      </c>
      <c r="N257">
        <v>0.01</v>
      </c>
      <c r="O257">
        <v>0.1692806102725528</v>
      </c>
      <c r="P257" t="s">
        <v>372</v>
      </c>
      <c r="Q257" t="s">
        <v>636</v>
      </c>
      <c r="R257">
        <v>1</v>
      </c>
      <c r="S257">
        <v>0.3113207547169811</v>
      </c>
      <c r="T257">
        <v>32</v>
      </c>
      <c r="U257">
        <v>0.6381250000000001</v>
      </c>
      <c r="V257">
        <v>1.5226</v>
      </c>
      <c r="W257">
        <v>5.3</v>
      </c>
      <c r="X257">
        <v>1.65</v>
      </c>
      <c r="Y257">
        <v>-0.341503</v>
      </c>
      <c r="Z257">
        <v>0.8415841584158416</v>
      </c>
      <c r="AA257">
        <v>0.2696629213483146</v>
      </c>
      <c r="AB257">
        <v>0.08828250401284109</v>
      </c>
      <c r="AC257">
        <v>0.9454253611556982</v>
      </c>
      <c r="AD257">
        <v>0.9390048154093098</v>
      </c>
    </row>
    <row r="258" spans="1:30">
      <c r="A258" s="1" t="s">
        <v>265</v>
      </c>
      <c r="B258">
        <f>HYPERLINK("https://www.suredividend.com/sure-analysis-NTAP/","NetApp, Inc.")</f>
        <v>0</v>
      </c>
      <c r="C258">
        <v>41.96</v>
      </c>
      <c r="D258">
        <v>9315.3298</v>
      </c>
      <c r="E258" t="s">
        <v>660</v>
      </c>
      <c r="F258" t="s">
        <v>632</v>
      </c>
      <c r="G258" t="s">
        <v>671</v>
      </c>
      <c r="H258" t="s">
        <v>701</v>
      </c>
      <c r="I258" t="s">
        <v>959</v>
      </c>
      <c r="J258" t="s">
        <v>1320</v>
      </c>
      <c r="K258">
        <v>44070</v>
      </c>
      <c r="L258">
        <v>0.045757864632983</v>
      </c>
      <c r="M258">
        <v>0.06318263643186528</v>
      </c>
      <c r="N258">
        <v>0.06</v>
      </c>
      <c r="O258">
        <v>0.1572899055455499</v>
      </c>
      <c r="P258" t="s">
        <v>372</v>
      </c>
      <c r="Q258" t="s">
        <v>372</v>
      </c>
      <c r="R258">
        <v>6</v>
      </c>
      <c r="S258">
        <v>0.5052631578947369</v>
      </c>
      <c r="T258">
        <v>57</v>
      </c>
      <c r="U258">
        <v>0.736140350877193</v>
      </c>
      <c r="V258">
        <v>3.499</v>
      </c>
      <c r="W258">
        <v>3.8</v>
      </c>
      <c r="X258">
        <v>1.92</v>
      </c>
      <c r="Y258">
        <v>-0.218476</v>
      </c>
      <c r="Z258">
        <v>0.6089108910891089</v>
      </c>
      <c r="AA258">
        <v>0.3948635634028892</v>
      </c>
      <c r="AB258">
        <v>0.6597110754414125</v>
      </c>
      <c r="AC258">
        <v>0.8812199036918138</v>
      </c>
      <c r="AD258">
        <v>0.9149277688603532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29.99</v>
      </c>
      <c r="D259">
        <v>60735.4481</v>
      </c>
      <c r="E259" t="s">
        <v>664</v>
      </c>
      <c r="F259" t="s">
        <v>632</v>
      </c>
      <c r="G259" t="s">
        <v>673</v>
      </c>
      <c r="H259" t="s">
        <v>700</v>
      </c>
      <c r="I259" t="s">
        <v>960</v>
      </c>
      <c r="J259" t="s">
        <v>1317</v>
      </c>
      <c r="K259">
        <v>44050</v>
      </c>
      <c r="L259">
        <v>0.076851524014029</v>
      </c>
      <c r="M259">
        <v>0.0484830794784008</v>
      </c>
      <c r="N259">
        <v>0.05</v>
      </c>
      <c r="O259">
        <v>0.1572558939239823</v>
      </c>
      <c r="P259" t="s">
        <v>372</v>
      </c>
      <c r="Q259" t="s">
        <v>636</v>
      </c>
      <c r="R259">
        <v>11</v>
      </c>
      <c r="S259">
        <v>0.6642009236832133</v>
      </c>
      <c r="T259">
        <v>38</v>
      </c>
      <c r="U259">
        <v>0.7892105263157895</v>
      </c>
      <c r="V259">
        <v>0.6978000000000001</v>
      </c>
      <c r="W259">
        <v>3.47</v>
      </c>
      <c r="X259">
        <v>2.30477720518075</v>
      </c>
      <c r="Y259">
        <v>-0.160649</v>
      </c>
      <c r="Z259">
        <v>0.83003300330033</v>
      </c>
      <c r="AA259">
        <v>0.478330658105939</v>
      </c>
      <c r="AB259">
        <v>0.5296950240770465</v>
      </c>
      <c r="AC259">
        <v>0.8250401284109149</v>
      </c>
      <c r="AD259">
        <v>0.913322632423756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49.15</v>
      </c>
      <c r="D260">
        <v>10560.81135</v>
      </c>
      <c r="E260" t="s">
        <v>664</v>
      </c>
      <c r="F260" t="s">
        <v>632</v>
      </c>
      <c r="G260" t="s">
        <v>671</v>
      </c>
      <c r="H260" t="s">
        <v>700</v>
      </c>
      <c r="I260" t="s">
        <v>961</v>
      </c>
      <c r="J260" t="s">
        <v>1314</v>
      </c>
      <c r="K260">
        <v>44048</v>
      </c>
      <c r="L260">
        <v>0.052899287894201</v>
      </c>
      <c r="M260">
        <v>0.07934875484726045</v>
      </c>
      <c r="N260">
        <v>0.035</v>
      </c>
      <c r="O260">
        <v>0.1545460169905637</v>
      </c>
      <c r="P260" t="s">
        <v>372</v>
      </c>
      <c r="Q260" t="s">
        <v>637</v>
      </c>
      <c r="R260">
        <v>10</v>
      </c>
      <c r="S260">
        <v>0.6190476190476191</v>
      </c>
      <c r="T260">
        <v>72</v>
      </c>
      <c r="U260">
        <v>0.6826388888888889</v>
      </c>
      <c r="V260">
        <v>4.3109</v>
      </c>
      <c r="W260">
        <v>4.2</v>
      </c>
      <c r="X260">
        <v>2.6</v>
      </c>
      <c r="Y260">
        <v>-0.360692</v>
      </c>
      <c r="Z260">
        <v>0.6831683168316832</v>
      </c>
      <c r="AA260">
        <v>0.2407704654895666</v>
      </c>
      <c r="AB260">
        <v>0.3362760834670947</v>
      </c>
      <c r="AC260">
        <v>0.9261637239165329</v>
      </c>
      <c r="AD260">
        <v>0.9101123595505618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40.69</v>
      </c>
      <c r="D261">
        <v>49293.0867</v>
      </c>
      <c r="E261" t="s">
        <v>670</v>
      </c>
      <c r="F261" t="s">
        <v>632</v>
      </c>
      <c r="G261" t="s">
        <v>673</v>
      </c>
      <c r="H261" t="s">
        <v>700</v>
      </c>
      <c r="I261" t="s">
        <v>962</v>
      </c>
      <c r="J261" t="s">
        <v>1313</v>
      </c>
      <c r="K261">
        <v>44078</v>
      </c>
      <c r="L261">
        <v>0.06574746294121001</v>
      </c>
      <c r="M261">
        <v>0.08434736644198848</v>
      </c>
      <c r="N261">
        <v>0.02</v>
      </c>
      <c r="O261">
        <v>0.1527813986914752</v>
      </c>
      <c r="P261" t="s">
        <v>372</v>
      </c>
      <c r="Q261" t="s">
        <v>636</v>
      </c>
      <c r="R261">
        <v>9</v>
      </c>
      <c r="S261">
        <v>0.7096191689861724</v>
      </c>
      <c r="T261">
        <v>61</v>
      </c>
      <c r="U261">
        <v>0.6670491803278689</v>
      </c>
      <c r="V261">
        <v>4.29</v>
      </c>
      <c r="W261">
        <v>3.77</v>
      </c>
      <c r="X261">
        <v>2.67526426707787</v>
      </c>
      <c r="Y261">
        <v>-0.290497</v>
      </c>
      <c r="Z261">
        <v>0.7739273927392739</v>
      </c>
      <c r="AA261">
        <v>0.3274478330658106</v>
      </c>
      <c r="AB261">
        <v>0.1613162118780096</v>
      </c>
      <c r="AC261">
        <v>0.9357945425361156</v>
      </c>
      <c r="AD261">
        <v>0.9052969502407704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41.2</v>
      </c>
      <c r="D262">
        <v>2280.73724</v>
      </c>
      <c r="E262" t="s">
        <v>664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44061</v>
      </c>
      <c r="L262">
        <v>0.061104368932038</v>
      </c>
      <c r="M262">
        <v>0.09547691001150471</v>
      </c>
      <c r="N262">
        <v>0.015</v>
      </c>
      <c r="O262">
        <v>0.1497366264069389</v>
      </c>
      <c r="P262" t="s">
        <v>372</v>
      </c>
      <c r="Q262" t="s">
        <v>637</v>
      </c>
      <c r="R262">
        <v>32</v>
      </c>
      <c r="S262">
        <v>0.5854651162790698</v>
      </c>
      <c r="T262">
        <v>65</v>
      </c>
      <c r="U262">
        <v>0.6338461538461538</v>
      </c>
      <c r="V262">
        <v>3.4319</v>
      </c>
      <c r="W262">
        <v>4.3</v>
      </c>
      <c r="X262">
        <v>2.5175</v>
      </c>
      <c r="Y262">
        <v>-0.257791</v>
      </c>
      <c r="Z262">
        <v>0.7475247524752475</v>
      </c>
      <c r="AA262">
        <v>0.3595505617977529</v>
      </c>
      <c r="AB262">
        <v>0.1163723916532905</v>
      </c>
      <c r="AC262">
        <v>0.9502407704654895</v>
      </c>
      <c r="AD262">
        <v>0.9004815409309791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32.65</v>
      </c>
      <c r="D263">
        <v>7072.926076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1321</v>
      </c>
      <c r="K263">
        <v>44049</v>
      </c>
      <c r="L263">
        <v>0.034915773353751</v>
      </c>
      <c r="M263">
        <v>0.07096413997290707</v>
      </c>
      <c r="N263">
        <v>0.05</v>
      </c>
      <c r="O263">
        <v>0.1466113487567156</v>
      </c>
      <c r="P263" t="s">
        <v>372</v>
      </c>
      <c r="Q263" t="s">
        <v>446</v>
      </c>
      <c r="R263">
        <v>0</v>
      </c>
      <c r="S263">
        <v>0.3454545454545455</v>
      </c>
      <c r="T263">
        <v>46</v>
      </c>
      <c r="U263">
        <v>0.7097826086956521</v>
      </c>
      <c r="V263">
        <v>-0.7451</v>
      </c>
      <c r="W263">
        <v>3.3</v>
      </c>
      <c r="X263">
        <v>1.14</v>
      </c>
      <c r="Y263">
        <v>-0.428096</v>
      </c>
      <c r="Z263">
        <v>0.4818481848184819</v>
      </c>
      <c r="AA263">
        <v>0.1605136436597111</v>
      </c>
      <c r="AB263">
        <v>0.5296950240770465</v>
      </c>
      <c r="AC263">
        <v>0.9069020866773676</v>
      </c>
      <c r="AD263">
        <v>0.8892455858747994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62.08</v>
      </c>
      <c r="D264">
        <v>24521.6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0.06765463917525701</v>
      </c>
      <c r="M264">
        <v>0.04129162832378275</v>
      </c>
      <c r="N264">
        <v>0.05</v>
      </c>
      <c r="O264">
        <v>0.1456814562199626</v>
      </c>
      <c r="P264" t="s">
        <v>372</v>
      </c>
      <c r="Q264" t="s">
        <v>637</v>
      </c>
      <c r="R264">
        <v>12</v>
      </c>
      <c r="S264">
        <v>0.4421052631578948</v>
      </c>
      <c r="T264">
        <v>76</v>
      </c>
      <c r="U264">
        <v>0.8168421052631579</v>
      </c>
      <c r="V264">
        <v>-0.5608000000000001</v>
      </c>
      <c r="W264">
        <v>9.5</v>
      </c>
      <c r="X264">
        <v>4.2</v>
      </c>
      <c r="Y264">
        <v>-0.308224</v>
      </c>
      <c r="Z264">
        <v>0.7838283828382838</v>
      </c>
      <c r="AA264">
        <v>0.3130016051364366</v>
      </c>
      <c r="AB264">
        <v>0.5296950240770465</v>
      </c>
      <c r="AC264">
        <v>0.7833065810593901</v>
      </c>
      <c r="AD264">
        <v>0.8860353130016051</v>
      </c>
    </row>
    <row r="265" spans="1:30">
      <c r="A265" s="1" t="s">
        <v>272</v>
      </c>
      <c r="B265">
        <f>HYPERLINK("https://www.suredividend.com/sure-analysis-AEG/","AEGON NV")</f>
        <v>0</v>
      </c>
      <c r="C265">
        <v>2.37</v>
      </c>
      <c r="D265">
        <v>4831.38009</v>
      </c>
      <c r="E265" t="s">
        <v>661</v>
      </c>
      <c r="F265" t="s">
        <v>632</v>
      </c>
      <c r="G265" t="s">
        <v>683</v>
      </c>
      <c r="H265" t="s">
        <v>700</v>
      </c>
      <c r="I265" t="s">
        <v>966</v>
      </c>
      <c r="J265" t="s">
        <v>1313</v>
      </c>
      <c r="K265">
        <v>44070</v>
      </c>
      <c r="L265">
        <v>0.025481856540084</v>
      </c>
      <c r="M265">
        <v>0.06189194499241779</v>
      </c>
      <c r="N265">
        <v>0.05</v>
      </c>
      <c r="O265">
        <v>0.1430623266663089</v>
      </c>
      <c r="P265" t="s">
        <v>372</v>
      </c>
      <c r="Q265" t="s">
        <v>446</v>
      </c>
      <c r="R265">
        <v>0</v>
      </c>
      <c r="S265">
        <v>0.15098</v>
      </c>
      <c r="T265">
        <v>3.2</v>
      </c>
      <c r="U265">
        <v>0.740625</v>
      </c>
      <c r="V265">
        <v>0.444</v>
      </c>
      <c r="W265">
        <v>0.4</v>
      </c>
      <c r="X265">
        <v>0.06039199999999999</v>
      </c>
      <c r="Y265">
        <v>-0.424757</v>
      </c>
      <c r="Z265">
        <v>0.3382838283828383</v>
      </c>
      <c r="AA265">
        <v>0.1637239165329053</v>
      </c>
      <c r="AB265">
        <v>0.5296950240770465</v>
      </c>
      <c r="AC265">
        <v>0.8715890850722312</v>
      </c>
      <c r="AD265">
        <v>0.8731942215088283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14.23</v>
      </c>
      <c r="D266">
        <v>4326.43228</v>
      </c>
      <c r="E266" t="s">
        <v>666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0.05762473647224101</v>
      </c>
      <c r="M266">
        <v>0.05952141767705399</v>
      </c>
      <c r="N266">
        <v>0.04</v>
      </c>
      <c r="O266">
        <v>0.1424878860778784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0.7489473684210527</v>
      </c>
      <c r="V266">
        <v>0.9177000000000001</v>
      </c>
      <c r="W266">
        <v>1.55</v>
      </c>
      <c r="X266">
        <v>0.8200000000000001</v>
      </c>
      <c r="Y266">
        <v>-0.393177</v>
      </c>
      <c r="Z266">
        <v>0.7227722772277229</v>
      </c>
      <c r="AA266">
        <v>0.1958266452648475</v>
      </c>
      <c r="AB266">
        <v>0.4012841091492777</v>
      </c>
      <c r="AC266">
        <v>0.8587479935794542</v>
      </c>
      <c r="AD266">
        <v>0.869983948635634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19.1</v>
      </c>
      <c r="D267">
        <v>17693.0176</v>
      </c>
      <c r="E267" t="s">
        <v>665</v>
      </c>
      <c r="F267" t="s">
        <v>632</v>
      </c>
      <c r="G267" t="s">
        <v>673</v>
      </c>
      <c r="H267" t="s">
        <v>702</v>
      </c>
      <c r="I267" t="s">
        <v>968</v>
      </c>
      <c r="J267" t="s">
        <v>1313</v>
      </c>
      <c r="K267">
        <v>44056</v>
      </c>
      <c r="L267">
        <v>0.066355654941222</v>
      </c>
      <c r="M267">
        <v>0.04673217728807599</v>
      </c>
      <c r="N267">
        <v>0.04</v>
      </c>
      <c r="O267">
        <v>0.1381763612530245</v>
      </c>
      <c r="P267" t="s">
        <v>372</v>
      </c>
      <c r="Q267" t="s">
        <v>636</v>
      </c>
      <c r="R267">
        <v>6</v>
      </c>
      <c r="S267">
        <v>0.633696504688675</v>
      </c>
      <c r="T267">
        <v>24</v>
      </c>
      <c r="U267">
        <v>0.7958333333333334</v>
      </c>
      <c r="V267">
        <v>1.9598</v>
      </c>
      <c r="W267">
        <v>2</v>
      </c>
      <c r="X267">
        <v>1.26739300937735</v>
      </c>
      <c r="Y267">
        <v>-0.198805</v>
      </c>
      <c r="Z267">
        <v>0.7788778877887789</v>
      </c>
      <c r="AA267">
        <v>0.4301765650080256</v>
      </c>
      <c r="AB267">
        <v>0.4012841091492777</v>
      </c>
      <c r="AC267">
        <v>0.8154093097913322</v>
      </c>
      <c r="AD267">
        <v>0.8475120385232745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23.49</v>
      </c>
      <c r="D268">
        <v>203519.709</v>
      </c>
      <c r="E268" t="s">
        <v>666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0.030651340996168</v>
      </c>
      <c r="M268">
        <v>0.04304488151063279</v>
      </c>
      <c r="N268">
        <v>0.06</v>
      </c>
      <c r="O268">
        <v>0.1319054771079069</v>
      </c>
      <c r="P268" t="s">
        <v>372</v>
      </c>
      <c r="Q268" t="s">
        <v>446</v>
      </c>
      <c r="R268">
        <v>7</v>
      </c>
      <c r="S268">
        <v>0.48</v>
      </c>
      <c r="T268">
        <v>29</v>
      </c>
      <c r="U268">
        <v>0.8099999999999999</v>
      </c>
      <c r="V268">
        <v>2.0924</v>
      </c>
      <c r="W268">
        <v>1.5</v>
      </c>
      <c r="X268">
        <v>0.72</v>
      </c>
      <c r="Y268">
        <v>-0.193615</v>
      </c>
      <c r="Z268">
        <v>0.4240924092409241</v>
      </c>
      <c r="AA268">
        <v>0.4333868378812199</v>
      </c>
      <c r="AB268">
        <v>0.6597110754414125</v>
      </c>
      <c r="AC268">
        <v>0.7993579454253612</v>
      </c>
      <c r="AD268">
        <v>0.8234349919743178</v>
      </c>
    </row>
    <row r="269" spans="1:30">
      <c r="A269" s="1" t="s">
        <v>276</v>
      </c>
      <c r="B269">
        <f>HYPERLINK("https://www.suredividend.com/sure-analysis-SYF/","Synchrony Financial")</f>
        <v>0</v>
      </c>
      <c r="C269">
        <v>25.14</v>
      </c>
      <c r="D269">
        <v>14675.6007</v>
      </c>
      <c r="E269" t="s">
        <v>664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44040</v>
      </c>
      <c r="L269">
        <v>0.035003977724741</v>
      </c>
      <c r="M269">
        <v>0.04943837480094304</v>
      </c>
      <c r="N269">
        <v>0.05</v>
      </c>
      <c r="O269">
        <v>0.1289590050026519</v>
      </c>
      <c r="P269" t="s">
        <v>372</v>
      </c>
      <c r="Q269" t="s">
        <v>446</v>
      </c>
      <c r="R269">
        <v>4</v>
      </c>
      <c r="S269">
        <v>0.352</v>
      </c>
      <c r="T269">
        <v>32</v>
      </c>
      <c r="U269">
        <v>0.785625</v>
      </c>
      <c r="V269">
        <v>3.2757</v>
      </c>
      <c r="W269">
        <v>2.5</v>
      </c>
      <c r="X269">
        <v>0.88</v>
      </c>
      <c r="Y269">
        <v>-0.253119</v>
      </c>
      <c r="Z269">
        <v>0.4834983498349835</v>
      </c>
      <c r="AA269">
        <v>0.3643659711075442</v>
      </c>
      <c r="AB269">
        <v>0.5296950240770465</v>
      </c>
      <c r="AC269">
        <v>0.8298555377207063</v>
      </c>
      <c r="AD269">
        <v>0.8089887640449439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33.4</v>
      </c>
      <c r="D270">
        <v>29587.7908</v>
      </c>
      <c r="E270" t="s">
        <v>666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0.037125748502994</v>
      </c>
      <c r="M270">
        <v>0.05667453629075547</v>
      </c>
      <c r="N270">
        <v>0.04</v>
      </c>
      <c r="O270">
        <v>0.1278117189045482</v>
      </c>
      <c r="P270" t="s">
        <v>372</v>
      </c>
      <c r="Q270" t="s">
        <v>372</v>
      </c>
      <c r="R270">
        <v>9</v>
      </c>
      <c r="S270">
        <v>0.3220779220779221</v>
      </c>
      <c r="T270">
        <v>44</v>
      </c>
      <c r="U270">
        <v>0.759090909090909</v>
      </c>
      <c r="V270">
        <v>4.655</v>
      </c>
      <c r="W270">
        <v>3.85</v>
      </c>
      <c r="X270">
        <v>1.24</v>
      </c>
      <c r="Y270">
        <v>-0.283723</v>
      </c>
      <c r="Z270">
        <v>0.5132013201320133</v>
      </c>
      <c r="AA270">
        <v>0.3370786516853933</v>
      </c>
      <c r="AB270">
        <v>0.4012841091492777</v>
      </c>
      <c r="AC270">
        <v>0.8523274478330659</v>
      </c>
      <c r="AD270">
        <v>0.8025682182985554</v>
      </c>
    </row>
    <row r="271" spans="1:30">
      <c r="A271" s="1" t="s">
        <v>278</v>
      </c>
      <c r="B271">
        <f>HYPERLINK("https://www.suredividend.com/sure-analysis-BTI/","British American Tobacco plc")</f>
        <v>0</v>
      </c>
      <c r="C271">
        <v>36.05</v>
      </c>
      <c r="D271">
        <v>82408.65334400001</v>
      </c>
      <c r="E271" t="s">
        <v>664</v>
      </c>
      <c r="F271" t="s">
        <v>632</v>
      </c>
      <c r="G271" t="s">
        <v>677</v>
      </c>
      <c r="H271" t="s">
        <v>700</v>
      </c>
      <c r="I271" t="s">
        <v>972</v>
      </c>
      <c r="J271" t="s">
        <v>1321</v>
      </c>
      <c r="K271">
        <v>44084</v>
      </c>
      <c r="L271">
        <v>0.07324826629681</v>
      </c>
      <c r="M271">
        <v>0.04066148479679943</v>
      </c>
      <c r="N271">
        <v>0.03</v>
      </c>
      <c r="O271">
        <v>0.1272657915446846</v>
      </c>
      <c r="P271" t="s">
        <v>372</v>
      </c>
      <c r="Q271" t="s">
        <v>636</v>
      </c>
      <c r="R271">
        <v>1</v>
      </c>
      <c r="S271">
        <v>0.5740434782608697</v>
      </c>
      <c r="T271">
        <v>44</v>
      </c>
      <c r="U271">
        <v>0.8193181818181817</v>
      </c>
      <c r="V271">
        <v>3.496</v>
      </c>
      <c r="W271">
        <v>4.6</v>
      </c>
      <c r="X271">
        <v>2.6406</v>
      </c>
      <c r="Y271">
        <v>0.000833</v>
      </c>
      <c r="Z271">
        <v>0.8151815181518152</v>
      </c>
      <c r="AA271">
        <v>0.6886035313001605</v>
      </c>
      <c r="AB271">
        <v>0.2680577849117175</v>
      </c>
      <c r="AC271">
        <v>0.7768860353130016</v>
      </c>
      <c r="AD271">
        <v>0.8009630818619583</v>
      </c>
    </row>
    <row r="272" spans="1:30">
      <c r="A272" s="1" t="s">
        <v>279</v>
      </c>
      <c r="B272">
        <f>HYPERLINK("https://www.suredividend.com/sure-analysis-VIAC/","ViacomCBS, Inc.")</f>
        <v>0</v>
      </c>
      <c r="C272">
        <v>29.53</v>
      </c>
      <c r="D272">
        <v>18191.584422</v>
      </c>
      <c r="E272" t="s">
        <v>668</v>
      </c>
      <c r="F272" t="s">
        <v>632</v>
      </c>
      <c r="G272" t="s">
        <v>671</v>
      </c>
      <c r="H272" t="s">
        <v>701</v>
      </c>
      <c r="I272" t="s">
        <v>973</v>
      </c>
      <c r="J272" t="s">
        <v>1314</v>
      </c>
      <c r="K272">
        <v>44090</v>
      </c>
      <c r="L272">
        <v>0.030477480528276</v>
      </c>
      <c r="M272">
        <v>0.06783482911352556</v>
      </c>
      <c r="N272">
        <v>0.03</v>
      </c>
      <c r="O272">
        <v>0.1245746603371103</v>
      </c>
      <c r="P272" t="s">
        <v>372</v>
      </c>
      <c r="Q272" t="s">
        <v>446</v>
      </c>
      <c r="R272">
        <v>1</v>
      </c>
      <c r="S272">
        <v>0.218978102189781</v>
      </c>
      <c r="T272">
        <v>41</v>
      </c>
      <c r="U272">
        <v>0.7202439024390244</v>
      </c>
      <c r="V272">
        <v>2.0559</v>
      </c>
      <c r="W272">
        <v>4.11</v>
      </c>
      <c r="X272">
        <v>0.9</v>
      </c>
      <c r="Y272">
        <v>-0.267246</v>
      </c>
      <c r="Z272">
        <v>0.4191419141914192</v>
      </c>
      <c r="AA272">
        <v>0.3563402889245586</v>
      </c>
      <c r="AB272">
        <v>0.2680577849117175</v>
      </c>
      <c r="AC272">
        <v>0.8940609951845907</v>
      </c>
      <c r="AD272">
        <v>0.7929373996789727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55.04</v>
      </c>
      <c r="D273">
        <v>40389.89312</v>
      </c>
      <c r="E273" t="s">
        <v>666</v>
      </c>
      <c r="F273" t="s">
        <v>632</v>
      </c>
      <c r="G273" t="s">
        <v>671</v>
      </c>
      <c r="H273" t="s">
        <v>700</v>
      </c>
      <c r="I273" t="s">
        <v>974</v>
      </c>
      <c r="J273" t="s">
        <v>1322</v>
      </c>
      <c r="K273">
        <v>44054</v>
      </c>
      <c r="L273">
        <v>0.021802325581395</v>
      </c>
      <c r="M273">
        <v>0.03062413800126618</v>
      </c>
      <c r="N273">
        <v>0.07000000000000001</v>
      </c>
      <c r="O273">
        <v>0.1208265497816423</v>
      </c>
      <c r="P273" t="s">
        <v>372</v>
      </c>
      <c r="Q273" t="s">
        <v>446</v>
      </c>
      <c r="R273">
        <v>0</v>
      </c>
      <c r="S273">
        <v>0.4</v>
      </c>
      <c r="T273">
        <v>64</v>
      </c>
      <c r="U273">
        <v>0.86</v>
      </c>
      <c r="V273">
        <v>-3.472</v>
      </c>
      <c r="W273">
        <v>3</v>
      </c>
      <c r="X273">
        <v>1.2</v>
      </c>
      <c r="Y273">
        <v>-0.214836</v>
      </c>
      <c r="Z273">
        <v>0.2887788778877888</v>
      </c>
      <c r="AA273">
        <v>0.3996789727126806</v>
      </c>
      <c r="AB273">
        <v>0.7504012841091493</v>
      </c>
      <c r="AC273">
        <v>0.7110754414125201</v>
      </c>
      <c r="AD273">
        <v>0.7768860353130016</v>
      </c>
    </row>
    <row r="274" spans="1:30">
      <c r="A274" s="1" t="s">
        <v>281</v>
      </c>
      <c r="B274">
        <f>HYPERLINK("https://www.suredividend.com/sure-analysis-SAXPY/","Sampo Oyj")</f>
        <v>0</v>
      </c>
      <c r="C274">
        <v>19.35</v>
      </c>
      <c r="D274">
        <v>21445.6824</v>
      </c>
      <c r="E274" t="s">
        <v>663</v>
      </c>
      <c r="F274" t="s">
        <v>632</v>
      </c>
      <c r="G274" t="s">
        <v>684</v>
      </c>
      <c r="H274" t="s">
        <v>702</v>
      </c>
      <c r="I274" t="s">
        <v>975</v>
      </c>
      <c r="J274" t="s">
        <v>1313</v>
      </c>
      <c r="K274">
        <v>44053</v>
      </c>
      <c r="L274">
        <v>0.106284237726098</v>
      </c>
      <c r="M274">
        <v>0.03516450828592266</v>
      </c>
      <c r="N274">
        <v>0.046</v>
      </c>
      <c r="O274">
        <v>0.1206339358637054</v>
      </c>
      <c r="P274" t="s">
        <v>372</v>
      </c>
      <c r="Q274" t="s">
        <v>636</v>
      </c>
      <c r="R274">
        <v>0</v>
      </c>
      <c r="S274">
        <v>0.09849616858237548</v>
      </c>
      <c r="T274">
        <v>23</v>
      </c>
      <c r="U274">
        <v>0.841304347826087</v>
      </c>
      <c r="V274">
        <v>0.8131</v>
      </c>
      <c r="W274">
        <v>20.88</v>
      </c>
      <c r="X274">
        <v>2.0566</v>
      </c>
      <c r="Y274">
        <v>-0.021244</v>
      </c>
      <c r="Z274">
        <v>0.8960396039603961</v>
      </c>
      <c r="AA274">
        <v>0.651685393258427</v>
      </c>
      <c r="AB274">
        <v>0.4614767255216693</v>
      </c>
      <c r="AC274">
        <v>0.7351524879614767</v>
      </c>
      <c r="AD274">
        <v>0.7736757624398074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18.3</v>
      </c>
      <c r="D275">
        <v>25135.05</v>
      </c>
      <c r="E275" t="s">
        <v>664</v>
      </c>
      <c r="F275" t="s">
        <v>632</v>
      </c>
      <c r="G275" t="s">
        <v>671</v>
      </c>
      <c r="H275" t="s">
        <v>700</v>
      </c>
      <c r="I275" t="s">
        <v>976</v>
      </c>
      <c r="J275" t="s">
        <v>1320</v>
      </c>
      <c r="K275">
        <v>44070</v>
      </c>
      <c r="L275">
        <v>0.037639344262295</v>
      </c>
      <c r="M275">
        <v>0.03751484214486456</v>
      </c>
      <c r="N275">
        <v>0.05</v>
      </c>
      <c r="O275">
        <v>0.1201325131251016</v>
      </c>
      <c r="P275" t="s">
        <v>372</v>
      </c>
      <c r="Q275" t="s">
        <v>372</v>
      </c>
      <c r="R275">
        <v>9</v>
      </c>
      <c r="S275">
        <v>0.3159633027522936</v>
      </c>
      <c r="T275">
        <v>22</v>
      </c>
      <c r="U275">
        <v>0.8318181818181819</v>
      </c>
      <c r="V275">
        <v>1.7796</v>
      </c>
      <c r="W275">
        <v>2.18</v>
      </c>
      <c r="X275">
        <v>0.6888000000000001</v>
      </c>
      <c r="Y275">
        <v>-0.006515</v>
      </c>
      <c r="Z275">
        <v>0.5198019801980198</v>
      </c>
      <c r="AA275">
        <v>0.682182985553772</v>
      </c>
      <c r="AB275">
        <v>0.5296950240770465</v>
      </c>
      <c r="AC275">
        <v>0.7479935794542536</v>
      </c>
      <c r="AD275">
        <v>0.7704654895666131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36.14</v>
      </c>
      <c r="D276">
        <v>1477.117694</v>
      </c>
      <c r="E276" t="s">
        <v>669</v>
      </c>
      <c r="F276" t="s">
        <v>632</v>
      </c>
      <c r="G276" t="s">
        <v>671</v>
      </c>
      <c r="H276" t="s">
        <v>701</v>
      </c>
      <c r="I276" t="s">
        <v>977</v>
      </c>
      <c r="J276" t="s">
        <v>1316</v>
      </c>
      <c r="K276">
        <v>44012</v>
      </c>
      <c r="L276">
        <v>0.039845047039291</v>
      </c>
      <c r="M276">
        <v>0.04014265264410866</v>
      </c>
      <c r="N276">
        <v>0.046</v>
      </c>
      <c r="O276">
        <v>0.1187724487295849</v>
      </c>
      <c r="P276" t="s">
        <v>372</v>
      </c>
      <c r="Q276" t="s">
        <v>637</v>
      </c>
      <c r="R276">
        <v>7</v>
      </c>
      <c r="S276">
        <v>0.6486486486486486</v>
      </c>
      <c r="T276">
        <v>44</v>
      </c>
      <c r="U276">
        <v>0.8213636363636364</v>
      </c>
      <c r="V276">
        <v>2.157</v>
      </c>
      <c r="W276">
        <v>2.22</v>
      </c>
      <c r="X276">
        <v>1.44</v>
      </c>
      <c r="Y276">
        <v>-0.334193</v>
      </c>
      <c r="Z276">
        <v>0.5511551155115512</v>
      </c>
      <c r="AA276">
        <v>0.2792937399678973</v>
      </c>
      <c r="AB276">
        <v>0.4614767255216693</v>
      </c>
      <c r="AC276">
        <v>0.7736757624398074</v>
      </c>
      <c r="AD276">
        <v>0.7624398073836276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58.27</v>
      </c>
      <c r="D277">
        <v>37455.956</v>
      </c>
      <c r="E277" t="s">
        <v>670</v>
      </c>
      <c r="F277" t="s">
        <v>632</v>
      </c>
      <c r="G277" t="s">
        <v>673</v>
      </c>
      <c r="H277" t="s">
        <v>700</v>
      </c>
      <c r="I277" t="s">
        <v>978</v>
      </c>
      <c r="J277" t="s">
        <v>1313</v>
      </c>
      <c r="K277">
        <v>44086</v>
      </c>
      <c r="L277">
        <v>0.05368461450410401</v>
      </c>
      <c r="M277">
        <v>0.05732655905763728</v>
      </c>
      <c r="N277">
        <v>0.012</v>
      </c>
      <c r="O277">
        <v>0.112137956727516</v>
      </c>
      <c r="P277" t="s">
        <v>372</v>
      </c>
      <c r="Q277" t="s">
        <v>637</v>
      </c>
      <c r="R277">
        <v>9</v>
      </c>
      <c r="S277">
        <v>0.6306859853133366</v>
      </c>
      <c r="T277">
        <v>77</v>
      </c>
      <c r="U277">
        <v>0.7567532467532468</v>
      </c>
      <c r="V277">
        <v>5.2027</v>
      </c>
      <c r="W277">
        <v>4.96</v>
      </c>
      <c r="X277">
        <v>3.12820248715415</v>
      </c>
      <c r="Y277">
        <v>-0.202109</v>
      </c>
      <c r="Z277">
        <v>0.6947194719471947</v>
      </c>
      <c r="AA277">
        <v>0.4157303370786517</v>
      </c>
      <c r="AB277">
        <v>0.1059390048154093</v>
      </c>
      <c r="AC277">
        <v>0.853932584269663</v>
      </c>
      <c r="AD277">
        <v>0.725521669341894</v>
      </c>
    </row>
    <row r="278" spans="1:30">
      <c r="A278" s="1" t="s">
        <v>285</v>
      </c>
      <c r="B278">
        <f>HYPERLINK("https://www.suredividend.com/sure-analysis-NLSN/","Nielsen Holdings Plc")</f>
        <v>0</v>
      </c>
      <c r="C278">
        <v>13.87</v>
      </c>
      <c r="D278">
        <v>4948.17798</v>
      </c>
      <c r="E278" t="s">
        <v>664</v>
      </c>
      <c r="F278" t="s">
        <v>632</v>
      </c>
      <c r="G278" t="s">
        <v>671</v>
      </c>
      <c r="H278" t="s">
        <v>700</v>
      </c>
      <c r="I278" t="s">
        <v>979</v>
      </c>
      <c r="J278" t="s">
        <v>1319</v>
      </c>
      <c r="K278">
        <v>44062</v>
      </c>
      <c r="L278">
        <v>0.038211968276856</v>
      </c>
      <c r="M278">
        <v>0.06496522811163508</v>
      </c>
      <c r="N278">
        <v>0.03</v>
      </c>
      <c r="O278">
        <v>0.1102762727194038</v>
      </c>
      <c r="P278" t="s">
        <v>372</v>
      </c>
      <c r="Q278" t="s">
        <v>372</v>
      </c>
      <c r="R278">
        <v>0</v>
      </c>
      <c r="S278">
        <v>0.3397435897435898</v>
      </c>
      <c r="T278">
        <v>19</v>
      </c>
      <c r="U278">
        <v>0.73</v>
      </c>
      <c r="V278">
        <v>-1.7674</v>
      </c>
      <c r="W278">
        <v>1.56</v>
      </c>
      <c r="X278">
        <v>0.53</v>
      </c>
      <c r="Y278">
        <v>-0.350351</v>
      </c>
      <c r="Z278">
        <v>0.5264026402640264</v>
      </c>
      <c r="AA278">
        <v>0.2584269662921348</v>
      </c>
      <c r="AB278">
        <v>0.2680577849117175</v>
      </c>
      <c r="AC278">
        <v>0.8876404494382022</v>
      </c>
      <c r="AD278">
        <v>0.7110754414125201</v>
      </c>
    </row>
    <row r="279" spans="1:30">
      <c r="A279" s="1" t="s">
        <v>286</v>
      </c>
      <c r="B279">
        <f>HYPERLINK("https://www.suredividend.com/sure-analysis-ALL/","The Allstate Corp.")</f>
        <v>0</v>
      </c>
      <c r="C279">
        <v>91.28</v>
      </c>
      <c r="D279">
        <v>28508.20448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44063</v>
      </c>
      <c r="L279">
        <v>0.022787028921998</v>
      </c>
      <c r="M279">
        <v>0.05623638265547526</v>
      </c>
      <c r="N279">
        <v>0.032</v>
      </c>
      <c r="O279">
        <v>0.1088398594374538</v>
      </c>
      <c r="P279" t="s">
        <v>372</v>
      </c>
      <c r="Q279" t="s">
        <v>446</v>
      </c>
      <c r="R279">
        <v>9</v>
      </c>
      <c r="S279">
        <v>0.1733333333333333</v>
      </c>
      <c r="T279">
        <v>120</v>
      </c>
      <c r="U279">
        <v>0.7606666666666667</v>
      </c>
      <c r="V279">
        <v>13.5537</v>
      </c>
      <c r="W279">
        <v>12</v>
      </c>
      <c r="X279">
        <v>2.08</v>
      </c>
      <c r="Y279">
        <v>-0.155675</v>
      </c>
      <c r="Z279">
        <v>0.3085808580858085</v>
      </c>
      <c r="AA279">
        <v>0.4847512038523274</v>
      </c>
      <c r="AB279">
        <v>0.3234349919743178</v>
      </c>
      <c r="AC279">
        <v>0.8491171749598716</v>
      </c>
      <c r="AD279">
        <v>0.7062600321027287</v>
      </c>
    </row>
    <row r="280" spans="1:30">
      <c r="A280" s="1" t="s">
        <v>287</v>
      </c>
      <c r="B280">
        <f>HYPERLINK("https://www.suredividend.com/sure-analysis-ALLY/","Ally Financial, Inc.")</f>
        <v>0</v>
      </c>
      <c r="C280">
        <v>24.5</v>
      </c>
      <c r="D280">
        <v>9159.0065</v>
      </c>
      <c r="E280" t="s">
        <v>664</v>
      </c>
      <c r="F280" t="s">
        <v>632</v>
      </c>
      <c r="G280" t="s">
        <v>671</v>
      </c>
      <c r="H280" t="s">
        <v>700</v>
      </c>
      <c r="I280" t="s">
        <v>981</v>
      </c>
      <c r="J280" t="s">
        <v>1313</v>
      </c>
      <c r="K280">
        <v>44040</v>
      </c>
      <c r="L280">
        <v>0.02938775510204</v>
      </c>
      <c r="M280">
        <v>0.02706608708935176</v>
      </c>
      <c r="N280">
        <v>0.05</v>
      </c>
      <c r="O280">
        <v>0.1075435678905561</v>
      </c>
      <c r="P280" t="s">
        <v>372</v>
      </c>
      <c r="Q280" t="s">
        <v>446</v>
      </c>
      <c r="R280">
        <v>4</v>
      </c>
      <c r="S280">
        <v>0.3789473684210526</v>
      </c>
      <c r="T280">
        <v>28</v>
      </c>
      <c r="U280">
        <v>0.875</v>
      </c>
      <c r="V280">
        <v>1.7626</v>
      </c>
      <c r="W280">
        <v>1.9</v>
      </c>
      <c r="X280">
        <v>0.72</v>
      </c>
      <c r="Y280">
        <v>-0.268657</v>
      </c>
      <c r="Z280">
        <v>0.4042904290429042</v>
      </c>
      <c r="AA280">
        <v>0.3547351524879614</v>
      </c>
      <c r="AB280">
        <v>0.5296950240770465</v>
      </c>
      <c r="AC280">
        <v>0.6910112359550561</v>
      </c>
      <c r="AD280">
        <v>0.7014446227929373</v>
      </c>
    </row>
    <row r="281" spans="1:30">
      <c r="A281" s="1" t="s">
        <v>288</v>
      </c>
      <c r="B281">
        <f>HYPERLINK("https://www.suredividend.com/sure-analysis-TD/","The Toronto-Dominion Bank")</f>
        <v>0</v>
      </c>
      <c r="C281">
        <v>45.81</v>
      </c>
      <c r="D281">
        <v>83094.75900000001</v>
      </c>
      <c r="E281" t="s">
        <v>670</v>
      </c>
      <c r="F281" t="s">
        <v>632</v>
      </c>
      <c r="G281" t="s">
        <v>673</v>
      </c>
      <c r="H281" t="s">
        <v>700</v>
      </c>
      <c r="I281" t="s">
        <v>982</v>
      </c>
      <c r="J281" t="s">
        <v>1313</v>
      </c>
      <c r="K281">
        <v>44092</v>
      </c>
      <c r="L281">
        <v>0.04960778616424801</v>
      </c>
      <c r="M281">
        <v>0.04831920089437336</v>
      </c>
      <c r="N281">
        <v>0.012</v>
      </c>
      <c r="O281">
        <v>0.10253677432869</v>
      </c>
      <c r="P281" t="s">
        <v>372</v>
      </c>
      <c r="Q281" t="s">
        <v>637</v>
      </c>
      <c r="R281">
        <v>9</v>
      </c>
      <c r="S281">
        <v>0.6401500518828845</v>
      </c>
      <c r="T281">
        <v>58</v>
      </c>
      <c r="U281">
        <v>0.7898275862068966</v>
      </c>
      <c r="V281">
        <v>3.8557</v>
      </c>
      <c r="W281">
        <v>3.55</v>
      </c>
      <c r="X281">
        <v>2.27253268418424</v>
      </c>
      <c r="Y281">
        <v>-0.201638</v>
      </c>
      <c r="Z281">
        <v>0.6518151815181519</v>
      </c>
      <c r="AA281">
        <v>0.4189406099518459</v>
      </c>
      <c r="AB281">
        <v>0.1059390048154093</v>
      </c>
      <c r="AC281">
        <v>0.8234349919743178</v>
      </c>
      <c r="AD281">
        <v>0.6757624398073837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91.38</v>
      </c>
      <c r="D282">
        <v>27541.932</v>
      </c>
      <c r="E282" t="s">
        <v>661</v>
      </c>
      <c r="F282" t="s">
        <v>632</v>
      </c>
      <c r="G282" t="s">
        <v>671</v>
      </c>
      <c r="H282" t="s">
        <v>700</v>
      </c>
      <c r="I282" t="s">
        <v>983</v>
      </c>
      <c r="J282" t="s">
        <v>1318</v>
      </c>
      <c r="K282">
        <v>44045</v>
      </c>
      <c r="L282">
        <v>0.019479098270956</v>
      </c>
      <c r="M282">
        <v>-0.04131460058975023</v>
      </c>
      <c r="N282">
        <v>0.13</v>
      </c>
      <c r="O282">
        <v>0.1006225221802322</v>
      </c>
      <c r="P282" t="s">
        <v>372</v>
      </c>
      <c r="Q282" t="s">
        <v>446</v>
      </c>
      <c r="R282">
        <v>3</v>
      </c>
      <c r="S282">
        <v>0.5836065573770493</v>
      </c>
      <c r="T282">
        <v>74</v>
      </c>
      <c r="U282">
        <v>1.234864864864865</v>
      </c>
      <c r="V282">
        <v>3.3986</v>
      </c>
      <c r="W282">
        <v>3.05</v>
      </c>
      <c r="X282">
        <v>1.78</v>
      </c>
      <c r="Y282">
        <v>-0.189965</v>
      </c>
      <c r="Z282">
        <v>0.2508250825082508</v>
      </c>
      <c r="AA282">
        <v>0.4398073836276083</v>
      </c>
      <c r="AB282">
        <v>0.9646869983948636</v>
      </c>
      <c r="AC282">
        <v>0.3049759229534511</v>
      </c>
      <c r="AD282">
        <v>0.6629213483146067</v>
      </c>
    </row>
    <row r="283" spans="1:30">
      <c r="A283" s="1" t="s">
        <v>290</v>
      </c>
      <c r="B283">
        <f>HYPERLINK("https://www.suredividend.com/sure-analysis-SRCE/","1st Source Corp.")</f>
        <v>0</v>
      </c>
      <c r="C283">
        <v>29.75</v>
      </c>
      <c r="D283">
        <v>760.1244</v>
      </c>
      <c r="E283" t="s">
        <v>666</v>
      </c>
      <c r="F283" t="s">
        <v>632</v>
      </c>
      <c r="G283" t="s">
        <v>671</v>
      </c>
      <c r="H283" t="s">
        <v>701</v>
      </c>
      <c r="I283" t="s">
        <v>984</v>
      </c>
      <c r="J283" t="s">
        <v>1313</v>
      </c>
      <c r="K283">
        <v>44038</v>
      </c>
      <c r="L283">
        <v>0.03798319327731</v>
      </c>
      <c r="M283">
        <v>0.05016931709648742</v>
      </c>
      <c r="N283">
        <v>0.02</v>
      </c>
      <c r="O283">
        <v>0.1004477603364153</v>
      </c>
      <c r="P283" t="s">
        <v>372</v>
      </c>
      <c r="Q283" t="s">
        <v>372</v>
      </c>
      <c r="R283">
        <v>32</v>
      </c>
      <c r="S283">
        <v>0.452</v>
      </c>
      <c r="T283">
        <v>38</v>
      </c>
      <c r="U283">
        <v>0.7828947368421053</v>
      </c>
      <c r="V283">
        <v>3.168</v>
      </c>
      <c r="W283">
        <v>2.5</v>
      </c>
      <c r="X283">
        <v>1.13</v>
      </c>
      <c r="Y283">
        <v>-0.356339</v>
      </c>
      <c r="Z283">
        <v>0.5214521452145214</v>
      </c>
      <c r="AA283">
        <v>0.2520064205457464</v>
      </c>
      <c r="AB283">
        <v>0.1613162118780096</v>
      </c>
      <c r="AC283">
        <v>0.8378812199036918</v>
      </c>
      <c r="AD283">
        <v>0.6597110754414125</v>
      </c>
    </row>
    <row r="284" spans="1:30">
      <c r="A284" s="1" t="s">
        <v>291</v>
      </c>
      <c r="B284">
        <f>HYPERLINK("https://www.suredividend.com/sure-analysis-TYCB/","Calvin B. Taylor Bankshares, Inc.")</f>
        <v>0</v>
      </c>
      <c r="C284">
        <v>33.8</v>
      </c>
      <c r="D284">
        <v>93.79263400000001</v>
      </c>
      <c r="E284" t="s">
        <v>664</v>
      </c>
      <c r="F284" t="s">
        <v>632</v>
      </c>
      <c r="G284" t="s">
        <v>671</v>
      </c>
      <c r="H284" t="s">
        <v>702</v>
      </c>
      <c r="I284" t="s">
        <v>985</v>
      </c>
      <c r="J284" t="s">
        <v>1313</v>
      </c>
      <c r="K284">
        <v>44069</v>
      </c>
      <c r="L284">
        <v>0.031952662721893</v>
      </c>
      <c r="M284">
        <v>0.01269148914022256</v>
      </c>
      <c r="N284">
        <v>0.06</v>
      </c>
      <c r="O284">
        <v>0.09911908514410084</v>
      </c>
      <c r="P284" t="s">
        <v>372</v>
      </c>
      <c r="Q284" t="s">
        <v>372</v>
      </c>
      <c r="R284">
        <v>29</v>
      </c>
      <c r="S284">
        <v>0.3789473684210526</v>
      </c>
      <c r="T284">
        <v>36</v>
      </c>
      <c r="U284">
        <v>0.9388888888888888</v>
      </c>
      <c r="V284">
        <v>2.8905</v>
      </c>
      <c r="W284">
        <v>2.85</v>
      </c>
      <c r="X284">
        <v>1.08</v>
      </c>
      <c r="Y284">
        <v>-0.02029</v>
      </c>
      <c r="Z284">
        <v>0.4455445544554456</v>
      </c>
      <c r="AA284">
        <v>0.6565008025682182</v>
      </c>
      <c r="AB284">
        <v>0.6597110754414125</v>
      </c>
      <c r="AC284">
        <v>0.6356340288924559</v>
      </c>
      <c r="AD284">
        <v>0.6565008025682182</v>
      </c>
    </row>
    <row r="285" spans="1:30">
      <c r="A285" s="1" t="s">
        <v>292</v>
      </c>
      <c r="B285">
        <f>HYPERLINK("https://www.suredividend.com/sure-analysis-SAN/","Banco Santander SA")</f>
        <v>0</v>
      </c>
      <c r="C285">
        <v>1.83</v>
      </c>
      <c r="D285">
        <v>30395.695322</v>
      </c>
      <c r="E285" t="s">
        <v>666</v>
      </c>
      <c r="F285" t="s">
        <v>632</v>
      </c>
      <c r="G285" t="s">
        <v>679</v>
      </c>
      <c r="H285" t="s">
        <v>700</v>
      </c>
      <c r="I285" t="s">
        <v>986</v>
      </c>
      <c r="J285" t="s">
        <v>1313</v>
      </c>
      <c r="K285">
        <v>44041</v>
      </c>
      <c r="L285">
        <v>0.06081967213114701</v>
      </c>
      <c r="M285">
        <v>0.06009063749653909</v>
      </c>
      <c r="N285">
        <v>0</v>
      </c>
      <c r="O285">
        <v>0.09645138791679586</v>
      </c>
      <c r="P285" t="s">
        <v>372</v>
      </c>
      <c r="Q285" t="s">
        <v>637</v>
      </c>
      <c r="R285">
        <v>0</v>
      </c>
      <c r="S285">
        <v>0.4452</v>
      </c>
      <c r="T285">
        <v>2.45</v>
      </c>
      <c r="U285">
        <v>0.746938775510204</v>
      </c>
      <c r="V285">
        <v>-0.4969</v>
      </c>
      <c r="W285">
        <v>0.25</v>
      </c>
      <c r="X285">
        <v>0.1113</v>
      </c>
      <c r="Y285">
        <v>-0.534351</v>
      </c>
      <c r="Z285">
        <v>0.7458745874587458</v>
      </c>
      <c r="AA285">
        <v>0.08667736757624399</v>
      </c>
      <c r="AB285">
        <v>0.04895666131621188</v>
      </c>
      <c r="AC285">
        <v>0.8651685393258427</v>
      </c>
      <c r="AD285">
        <v>0.6468699839486356</v>
      </c>
    </row>
    <row r="286" spans="1:30">
      <c r="A286" s="1" t="s">
        <v>293</v>
      </c>
      <c r="B286">
        <f>HYPERLINK("https://www.suredividend.com/sure-analysis-AON/","Aon Plc")</f>
        <v>0</v>
      </c>
      <c r="C286">
        <v>196.36</v>
      </c>
      <c r="D286">
        <v>45486.794</v>
      </c>
      <c r="E286" t="s">
        <v>666</v>
      </c>
      <c r="F286" t="s">
        <v>632</v>
      </c>
      <c r="G286" t="s">
        <v>674</v>
      </c>
      <c r="H286" t="s">
        <v>700</v>
      </c>
      <c r="I286" t="s">
        <v>987</v>
      </c>
      <c r="J286" t="s">
        <v>1313</v>
      </c>
      <c r="K286">
        <v>44051</v>
      </c>
      <c r="L286">
        <v>0.004481564473416</v>
      </c>
      <c r="M286">
        <v>-0.01184802955441677</v>
      </c>
      <c r="N286">
        <v>0.1</v>
      </c>
      <c r="O286">
        <v>0.09595129245145673</v>
      </c>
      <c r="P286" t="s">
        <v>372</v>
      </c>
      <c r="Q286" t="s">
        <v>586</v>
      </c>
      <c r="R286">
        <v>8</v>
      </c>
      <c r="S286">
        <v>0.09025641025641026</v>
      </c>
      <c r="T286">
        <v>185</v>
      </c>
      <c r="U286">
        <v>1.061405405405405</v>
      </c>
      <c r="V286">
        <v>7.5514</v>
      </c>
      <c r="W286">
        <v>9.75</v>
      </c>
      <c r="X286">
        <v>0.88</v>
      </c>
      <c r="Y286">
        <v>0.008371</v>
      </c>
      <c r="Z286">
        <v>0.01485148514851485</v>
      </c>
      <c r="AA286">
        <v>0.7110754414125201</v>
      </c>
      <c r="AB286">
        <v>0.9165329052969503</v>
      </c>
      <c r="AC286">
        <v>0.4879614767255216</v>
      </c>
      <c r="AD286">
        <v>0.6452648475120385</v>
      </c>
    </row>
    <row r="287" spans="1:30">
      <c r="A287" s="1" t="s">
        <v>294</v>
      </c>
      <c r="B287">
        <f>HYPERLINK("https://www.suredividend.com/sure-analysis-SNY/","Sanofi")</f>
        <v>0</v>
      </c>
      <c r="C287">
        <v>50.78</v>
      </c>
      <c r="D287">
        <v>127594.906</v>
      </c>
      <c r="E287" t="s">
        <v>663</v>
      </c>
      <c r="F287" t="s">
        <v>632</v>
      </c>
      <c r="G287" t="s">
        <v>685</v>
      </c>
      <c r="H287" t="s">
        <v>701</v>
      </c>
      <c r="I287" t="s">
        <v>988</v>
      </c>
      <c r="J287" t="s">
        <v>1315</v>
      </c>
      <c r="K287">
        <v>44043</v>
      </c>
      <c r="L287">
        <v>0.033465931469082</v>
      </c>
      <c r="M287">
        <v>0.02337883725115542</v>
      </c>
      <c r="N287">
        <v>0.04</v>
      </c>
      <c r="O287">
        <v>0.09348491130367798</v>
      </c>
      <c r="P287" t="s">
        <v>372</v>
      </c>
      <c r="Q287" t="s">
        <v>372</v>
      </c>
      <c r="R287">
        <v>26</v>
      </c>
      <c r="S287">
        <v>0.4787042253521127</v>
      </c>
      <c r="T287">
        <v>57</v>
      </c>
      <c r="U287">
        <v>0.8908771929824562</v>
      </c>
      <c r="V287">
        <v>4.9052</v>
      </c>
      <c r="W287">
        <v>3.55</v>
      </c>
      <c r="X287">
        <v>1.6994</v>
      </c>
      <c r="Y287">
        <v>0.08899799999999999</v>
      </c>
      <c r="Z287">
        <v>0.4620462046204621</v>
      </c>
      <c r="AA287">
        <v>0.7656500802568219</v>
      </c>
      <c r="AB287">
        <v>0.4012841091492777</v>
      </c>
      <c r="AC287">
        <v>0.6773675762439808</v>
      </c>
      <c r="AD287">
        <v>0.6308186195826645</v>
      </c>
    </row>
    <row r="288" spans="1:30">
      <c r="A288" s="1" t="s">
        <v>295</v>
      </c>
      <c r="B288">
        <f>HYPERLINK("https://www.suredividend.com/sure-analysis-BIP/","Brookfield Infrastructure Partners LP")</f>
        <v>0</v>
      </c>
      <c r="C288">
        <v>47.21</v>
      </c>
      <c r="D288">
        <v>19670.187752</v>
      </c>
      <c r="E288" t="s">
        <v>670</v>
      </c>
      <c r="F288" t="s">
        <v>633</v>
      </c>
      <c r="G288" t="s">
        <v>680</v>
      </c>
      <c r="H288" t="s">
        <v>700</v>
      </c>
      <c r="I288" t="s">
        <v>989</v>
      </c>
      <c r="J288" t="s">
        <v>1316</v>
      </c>
      <c r="K288">
        <v>44056</v>
      </c>
      <c r="L288">
        <v>0.04294640965897</v>
      </c>
      <c r="M288">
        <v>-0.02311586172982916</v>
      </c>
      <c r="N288">
        <v>0.08</v>
      </c>
      <c r="O288">
        <v>0.09300885397743519</v>
      </c>
      <c r="P288" t="s">
        <v>372</v>
      </c>
      <c r="Q288" t="s">
        <v>637</v>
      </c>
      <c r="R288">
        <v>12</v>
      </c>
      <c r="S288">
        <v>0.7015570934256055</v>
      </c>
      <c r="T288">
        <v>42</v>
      </c>
      <c r="U288">
        <v>1.124047619047619</v>
      </c>
      <c r="V288">
        <v>-0.1586</v>
      </c>
      <c r="W288">
        <v>2.89</v>
      </c>
      <c r="X288">
        <v>2.0275</v>
      </c>
      <c r="Y288">
        <v>0.062656</v>
      </c>
      <c r="Z288">
        <v>0.5891089108910891</v>
      </c>
      <c r="AA288">
        <v>0.7479935794542536</v>
      </c>
      <c r="AB288">
        <v>0.8274478330658106</v>
      </c>
      <c r="AC288">
        <v>0.4173354735152487</v>
      </c>
      <c r="AD288">
        <v>0.6276083467094703</v>
      </c>
    </row>
    <row r="289" spans="1:30">
      <c r="A289" s="1" t="s">
        <v>296</v>
      </c>
      <c r="B289">
        <f>HYPERLINK("https://www.suredividend.com/sure-analysis-HPE/","Hewlett-Packard Enterprise Co.")</f>
        <v>0</v>
      </c>
      <c r="C289">
        <v>9.109999999999999</v>
      </c>
      <c r="D289">
        <v>11718.9218</v>
      </c>
      <c r="E289" t="s">
        <v>662</v>
      </c>
      <c r="F289" t="s">
        <v>632</v>
      </c>
      <c r="G289" t="s">
        <v>671</v>
      </c>
      <c r="H289" t="s">
        <v>700</v>
      </c>
      <c r="I289" t="s">
        <v>990</v>
      </c>
      <c r="J289" t="s">
        <v>1320</v>
      </c>
      <c r="K289">
        <v>44079</v>
      </c>
      <c r="L289">
        <v>0.05186608122941801</v>
      </c>
      <c r="M289">
        <v>0.01881733219845994</v>
      </c>
      <c r="N289">
        <v>0.03</v>
      </c>
      <c r="O289">
        <v>0.09237001722155624</v>
      </c>
      <c r="P289" t="s">
        <v>372</v>
      </c>
      <c r="Q289" t="s">
        <v>637</v>
      </c>
      <c r="R289">
        <v>4</v>
      </c>
      <c r="S289">
        <v>0.3579545454545455</v>
      </c>
      <c r="T289">
        <v>10</v>
      </c>
      <c r="U289">
        <v>0.9109999999999999</v>
      </c>
      <c r="V289">
        <v>-0.0058</v>
      </c>
      <c r="W289">
        <v>1.32</v>
      </c>
      <c r="X289">
        <v>0.4725</v>
      </c>
      <c r="Y289">
        <v>-0.377307</v>
      </c>
      <c r="Z289">
        <v>0.6749174917491749</v>
      </c>
      <c r="AA289">
        <v>0.2231139646869984</v>
      </c>
      <c r="AB289">
        <v>0.2680577849117175</v>
      </c>
      <c r="AC289">
        <v>0.6613162118780096</v>
      </c>
      <c r="AD289">
        <v>0.6211878009630819</v>
      </c>
    </row>
    <row r="290" spans="1:30">
      <c r="A290" s="1" t="s">
        <v>297</v>
      </c>
      <c r="B290">
        <f>HYPERLINK("https://www.suredividend.com/sure-analysis-VALE/","Vale SA")</f>
        <v>0</v>
      </c>
      <c r="C290">
        <v>10.74</v>
      </c>
      <c r="D290">
        <v>55095.299687</v>
      </c>
      <c r="E290" t="s">
        <v>664</v>
      </c>
      <c r="F290" t="s">
        <v>632</v>
      </c>
      <c r="G290" t="s">
        <v>686</v>
      </c>
      <c r="H290" t="s">
        <v>700</v>
      </c>
      <c r="I290" t="s">
        <v>991</v>
      </c>
      <c r="J290" t="s">
        <v>1322</v>
      </c>
      <c r="K290">
        <v>44052</v>
      </c>
      <c r="L290">
        <v>0.039869646182495</v>
      </c>
      <c r="M290">
        <v>0.03893365319830133</v>
      </c>
      <c r="N290">
        <v>0.03</v>
      </c>
      <c r="O290">
        <v>0.09167615315307542</v>
      </c>
      <c r="P290" t="s">
        <v>372</v>
      </c>
      <c r="Q290" t="s">
        <v>372</v>
      </c>
      <c r="R290">
        <v>0</v>
      </c>
      <c r="S290">
        <v>0.2953103448275862</v>
      </c>
      <c r="T290">
        <v>13</v>
      </c>
      <c r="U290">
        <v>0.8261538461538461</v>
      </c>
      <c r="V290">
        <v>0.2492</v>
      </c>
      <c r="W290">
        <v>1.45</v>
      </c>
      <c r="X290">
        <v>0.4282</v>
      </c>
      <c r="Y290">
        <v>-0.061189</v>
      </c>
      <c r="Z290">
        <v>0.5528052805280528</v>
      </c>
      <c r="AA290">
        <v>0.6035313001605137</v>
      </c>
      <c r="AB290">
        <v>0.2680577849117175</v>
      </c>
      <c r="AC290">
        <v>0.7528089887640449</v>
      </c>
      <c r="AD290">
        <v>0.6147672552166934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34.21</v>
      </c>
      <c r="D291">
        <v>5936.8034</v>
      </c>
      <c r="E291" t="s">
        <v>669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44012</v>
      </c>
      <c r="L291">
        <v>0.06036246711487801</v>
      </c>
      <c r="M291">
        <v>0.004576452618911597</v>
      </c>
      <c r="N291">
        <v>0.037</v>
      </c>
      <c r="O291">
        <v>0.09151242816705629</v>
      </c>
      <c r="P291" t="s">
        <v>372</v>
      </c>
      <c r="Q291" t="s">
        <v>636</v>
      </c>
      <c r="R291">
        <v>30</v>
      </c>
      <c r="S291">
        <v>0.826</v>
      </c>
      <c r="T291">
        <v>35</v>
      </c>
      <c r="U291">
        <v>0.9774285714285714</v>
      </c>
      <c r="V291">
        <v>1.2898</v>
      </c>
      <c r="W291">
        <v>2.5</v>
      </c>
      <c r="X291">
        <v>2.065</v>
      </c>
      <c r="Y291">
        <v>-0.395049</v>
      </c>
      <c r="Z291">
        <v>0.7392739273927392</v>
      </c>
      <c r="AA291">
        <v>0.1894060995184591</v>
      </c>
      <c r="AB291">
        <v>0.3483146067415731</v>
      </c>
      <c r="AC291">
        <v>0.5858747993579454</v>
      </c>
      <c r="AD291">
        <v>0.6131621187800963</v>
      </c>
    </row>
    <row r="292" spans="1:30">
      <c r="A292" s="1" t="s">
        <v>299</v>
      </c>
      <c r="B292">
        <f>HYPERLINK("https://www.suredividend.com/sure-analysis-PM/","Philip Morris International, Inc.")</f>
        <v>0</v>
      </c>
      <c r="C292">
        <v>75.40000000000001</v>
      </c>
      <c r="D292">
        <v>117419.666</v>
      </c>
      <c r="E292" t="s">
        <v>660</v>
      </c>
      <c r="F292" t="s">
        <v>632</v>
      </c>
      <c r="G292" t="s">
        <v>671</v>
      </c>
      <c r="H292" t="s">
        <v>700</v>
      </c>
      <c r="I292" t="s">
        <v>993</v>
      </c>
      <c r="J292" t="s">
        <v>1321</v>
      </c>
      <c r="K292">
        <v>44035</v>
      </c>
      <c r="L292">
        <v>0.062068965517241</v>
      </c>
      <c r="M292">
        <v>-0.001063266626553649</v>
      </c>
      <c r="N292">
        <v>0.04</v>
      </c>
      <c r="O292">
        <v>0.09141602848788999</v>
      </c>
      <c r="P292" t="s">
        <v>372</v>
      </c>
      <c r="Q292" t="s">
        <v>637</v>
      </c>
      <c r="R292">
        <v>12</v>
      </c>
      <c r="S292">
        <v>0.9359999999999999</v>
      </c>
      <c r="T292">
        <v>75</v>
      </c>
      <c r="U292">
        <v>1.005333333333333</v>
      </c>
      <c r="V292">
        <v>4.6673</v>
      </c>
      <c r="W292">
        <v>5</v>
      </c>
      <c r="X292">
        <v>4.68</v>
      </c>
      <c r="Y292">
        <v>0.001461</v>
      </c>
      <c r="Z292">
        <v>0.7524752475247525</v>
      </c>
      <c r="AA292">
        <v>0.6902086677367576</v>
      </c>
      <c r="AB292">
        <v>0.4012841091492777</v>
      </c>
      <c r="AC292">
        <v>0.5521669341894061</v>
      </c>
      <c r="AD292">
        <v>0.6115569823434992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74.53</v>
      </c>
      <c r="D293">
        <v>33241.05077</v>
      </c>
      <c r="E293" t="s">
        <v>670</v>
      </c>
      <c r="F293" t="s">
        <v>632</v>
      </c>
      <c r="G293" t="s">
        <v>673</v>
      </c>
      <c r="H293" t="s">
        <v>700</v>
      </c>
      <c r="I293" t="s">
        <v>994</v>
      </c>
      <c r="J293" t="s">
        <v>1313</v>
      </c>
      <c r="K293">
        <v>44094</v>
      </c>
      <c r="L293">
        <v>0.057823308851669</v>
      </c>
      <c r="M293">
        <v>0.02904286555486135</v>
      </c>
      <c r="N293">
        <v>0.012</v>
      </c>
      <c r="O293">
        <v>0.09023471029449759</v>
      </c>
      <c r="P293" t="s">
        <v>372</v>
      </c>
      <c r="Q293" t="s">
        <v>637</v>
      </c>
      <c r="R293">
        <v>9</v>
      </c>
      <c r="S293">
        <v>0.6808169366058293</v>
      </c>
      <c r="T293">
        <v>86</v>
      </c>
      <c r="U293">
        <v>0.8666279069767442</v>
      </c>
      <c r="V293">
        <v>6.4334</v>
      </c>
      <c r="W293">
        <v>6.33</v>
      </c>
      <c r="X293">
        <v>4.3095712087149</v>
      </c>
      <c r="Y293">
        <v>-0.090654</v>
      </c>
      <c r="Z293">
        <v>0.7260726072607261</v>
      </c>
      <c r="AA293">
        <v>0.5714285714285715</v>
      </c>
      <c r="AB293">
        <v>0.1059390048154093</v>
      </c>
      <c r="AC293">
        <v>0.7062600321027287</v>
      </c>
      <c r="AD293">
        <v>0.6051364365971108</v>
      </c>
    </row>
    <row r="294" spans="1:30">
      <c r="A294" s="1" t="s">
        <v>301</v>
      </c>
      <c r="B294">
        <f>HYPERLINK("https://www.suredividend.com/sure-analysis-SUUIF/","Superior Plus Corp.")</f>
        <v>0</v>
      </c>
      <c r="C294">
        <v>8.93</v>
      </c>
      <c r="D294">
        <v>1572.05506</v>
      </c>
      <c r="E294" t="s">
        <v>662</v>
      </c>
      <c r="F294" t="s">
        <v>632</v>
      </c>
      <c r="G294" t="s">
        <v>673</v>
      </c>
      <c r="H294" t="s">
        <v>702</v>
      </c>
      <c r="I294" t="s">
        <v>995</v>
      </c>
      <c r="J294" t="s">
        <v>1316</v>
      </c>
      <c r="K294">
        <v>44080</v>
      </c>
      <c r="L294">
        <v>0.060068236819155</v>
      </c>
      <c r="M294">
        <v>0.04257725304127224</v>
      </c>
      <c r="N294">
        <v>0</v>
      </c>
      <c r="O294">
        <v>0.09016001241191463</v>
      </c>
      <c r="P294" t="s">
        <v>372</v>
      </c>
      <c r="Q294" t="s">
        <v>637</v>
      </c>
      <c r="R294">
        <v>0</v>
      </c>
      <c r="S294">
        <v>0.3250965786636734</v>
      </c>
      <c r="T294">
        <v>11</v>
      </c>
      <c r="U294">
        <v>0.8118181818181818</v>
      </c>
      <c r="V294">
        <v>0.1457</v>
      </c>
      <c r="W294">
        <v>1.65</v>
      </c>
      <c r="X294">
        <v>0.536409354795061</v>
      </c>
      <c r="Y294">
        <v>-0.026797</v>
      </c>
      <c r="Z294">
        <v>0.7310231023102309</v>
      </c>
      <c r="AA294">
        <v>0.6452648475120385</v>
      </c>
      <c r="AB294">
        <v>0.04895666131621188</v>
      </c>
      <c r="AC294">
        <v>0.7961476725521669</v>
      </c>
      <c r="AD294">
        <v>0.6035313001605137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59.93</v>
      </c>
      <c r="D295">
        <v>20678.18727</v>
      </c>
      <c r="E295" t="s">
        <v>664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44054</v>
      </c>
      <c r="L295">
        <v>0.046037043217086</v>
      </c>
      <c r="M295">
        <v>0.01004158410246569</v>
      </c>
      <c r="N295">
        <v>0.04</v>
      </c>
      <c r="O295">
        <v>0.08998266425265666</v>
      </c>
      <c r="P295" t="s">
        <v>372</v>
      </c>
      <c r="Q295" t="s">
        <v>637</v>
      </c>
      <c r="R295">
        <v>26</v>
      </c>
      <c r="S295">
        <v>0.7882857142857143</v>
      </c>
      <c r="T295">
        <v>63</v>
      </c>
      <c r="U295">
        <v>0.9512698412698413</v>
      </c>
      <c r="V295">
        <v>1.4559</v>
      </c>
      <c r="W295">
        <v>3.5</v>
      </c>
      <c r="X295">
        <v>2.759</v>
      </c>
      <c r="Y295">
        <v>-0.224508</v>
      </c>
      <c r="Z295">
        <v>0.6155115511551155</v>
      </c>
      <c r="AA295">
        <v>0.3900481540930979</v>
      </c>
      <c r="AB295">
        <v>0.4012841091492777</v>
      </c>
      <c r="AC295">
        <v>0.6211878009630819</v>
      </c>
      <c r="AD295">
        <v>0.6003210272873194</v>
      </c>
    </row>
    <row r="296" spans="1:30">
      <c r="A296" s="1" t="s">
        <v>303</v>
      </c>
      <c r="B296">
        <f>HYPERLINK("https://www.suredividend.com/sure-analysis-ESS/","Essex Property Trust, Inc.")</f>
        <v>0</v>
      </c>
      <c r="C296">
        <v>204.11</v>
      </c>
      <c r="D296">
        <v>13309.992689</v>
      </c>
      <c r="E296" t="s">
        <v>669</v>
      </c>
      <c r="F296" t="s">
        <v>634</v>
      </c>
      <c r="G296" t="s">
        <v>671</v>
      </c>
      <c r="H296" t="s">
        <v>700</v>
      </c>
      <c r="I296" t="s">
        <v>997</v>
      </c>
      <c r="J296" t="s">
        <v>1323</v>
      </c>
      <c r="K296">
        <v>44075</v>
      </c>
      <c r="L296">
        <v>0.039464014501984</v>
      </c>
      <c r="M296">
        <v>0.008563075467026948</v>
      </c>
      <c r="N296">
        <v>0.048</v>
      </c>
      <c r="O296">
        <v>0.08917843205628406</v>
      </c>
      <c r="P296" t="s">
        <v>372</v>
      </c>
      <c r="Q296" t="s">
        <v>372</v>
      </c>
      <c r="R296">
        <v>26</v>
      </c>
      <c r="S296">
        <v>0.6797468354430379</v>
      </c>
      <c r="T296">
        <v>213</v>
      </c>
      <c r="U296">
        <v>0.9582629107981221</v>
      </c>
      <c r="V296">
        <v>9.518599999999999</v>
      </c>
      <c r="W296">
        <v>11.85</v>
      </c>
      <c r="X296">
        <v>8.055</v>
      </c>
      <c r="Y296">
        <v>-0.381878</v>
      </c>
      <c r="Z296">
        <v>0.5462046204620462</v>
      </c>
      <c r="AA296">
        <v>0.2150882825040128</v>
      </c>
      <c r="AB296">
        <v>0.4670947030497593</v>
      </c>
      <c r="AC296">
        <v>0.608346709470305</v>
      </c>
      <c r="AD296">
        <v>0.5955056179775281</v>
      </c>
    </row>
    <row r="297" spans="1:30">
      <c r="A297" s="1" t="s">
        <v>304</v>
      </c>
      <c r="B297">
        <f>HYPERLINK("https://www.suredividend.com/sure-analysis-GS/","The Goldman Sachs Group, Inc.")</f>
        <v>0</v>
      </c>
      <c r="C297">
        <v>194.95</v>
      </c>
      <c r="D297">
        <v>67077.6162</v>
      </c>
      <c r="E297" t="s">
        <v>666</v>
      </c>
      <c r="F297" t="s">
        <v>632</v>
      </c>
      <c r="G297" t="s">
        <v>671</v>
      </c>
      <c r="H297" t="s">
        <v>700</v>
      </c>
      <c r="I297" t="s">
        <v>998</v>
      </c>
      <c r="J297" t="s">
        <v>1313</v>
      </c>
      <c r="K297">
        <v>44028</v>
      </c>
      <c r="L297">
        <v>0.025647601949217</v>
      </c>
      <c r="M297">
        <v>0.005127953401029783</v>
      </c>
      <c r="N297">
        <v>0.06</v>
      </c>
      <c r="O297">
        <v>0.08885052493547363</v>
      </c>
      <c r="P297" t="s">
        <v>372</v>
      </c>
      <c r="Q297" t="s">
        <v>446</v>
      </c>
      <c r="R297">
        <v>9</v>
      </c>
      <c r="S297">
        <v>0.2631578947368421</v>
      </c>
      <c r="T297">
        <v>200</v>
      </c>
      <c r="U297">
        <v>0.9747499999999999</v>
      </c>
      <c r="V297">
        <v>13.2938</v>
      </c>
      <c r="W297">
        <v>19</v>
      </c>
      <c r="X297">
        <v>5</v>
      </c>
      <c r="Y297">
        <v>-0.063731</v>
      </c>
      <c r="Z297">
        <v>0.3399339933993399</v>
      </c>
      <c r="AA297">
        <v>0.5971107544141252</v>
      </c>
      <c r="AB297">
        <v>0.6597110754414125</v>
      </c>
      <c r="AC297">
        <v>0.5890850722311396</v>
      </c>
      <c r="AD297">
        <v>0.593900481540931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71.73</v>
      </c>
      <c r="D298">
        <v>4885.264899</v>
      </c>
      <c r="E298" t="s">
        <v>660</v>
      </c>
      <c r="F298" t="s">
        <v>632</v>
      </c>
      <c r="G298" t="s">
        <v>671</v>
      </c>
      <c r="H298" t="s">
        <v>700</v>
      </c>
      <c r="I298" t="s">
        <v>999</v>
      </c>
      <c r="J298" t="s">
        <v>1319</v>
      </c>
      <c r="K298">
        <v>44049</v>
      </c>
      <c r="L298">
        <v>0.016311166875784</v>
      </c>
      <c r="M298">
        <v>0.03208553434387285</v>
      </c>
      <c r="N298">
        <v>0.04</v>
      </c>
      <c r="O298">
        <v>0.08843281897805677</v>
      </c>
      <c r="P298" t="s">
        <v>372</v>
      </c>
      <c r="Q298" t="s">
        <v>446</v>
      </c>
      <c r="R298">
        <v>7</v>
      </c>
      <c r="S298">
        <v>0.24375</v>
      </c>
      <c r="T298">
        <v>84</v>
      </c>
      <c r="U298">
        <v>0.8539285714285715</v>
      </c>
      <c r="V298">
        <v>5.4937</v>
      </c>
      <c r="W298">
        <v>4.8</v>
      </c>
      <c r="X298">
        <v>1.17</v>
      </c>
      <c r="Y298">
        <v>-0.03873</v>
      </c>
      <c r="Z298">
        <v>0.1666666666666667</v>
      </c>
      <c r="AA298">
        <v>0.6340288924558588</v>
      </c>
      <c r="AB298">
        <v>0.4012841091492777</v>
      </c>
      <c r="AC298">
        <v>0.7239165329052969</v>
      </c>
      <c r="AD298">
        <v>0.5858747993579454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38.84</v>
      </c>
      <c r="D299">
        <v>19611.32584</v>
      </c>
      <c r="E299" t="s">
        <v>661</v>
      </c>
      <c r="F299" t="s">
        <v>632</v>
      </c>
      <c r="G299" t="s">
        <v>673</v>
      </c>
      <c r="H299" t="s">
        <v>700</v>
      </c>
      <c r="I299" t="s">
        <v>1000</v>
      </c>
      <c r="J299" t="s">
        <v>1314</v>
      </c>
      <c r="K299">
        <v>44056</v>
      </c>
      <c r="L299">
        <v>0.038363181914053</v>
      </c>
      <c r="M299">
        <v>-0.01507161003243418</v>
      </c>
      <c r="N299">
        <v>0.07000000000000001</v>
      </c>
      <c r="O299">
        <v>0.08609609788475558</v>
      </c>
      <c r="P299" t="s">
        <v>372</v>
      </c>
      <c r="Q299" t="s">
        <v>372</v>
      </c>
      <c r="R299">
        <v>0</v>
      </c>
      <c r="S299">
        <v>0.6208441606424334</v>
      </c>
      <c r="T299">
        <v>36</v>
      </c>
      <c r="U299">
        <v>1.078888888888889</v>
      </c>
      <c r="V299">
        <v>2.4923</v>
      </c>
      <c r="W299">
        <v>2.4</v>
      </c>
      <c r="X299">
        <v>1.49002598554184</v>
      </c>
      <c r="Y299">
        <v>-0.221331</v>
      </c>
      <c r="Z299">
        <v>0.528052805280528</v>
      </c>
      <c r="AA299">
        <v>0.3916532905296951</v>
      </c>
      <c r="AB299">
        <v>0.7504012841091493</v>
      </c>
      <c r="AC299">
        <v>0.4719101123595506</v>
      </c>
      <c r="AD299">
        <v>0.5746388443017656</v>
      </c>
    </row>
    <row r="300" spans="1:30">
      <c r="A300" s="1" t="s">
        <v>307</v>
      </c>
      <c r="B300">
        <f>HYPERLINK("https://www.suredividend.com/sure-analysis-AVB/","AvalonBay Communities, Inc.")</f>
        <v>0</v>
      </c>
      <c r="C300">
        <v>148.04</v>
      </c>
      <c r="D300">
        <v>20835.74176</v>
      </c>
      <c r="E300" t="s">
        <v>669</v>
      </c>
      <c r="F300" t="s">
        <v>634</v>
      </c>
      <c r="G300" t="s">
        <v>671</v>
      </c>
      <c r="H300" t="s">
        <v>700</v>
      </c>
      <c r="I300" t="s">
        <v>1001</v>
      </c>
      <c r="J300" t="s">
        <v>1323</v>
      </c>
      <c r="K300">
        <v>44067</v>
      </c>
      <c r="L300">
        <v>0.042015671440151</v>
      </c>
      <c r="M300">
        <v>0.02192958815356594</v>
      </c>
      <c r="N300">
        <v>0.028</v>
      </c>
      <c r="O300">
        <v>0.08551077452027944</v>
      </c>
      <c r="P300" t="s">
        <v>372</v>
      </c>
      <c r="Q300" t="s">
        <v>637</v>
      </c>
      <c r="R300">
        <v>9</v>
      </c>
      <c r="S300">
        <v>0.6790393013100436</v>
      </c>
      <c r="T300">
        <v>165</v>
      </c>
      <c r="U300">
        <v>0.8972121212121211</v>
      </c>
      <c r="V300">
        <v>5.6022</v>
      </c>
      <c r="W300">
        <v>9.16</v>
      </c>
      <c r="X300">
        <v>6.22</v>
      </c>
      <c r="Y300">
        <v>-0.313294</v>
      </c>
      <c r="Z300">
        <v>0.5775577557755776</v>
      </c>
      <c r="AA300">
        <v>0.3065810593900481</v>
      </c>
      <c r="AB300">
        <v>0.2142857142857143</v>
      </c>
      <c r="AC300">
        <v>0.6709470304975923</v>
      </c>
      <c r="AD300">
        <v>0.5698234349919743</v>
      </c>
    </row>
    <row r="301" spans="1:30">
      <c r="A301" s="1" t="s">
        <v>308</v>
      </c>
      <c r="B301">
        <f>HYPERLINK("https://www.suredividend.com/sure-analysis-KLAC/","KLA Corp.")</f>
        <v>0</v>
      </c>
      <c r="C301">
        <v>187.91</v>
      </c>
      <c r="D301">
        <v>29212.67651</v>
      </c>
      <c r="E301" t="s">
        <v>664</v>
      </c>
      <c r="F301" t="s">
        <v>632</v>
      </c>
      <c r="G301" t="s">
        <v>671</v>
      </c>
      <c r="H301" t="s">
        <v>701</v>
      </c>
      <c r="I301" t="s">
        <v>1002</v>
      </c>
      <c r="J301" t="s">
        <v>1320</v>
      </c>
      <c r="K301">
        <v>44061</v>
      </c>
      <c r="L301">
        <v>0.017561598637645</v>
      </c>
      <c r="M301">
        <v>-0.01868317830326904</v>
      </c>
      <c r="N301">
        <v>0.08500000000000001</v>
      </c>
      <c r="O301">
        <v>0.08404224134125959</v>
      </c>
      <c r="P301" t="s">
        <v>372</v>
      </c>
      <c r="Q301" t="s">
        <v>446</v>
      </c>
      <c r="R301">
        <v>11</v>
      </c>
      <c r="S301">
        <v>0.2894736842105263</v>
      </c>
      <c r="T301">
        <v>171</v>
      </c>
      <c r="U301">
        <v>1.098888888888889</v>
      </c>
      <c r="V301">
        <v>7.7571</v>
      </c>
      <c r="W301">
        <v>11.4</v>
      </c>
      <c r="X301">
        <v>3.3</v>
      </c>
      <c r="Y301">
        <v>0.160296</v>
      </c>
      <c r="Z301">
        <v>0.2013201320132013</v>
      </c>
      <c r="AA301">
        <v>0.8170144462279293</v>
      </c>
      <c r="AB301">
        <v>0.8619582664526484</v>
      </c>
      <c r="AC301">
        <v>0.4526484751203852</v>
      </c>
      <c r="AD301">
        <v>0.5585874799357946</v>
      </c>
    </row>
    <row r="302" spans="1:30">
      <c r="A302" s="1" t="s">
        <v>309</v>
      </c>
      <c r="B302">
        <f>HYPERLINK("https://www.suredividend.com/sure-analysis-WPC/","W.P. Carey, Inc.")</f>
        <v>0</v>
      </c>
      <c r="C302">
        <v>65.06</v>
      </c>
      <c r="D302">
        <v>11314.45448</v>
      </c>
      <c r="E302" t="s">
        <v>664</v>
      </c>
      <c r="F302" t="s">
        <v>634</v>
      </c>
      <c r="G302" t="s">
        <v>671</v>
      </c>
      <c r="H302" t="s">
        <v>700</v>
      </c>
      <c r="I302" t="s">
        <v>1003</v>
      </c>
      <c r="J302" t="s">
        <v>1323</v>
      </c>
      <c r="K302">
        <v>44061</v>
      </c>
      <c r="L302">
        <v>0.06387949584998401</v>
      </c>
      <c r="M302">
        <v>-0.006414378408557631</v>
      </c>
      <c r="N302">
        <v>0.035</v>
      </c>
      <c r="O302">
        <v>0.08299321252955205</v>
      </c>
      <c r="P302" t="s">
        <v>372</v>
      </c>
      <c r="Q302" t="s">
        <v>636</v>
      </c>
      <c r="R302">
        <v>22</v>
      </c>
      <c r="S302">
        <v>0.8229702970297029</v>
      </c>
      <c r="T302">
        <v>63</v>
      </c>
      <c r="U302">
        <v>1.032698412698413</v>
      </c>
      <c r="V302">
        <v>1.9756</v>
      </c>
      <c r="W302">
        <v>5.05</v>
      </c>
      <c r="X302">
        <v>4.156</v>
      </c>
      <c r="Y302">
        <v>-0.289893</v>
      </c>
      <c r="Z302">
        <v>0.7656765676567657</v>
      </c>
      <c r="AA302">
        <v>0.3306581059390048</v>
      </c>
      <c r="AB302">
        <v>0.3362760834670947</v>
      </c>
      <c r="AC302">
        <v>0.5232744783306581</v>
      </c>
      <c r="AD302">
        <v>0.550561797752809</v>
      </c>
    </row>
    <row r="303" spans="1:30">
      <c r="A303" s="1" t="s">
        <v>310</v>
      </c>
      <c r="B303">
        <f>HYPERLINK("https://www.suredividend.com/sure-analysis-LAZ/","Lazard Ltd.")</f>
        <v>0</v>
      </c>
      <c r="C303">
        <v>31.17</v>
      </c>
      <c r="D303">
        <v>3514.91622</v>
      </c>
      <c r="E303" t="s">
        <v>667</v>
      </c>
      <c r="F303" t="s">
        <v>632</v>
      </c>
      <c r="G303" t="s">
        <v>671</v>
      </c>
      <c r="H303" t="s">
        <v>700</v>
      </c>
      <c r="I303" t="s">
        <v>1004</v>
      </c>
      <c r="J303" t="s">
        <v>1313</v>
      </c>
      <c r="K303">
        <v>44056</v>
      </c>
      <c r="L303">
        <v>0.06031440487648301</v>
      </c>
      <c r="M303">
        <v>-0.02122189483298853</v>
      </c>
      <c r="N303">
        <v>0.05</v>
      </c>
      <c r="O303">
        <v>0.08250960346735647</v>
      </c>
      <c r="P303" t="s">
        <v>372</v>
      </c>
      <c r="Q303" t="s">
        <v>637</v>
      </c>
      <c r="R303">
        <v>0</v>
      </c>
      <c r="S303">
        <v>0.8663594470046083</v>
      </c>
      <c r="T303">
        <v>28</v>
      </c>
      <c r="U303">
        <v>1.113214285714286</v>
      </c>
      <c r="V303">
        <v>2.4119</v>
      </c>
      <c r="W303">
        <v>2.17</v>
      </c>
      <c r="X303">
        <v>1.88</v>
      </c>
      <c r="Y303">
        <v>-0.101211</v>
      </c>
      <c r="Z303">
        <v>0.735973597359736</v>
      </c>
      <c r="AA303">
        <v>0.5569823434991974</v>
      </c>
      <c r="AB303">
        <v>0.5296950240770465</v>
      </c>
      <c r="AC303">
        <v>0.4333868378812199</v>
      </c>
      <c r="AD303">
        <v>0.5457463884430177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6.11</v>
      </c>
      <c r="D304">
        <v>53482.6019</v>
      </c>
      <c r="E304" t="s">
        <v>660</v>
      </c>
      <c r="F304" t="s">
        <v>632</v>
      </c>
      <c r="G304" t="s">
        <v>671</v>
      </c>
      <c r="H304" t="s">
        <v>700</v>
      </c>
      <c r="I304" t="s">
        <v>1005</v>
      </c>
      <c r="J304" t="s">
        <v>1319</v>
      </c>
      <c r="K304">
        <v>44042</v>
      </c>
      <c r="L304">
        <v>0.006546644844517001</v>
      </c>
      <c r="M304">
        <v>-0.02081602835928542</v>
      </c>
      <c r="N304">
        <v>0.1</v>
      </c>
      <c r="O304">
        <v>0.08192299499689182</v>
      </c>
      <c r="P304" t="s">
        <v>372</v>
      </c>
      <c r="Q304" t="s">
        <v>586</v>
      </c>
      <c r="R304">
        <v>0</v>
      </c>
      <c r="S304">
        <v>0.4</v>
      </c>
      <c r="T304">
        <v>5.5</v>
      </c>
      <c r="U304">
        <v>1.110909090909091</v>
      </c>
      <c r="V304">
        <v>0.4095</v>
      </c>
      <c r="W304">
        <v>0.1</v>
      </c>
      <c r="X304">
        <v>0.04</v>
      </c>
      <c r="Y304">
        <v>-0.322616</v>
      </c>
      <c r="Z304">
        <v>0.03465346534653466</v>
      </c>
      <c r="AA304">
        <v>0.2921348314606741</v>
      </c>
      <c r="AB304">
        <v>0.9165329052969503</v>
      </c>
      <c r="AC304">
        <v>0.4365971107544142</v>
      </c>
      <c r="AD304">
        <v>0.5393258426966292</v>
      </c>
    </row>
    <row r="305" spans="1:30">
      <c r="A305" s="1" t="s">
        <v>312</v>
      </c>
      <c r="B305">
        <f>HYPERLINK("https://www.suredividend.com/sure-analysis-JACK/","Jack in the Box, Inc.")</f>
        <v>0</v>
      </c>
      <c r="C305">
        <v>80.23999999999999</v>
      </c>
      <c r="D305">
        <v>1819.666672</v>
      </c>
      <c r="E305" t="s">
        <v>661</v>
      </c>
      <c r="F305" t="s">
        <v>632</v>
      </c>
      <c r="G305" t="s">
        <v>671</v>
      </c>
      <c r="H305" t="s">
        <v>701</v>
      </c>
      <c r="I305" t="s">
        <v>1006</v>
      </c>
      <c r="J305" t="s">
        <v>1318</v>
      </c>
      <c r="K305">
        <v>44063</v>
      </c>
      <c r="L305">
        <v>0.014955134596211</v>
      </c>
      <c r="M305">
        <v>-0.01079902795085952</v>
      </c>
      <c r="N305">
        <v>0.08</v>
      </c>
      <c r="O305">
        <v>0.08168771446187728</v>
      </c>
      <c r="P305" t="s">
        <v>372</v>
      </c>
      <c r="Q305" t="s">
        <v>586</v>
      </c>
      <c r="R305">
        <v>0</v>
      </c>
      <c r="S305">
        <v>0.2857142857142857</v>
      </c>
      <c r="T305">
        <v>76</v>
      </c>
      <c r="U305">
        <v>1.05578947368421</v>
      </c>
      <c r="V305">
        <v>3.1269</v>
      </c>
      <c r="W305">
        <v>4.2</v>
      </c>
      <c r="X305">
        <v>1.2</v>
      </c>
      <c r="Y305">
        <v>-0.110618</v>
      </c>
      <c r="Z305">
        <v>0.1501650165016502</v>
      </c>
      <c r="AA305">
        <v>0.5489566613162119</v>
      </c>
      <c r="AB305">
        <v>0.8274478330658106</v>
      </c>
      <c r="AC305">
        <v>0.492776886035313</v>
      </c>
      <c r="AD305">
        <v>0.5377207062600321</v>
      </c>
    </row>
    <row r="306" spans="1:30">
      <c r="A306" s="1" t="s">
        <v>313</v>
      </c>
      <c r="B306">
        <f>HYPERLINK("https://www.suredividend.com/sure-analysis-EXC/","Exelon Corp.")</f>
        <v>0</v>
      </c>
      <c r="C306">
        <v>35.52</v>
      </c>
      <c r="D306">
        <v>34614.38208</v>
      </c>
      <c r="E306" t="s">
        <v>663</v>
      </c>
      <c r="F306" t="s">
        <v>632</v>
      </c>
      <c r="G306" t="s">
        <v>671</v>
      </c>
      <c r="H306" t="s">
        <v>701</v>
      </c>
      <c r="I306" t="s">
        <v>1007</v>
      </c>
      <c r="J306" t="s">
        <v>1316</v>
      </c>
      <c r="K306">
        <v>44047</v>
      </c>
      <c r="L306">
        <v>0.04194819819819801</v>
      </c>
      <c r="M306">
        <v>0.02404114574123795</v>
      </c>
      <c r="N306">
        <v>0.02</v>
      </c>
      <c r="O306">
        <v>0.08039840353238303</v>
      </c>
      <c r="P306" t="s">
        <v>372</v>
      </c>
      <c r="Q306" t="s">
        <v>372</v>
      </c>
      <c r="R306">
        <v>5</v>
      </c>
      <c r="S306">
        <v>0.5050847457627118</v>
      </c>
      <c r="T306">
        <v>40</v>
      </c>
      <c r="U306">
        <v>0.8880000000000001</v>
      </c>
      <c r="V306">
        <v>2.7178</v>
      </c>
      <c r="W306">
        <v>2.95</v>
      </c>
      <c r="X306">
        <v>1.49</v>
      </c>
      <c r="Y306">
        <v>-0.277755</v>
      </c>
      <c r="Z306">
        <v>0.5759075907590759</v>
      </c>
      <c r="AA306">
        <v>0.3434991974317817</v>
      </c>
      <c r="AB306">
        <v>0.1613162118780096</v>
      </c>
      <c r="AC306">
        <v>0.682182985553772</v>
      </c>
      <c r="AD306">
        <v>0.5313001605136436</v>
      </c>
    </row>
    <row r="307" spans="1:30">
      <c r="A307" s="1" t="s">
        <v>314</v>
      </c>
      <c r="B307">
        <f>HYPERLINK("https://www.suredividend.com/sure-analysis-UMBF/","UMB Financial Corp.")</f>
        <v>0</v>
      </c>
      <c r="C307">
        <v>47.61</v>
      </c>
      <c r="D307">
        <v>2286.417879</v>
      </c>
      <c r="E307" t="s">
        <v>666</v>
      </c>
      <c r="F307" t="s">
        <v>632</v>
      </c>
      <c r="G307" t="s">
        <v>671</v>
      </c>
      <c r="H307" t="s">
        <v>701</v>
      </c>
      <c r="I307" t="s">
        <v>1008</v>
      </c>
      <c r="J307" t="s">
        <v>1313</v>
      </c>
      <c r="K307">
        <v>44041</v>
      </c>
      <c r="L307">
        <v>0.02583490863264</v>
      </c>
      <c r="M307">
        <v>-0.002575721421754884</v>
      </c>
      <c r="N307">
        <v>0.06</v>
      </c>
      <c r="O307">
        <v>0.07916482481956089</v>
      </c>
      <c r="P307" t="s">
        <v>372</v>
      </c>
      <c r="Q307" t="s">
        <v>446</v>
      </c>
      <c r="R307">
        <v>28</v>
      </c>
      <c r="S307">
        <v>0.3784615384615385</v>
      </c>
      <c r="T307">
        <v>47</v>
      </c>
      <c r="U307">
        <v>1.012978723404255</v>
      </c>
      <c r="V307">
        <v>3.8312</v>
      </c>
      <c r="W307">
        <v>3.25</v>
      </c>
      <c r="X307">
        <v>1.23</v>
      </c>
      <c r="Y307">
        <v>-0.26437</v>
      </c>
      <c r="Z307">
        <v>0.3448844884488449</v>
      </c>
      <c r="AA307">
        <v>0.3579454253611557</v>
      </c>
      <c r="AB307">
        <v>0.6597110754414125</v>
      </c>
      <c r="AC307">
        <v>0.5441412520064205</v>
      </c>
      <c r="AD307">
        <v>0.5200642054574639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52.82</v>
      </c>
      <c r="D308">
        <v>86897.070462</v>
      </c>
      <c r="E308" t="s">
        <v>667</v>
      </c>
      <c r="F308" t="s">
        <v>632</v>
      </c>
      <c r="G308" t="s">
        <v>687</v>
      </c>
      <c r="H308" t="s">
        <v>700</v>
      </c>
      <c r="I308" t="s">
        <v>1009</v>
      </c>
      <c r="J308" t="s">
        <v>1321</v>
      </c>
      <c r="K308">
        <v>44074</v>
      </c>
      <c r="L308">
        <v>0.027497160166603</v>
      </c>
      <c r="M308">
        <v>0.0325679921387001</v>
      </c>
      <c r="N308">
        <v>0.03</v>
      </c>
      <c r="O308">
        <v>0.07850712604902976</v>
      </c>
      <c r="P308" t="s">
        <v>372</v>
      </c>
      <c r="Q308" t="s">
        <v>446</v>
      </c>
      <c r="R308">
        <v>0</v>
      </c>
      <c r="S308">
        <v>0.4185590778097982</v>
      </c>
      <c r="T308">
        <v>62</v>
      </c>
      <c r="U308">
        <v>0.8519354838709677</v>
      </c>
      <c r="V308">
        <v>-0.3342</v>
      </c>
      <c r="W308">
        <v>3.47</v>
      </c>
      <c r="X308">
        <v>1.4524</v>
      </c>
      <c r="Y308">
        <v>-0.443883</v>
      </c>
      <c r="Z308">
        <v>0.3778877887788779</v>
      </c>
      <c r="AA308">
        <v>0.1476725521669342</v>
      </c>
      <c r="AB308">
        <v>0.2680577849117175</v>
      </c>
      <c r="AC308">
        <v>0.725521669341894</v>
      </c>
      <c r="AD308">
        <v>0.5168539325842696</v>
      </c>
    </row>
    <row r="309" spans="1:30">
      <c r="A309" s="1" t="s">
        <v>316</v>
      </c>
      <c r="B309">
        <f>HYPERLINK("https://www.suredividend.com/sure-analysis-ASML/","ASML Holding NV")</f>
        <v>0</v>
      </c>
      <c r="C309">
        <v>360.48</v>
      </c>
      <c r="D309">
        <v>150820.012022</v>
      </c>
      <c r="E309" t="s">
        <v>666</v>
      </c>
      <c r="F309" t="s">
        <v>632</v>
      </c>
      <c r="G309" t="s">
        <v>683</v>
      </c>
      <c r="H309" t="s">
        <v>701</v>
      </c>
      <c r="I309" t="s">
        <v>1010</v>
      </c>
      <c r="J309" t="s">
        <v>1320</v>
      </c>
      <c r="K309">
        <v>44040</v>
      </c>
      <c r="L309">
        <v>0.00728861517976</v>
      </c>
      <c r="M309">
        <v>-0.0465730293560761</v>
      </c>
      <c r="N309">
        <v>0.12</v>
      </c>
      <c r="O309">
        <v>0.07640139791208833</v>
      </c>
      <c r="P309" t="s">
        <v>372</v>
      </c>
      <c r="Q309" t="s">
        <v>586</v>
      </c>
      <c r="R309">
        <v>5</v>
      </c>
      <c r="S309">
        <v>0.3002742857142857</v>
      </c>
      <c r="T309">
        <v>284</v>
      </c>
      <c r="U309">
        <v>1.269295774647887</v>
      </c>
      <c r="V309">
        <v>7.6483</v>
      </c>
      <c r="W309">
        <v>8.75</v>
      </c>
      <c r="X309">
        <v>2.6274</v>
      </c>
      <c r="Y309">
        <v>0.453314</v>
      </c>
      <c r="Z309">
        <v>0.0462046204620462</v>
      </c>
      <c r="AA309">
        <v>0.9550561797752809</v>
      </c>
      <c r="AB309">
        <v>0.9534510433386838</v>
      </c>
      <c r="AC309">
        <v>0.2792937399678973</v>
      </c>
      <c r="AD309">
        <v>0.4991974317817015</v>
      </c>
    </row>
    <row r="310" spans="1:30">
      <c r="A310" s="1" t="s">
        <v>317</v>
      </c>
      <c r="B310">
        <f>HYPERLINK("https://www.suredividend.com/sure-analysis-GEF/","Greif, Inc.")</f>
        <v>0</v>
      </c>
      <c r="C310">
        <v>35.94</v>
      </c>
      <c r="D310">
        <v>1741.282218</v>
      </c>
      <c r="E310" t="s">
        <v>660</v>
      </c>
      <c r="F310" t="s">
        <v>632</v>
      </c>
      <c r="G310" t="s">
        <v>671</v>
      </c>
      <c r="H310" t="s">
        <v>700</v>
      </c>
      <c r="I310" t="s">
        <v>1011</v>
      </c>
      <c r="J310" t="s">
        <v>1318</v>
      </c>
      <c r="K310">
        <v>44070</v>
      </c>
      <c r="L310">
        <v>0.048970506399554</v>
      </c>
      <c r="M310">
        <v>0.005830336896247568</v>
      </c>
      <c r="N310">
        <v>0.03</v>
      </c>
      <c r="O310">
        <v>0.07589965042701863</v>
      </c>
      <c r="P310" t="s">
        <v>372</v>
      </c>
      <c r="Q310" t="s">
        <v>637</v>
      </c>
      <c r="R310">
        <v>0</v>
      </c>
      <c r="S310">
        <v>0.567741935483871</v>
      </c>
      <c r="T310">
        <v>37</v>
      </c>
      <c r="U310">
        <v>0.9713513513513513</v>
      </c>
      <c r="V310">
        <v>2.1832</v>
      </c>
      <c r="W310">
        <v>3.1</v>
      </c>
      <c r="X310">
        <v>1.76</v>
      </c>
      <c r="Y310">
        <v>-0.056445</v>
      </c>
      <c r="Z310">
        <v>0.6468646864686468</v>
      </c>
      <c r="AA310">
        <v>0.6163723916532906</v>
      </c>
      <c r="AB310">
        <v>0.2680577849117175</v>
      </c>
      <c r="AC310">
        <v>0.5922953451043339</v>
      </c>
      <c r="AD310">
        <v>0.4975922953451043</v>
      </c>
    </row>
    <row r="311" spans="1:30">
      <c r="A311" s="1" t="s">
        <v>318</v>
      </c>
      <c r="B311">
        <f>HYPERLINK("https://www.suredividend.com/sure-analysis-WEYS/","Weyco Group, Inc.")</f>
        <v>0</v>
      </c>
      <c r="C311">
        <v>15.48</v>
      </c>
      <c r="D311">
        <v>151.910968</v>
      </c>
      <c r="E311" t="s">
        <v>667</v>
      </c>
      <c r="F311" t="s">
        <v>632</v>
      </c>
      <c r="G311" t="s">
        <v>671</v>
      </c>
      <c r="H311" t="s">
        <v>701</v>
      </c>
      <c r="I311" t="s">
        <v>1012</v>
      </c>
      <c r="J311" t="s">
        <v>1318</v>
      </c>
      <c r="K311">
        <v>44083</v>
      </c>
      <c r="L311">
        <v>0.06201550387596801</v>
      </c>
      <c r="M311">
        <v>0.006629851624153416</v>
      </c>
      <c r="N311">
        <v>0.01</v>
      </c>
      <c r="O311">
        <v>0.07505816343069238</v>
      </c>
      <c r="P311" t="s">
        <v>372</v>
      </c>
      <c r="Q311" t="s">
        <v>636</v>
      </c>
      <c r="R311">
        <v>38</v>
      </c>
      <c r="S311">
        <v>0.9056603773584905</v>
      </c>
      <c r="T311">
        <v>16</v>
      </c>
      <c r="U311">
        <v>0.9675</v>
      </c>
      <c r="V311">
        <v>0.7693</v>
      </c>
      <c r="W311">
        <v>1.06</v>
      </c>
      <c r="X311">
        <v>0.96</v>
      </c>
      <c r="Y311">
        <v>-0.317761</v>
      </c>
      <c r="Z311">
        <v>0.7508250825082509</v>
      </c>
      <c r="AA311">
        <v>0.2969502407704655</v>
      </c>
      <c r="AB311">
        <v>0.08828250401284109</v>
      </c>
      <c r="AC311">
        <v>0.5971107544141252</v>
      </c>
      <c r="AD311">
        <v>0.4943820224719102</v>
      </c>
    </row>
    <row r="312" spans="1:30">
      <c r="A312" s="1" t="s">
        <v>319</v>
      </c>
      <c r="B312">
        <f>HYPERLINK("https://www.suredividend.com/sure-analysis-TU/","TELUS Corp.")</f>
        <v>0</v>
      </c>
      <c r="C312">
        <v>17.8</v>
      </c>
      <c r="D312">
        <v>22855.2</v>
      </c>
      <c r="E312" t="s">
        <v>661</v>
      </c>
      <c r="F312" t="s">
        <v>632</v>
      </c>
      <c r="G312" t="s">
        <v>673</v>
      </c>
      <c r="H312" t="s">
        <v>700</v>
      </c>
      <c r="I312" t="s">
        <v>1013</v>
      </c>
      <c r="J312" t="s">
        <v>1314</v>
      </c>
      <c r="K312">
        <v>44068</v>
      </c>
      <c r="L312">
        <v>0.048335272792996</v>
      </c>
      <c r="M312">
        <v>-0.03365044421988528</v>
      </c>
      <c r="N312">
        <v>0.07000000000000001</v>
      </c>
      <c r="O312">
        <v>0.07485656563632093</v>
      </c>
      <c r="P312" t="s">
        <v>372</v>
      </c>
      <c r="Q312" t="s">
        <v>372</v>
      </c>
      <c r="R312">
        <v>11</v>
      </c>
      <c r="S312">
        <v>0.9559642841281534</v>
      </c>
      <c r="T312">
        <v>15</v>
      </c>
      <c r="U312">
        <v>1.186666666666667</v>
      </c>
      <c r="V312">
        <v>0.8757</v>
      </c>
      <c r="W312">
        <v>0.9</v>
      </c>
      <c r="X312">
        <v>0.860367855715338</v>
      </c>
      <c r="Y312">
        <v>-0.003916999999999999</v>
      </c>
      <c r="Z312">
        <v>0.6320132013201321</v>
      </c>
      <c r="AA312">
        <v>0.6853932584269663</v>
      </c>
      <c r="AB312">
        <v>0.7504012841091493</v>
      </c>
      <c r="AC312">
        <v>0.3707865168539326</v>
      </c>
      <c r="AD312">
        <v>0.4911717495987159</v>
      </c>
    </row>
    <row r="313" spans="1:30">
      <c r="A313" s="1" t="s">
        <v>320</v>
      </c>
      <c r="B313">
        <f>HYPERLINK("https://www.suredividend.com/sure-analysis-SO/","The Southern Co.")</f>
        <v>0</v>
      </c>
      <c r="C313">
        <v>53.81</v>
      </c>
      <c r="D313">
        <v>56830.3553</v>
      </c>
      <c r="E313" t="s">
        <v>661</v>
      </c>
      <c r="F313" t="s">
        <v>632</v>
      </c>
      <c r="G313" t="s">
        <v>671</v>
      </c>
      <c r="H313" t="s">
        <v>700</v>
      </c>
      <c r="I313" t="s">
        <v>1014</v>
      </c>
      <c r="J313" t="s">
        <v>1316</v>
      </c>
      <c r="K313">
        <v>44054</v>
      </c>
      <c r="L313">
        <v>0.046831443969522</v>
      </c>
      <c r="M313">
        <v>-0.006819760148959797</v>
      </c>
      <c r="N313">
        <v>0.04</v>
      </c>
      <c r="O313">
        <v>0.07469743252327232</v>
      </c>
      <c r="P313" t="s">
        <v>372</v>
      </c>
      <c r="Q313" t="s">
        <v>637</v>
      </c>
      <c r="R313">
        <v>19</v>
      </c>
      <c r="S313">
        <v>0.7875</v>
      </c>
      <c r="T313">
        <v>52</v>
      </c>
      <c r="U313">
        <v>1.034807692307692</v>
      </c>
      <c r="V313">
        <v>3.0652</v>
      </c>
      <c r="W313">
        <v>3.2</v>
      </c>
      <c r="X313">
        <v>2.52</v>
      </c>
      <c r="Y313">
        <v>-0.130133</v>
      </c>
      <c r="Z313">
        <v>0.6221122112211221</v>
      </c>
      <c r="AA313">
        <v>0.521669341894061</v>
      </c>
      <c r="AB313">
        <v>0.4012841091492777</v>
      </c>
      <c r="AC313">
        <v>0.5152487961476726</v>
      </c>
      <c r="AD313">
        <v>0.4895666131621188</v>
      </c>
    </row>
    <row r="314" spans="1:30">
      <c r="A314" s="1" t="s">
        <v>321</v>
      </c>
      <c r="B314">
        <f>HYPERLINK("https://www.suredividend.com/sure-analysis-DUK/","Duke Energy Corp.")</f>
        <v>0</v>
      </c>
      <c r="C314">
        <v>82.47</v>
      </c>
      <c r="D314">
        <v>60651.07704</v>
      </c>
      <c r="E314" t="s">
        <v>669</v>
      </c>
      <c r="F314" t="s">
        <v>632</v>
      </c>
      <c r="G314" t="s">
        <v>671</v>
      </c>
      <c r="H314" t="s">
        <v>700</v>
      </c>
      <c r="I314" t="s">
        <v>1015</v>
      </c>
      <c r="J314" t="s">
        <v>1316</v>
      </c>
      <c r="K314">
        <v>44006</v>
      </c>
      <c r="L314">
        <v>0.045834849036013</v>
      </c>
      <c r="M314">
        <v>-0.008560496166152953</v>
      </c>
      <c r="N314">
        <v>0.04</v>
      </c>
      <c r="O314">
        <v>0.07276055970066375</v>
      </c>
      <c r="P314" t="s">
        <v>372</v>
      </c>
      <c r="Q314" t="s">
        <v>637</v>
      </c>
      <c r="R314">
        <v>9</v>
      </c>
      <c r="S314">
        <v>0.7200000000000001</v>
      </c>
      <c r="T314">
        <v>79</v>
      </c>
      <c r="U314">
        <v>1.043924050632911</v>
      </c>
      <c r="V314">
        <v>2.8376</v>
      </c>
      <c r="W314">
        <v>5.25</v>
      </c>
      <c r="X314">
        <v>3.78</v>
      </c>
      <c r="Y314">
        <v>-0.142723</v>
      </c>
      <c r="Z314">
        <v>0.6122112211221122</v>
      </c>
      <c r="AA314">
        <v>0.5024077046548957</v>
      </c>
      <c r="AB314">
        <v>0.4012841091492777</v>
      </c>
      <c r="AC314">
        <v>0.5024077046548957</v>
      </c>
      <c r="AD314">
        <v>0.478330658105939</v>
      </c>
    </row>
    <row r="315" spans="1:30">
      <c r="A315" s="1" t="s">
        <v>322</v>
      </c>
      <c r="B315">
        <f>HYPERLINK("https://www.suredividend.com/sure-analysis-PDCO/","Patterson Cos., Inc.")</f>
        <v>0</v>
      </c>
      <c r="C315">
        <v>23.47</v>
      </c>
      <c r="D315">
        <v>2259.672824</v>
      </c>
      <c r="E315" t="s">
        <v>667</v>
      </c>
      <c r="F315" t="s">
        <v>632</v>
      </c>
      <c r="G315" t="s">
        <v>671</v>
      </c>
      <c r="H315" t="s">
        <v>701</v>
      </c>
      <c r="I315" t="s">
        <v>1016</v>
      </c>
      <c r="J315" t="s">
        <v>1315</v>
      </c>
      <c r="K315">
        <v>44042</v>
      </c>
      <c r="L315">
        <v>0.04431188751597701</v>
      </c>
      <c r="M315">
        <v>-0.004037585730462645</v>
      </c>
      <c r="N315">
        <v>0.04</v>
      </c>
      <c r="O315">
        <v>0.07171807501044358</v>
      </c>
      <c r="P315" t="s">
        <v>372</v>
      </c>
      <c r="Q315" t="s">
        <v>637</v>
      </c>
      <c r="R315">
        <v>0</v>
      </c>
      <c r="S315">
        <v>0.6459627329192547</v>
      </c>
      <c r="T315">
        <v>23</v>
      </c>
      <c r="U315">
        <v>1.020434782608696</v>
      </c>
      <c r="V315">
        <v>-6.2919</v>
      </c>
      <c r="W315">
        <v>1.61</v>
      </c>
      <c r="X315">
        <v>1.04</v>
      </c>
      <c r="Y315">
        <v>0.348076</v>
      </c>
      <c r="Z315">
        <v>0.599009900990099</v>
      </c>
      <c r="AA315">
        <v>0.92776886035313</v>
      </c>
      <c r="AB315">
        <v>0.4012841091492777</v>
      </c>
      <c r="AC315">
        <v>0.5409309791332263</v>
      </c>
      <c r="AD315">
        <v>0.4686998394863564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129.41</v>
      </c>
      <c r="D316">
        <v>75559.587275</v>
      </c>
      <c r="E316" t="s">
        <v>663</v>
      </c>
      <c r="F316" t="s">
        <v>632</v>
      </c>
      <c r="G316" t="s">
        <v>677</v>
      </c>
      <c r="H316" t="s">
        <v>700</v>
      </c>
      <c r="I316" t="s">
        <v>1017</v>
      </c>
      <c r="J316" t="s">
        <v>1321</v>
      </c>
      <c r="K316">
        <v>44052</v>
      </c>
      <c r="L316">
        <v>0.027435128660845</v>
      </c>
      <c r="M316">
        <v>-0.03374504915458532</v>
      </c>
      <c r="N316">
        <v>0.08</v>
      </c>
      <c r="O316">
        <v>0.06911080318110052</v>
      </c>
      <c r="P316" t="s">
        <v>372</v>
      </c>
      <c r="Q316" t="s">
        <v>372</v>
      </c>
      <c r="R316">
        <v>7</v>
      </c>
      <c r="S316">
        <v>0.5967025210084034</v>
      </c>
      <c r="T316">
        <v>109</v>
      </c>
      <c r="U316">
        <v>1.187247706422018</v>
      </c>
      <c r="V316">
        <v>3.0022</v>
      </c>
      <c r="W316">
        <v>5.95</v>
      </c>
      <c r="X316">
        <v>3.55038</v>
      </c>
      <c r="Y316">
        <v>-0.203288</v>
      </c>
      <c r="Z316">
        <v>0.3762376237623762</v>
      </c>
      <c r="AA316">
        <v>0.4141252006420546</v>
      </c>
      <c r="AB316">
        <v>0.8274478330658106</v>
      </c>
      <c r="AC316">
        <v>0.3659711075441412</v>
      </c>
      <c r="AD316">
        <v>0.4526484751203852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59.67</v>
      </c>
      <c r="D317">
        <v>36476.271</v>
      </c>
      <c r="E317" t="s">
        <v>661</v>
      </c>
      <c r="F317" t="s">
        <v>632</v>
      </c>
      <c r="G317" t="s">
        <v>671</v>
      </c>
      <c r="H317" t="s">
        <v>700</v>
      </c>
      <c r="I317" t="s">
        <v>1018</v>
      </c>
      <c r="J317" t="s">
        <v>1321</v>
      </c>
      <c r="K317">
        <v>44097</v>
      </c>
      <c r="L317">
        <v>0.032847326964974</v>
      </c>
      <c r="M317">
        <v>0.007690421250390989</v>
      </c>
      <c r="N317">
        <v>0.03</v>
      </c>
      <c r="O317">
        <v>0.0671133604549794</v>
      </c>
      <c r="P317" t="s">
        <v>372</v>
      </c>
      <c r="Q317" t="s">
        <v>372</v>
      </c>
      <c r="R317">
        <v>0</v>
      </c>
      <c r="S317">
        <v>0.536986301369863</v>
      </c>
      <c r="T317">
        <v>62</v>
      </c>
      <c r="U317">
        <v>0.9624193548387097</v>
      </c>
      <c r="V317">
        <v>3.7678</v>
      </c>
      <c r="W317">
        <v>3.65</v>
      </c>
      <c r="X317">
        <v>1.96</v>
      </c>
      <c r="Y317">
        <v>0.085106</v>
      </c>
      <c r="Z317">
        <v>0.4521452145214521</v>
      </c>
      <c r="AA317">
        <v>0.7640449438202248</v>
      </c>
      <c r="AB317">
        <v>0.2680577849117175</v>
      </c>
      <c r="AC317">
        <v>0.6019261637239165</v>
      </c>
      <c r="AD317">
        <v>0.4430176565008025</v>
      </c>
    </row>
    <row r="318" spans="1:30">
      <c r="A318" s="1" t="s">
        <v>325</v>
      </c>
      <c r="B318">
        <f>HYPERLINK("https://www.suredividend.com/sure-analysis-RELX/","RELX Plc")</f>
        <v>0</v>
      </c>
      <c r="C318">
        <v>22.26</v>
      </c>
      <c r="D318">
        <v>42864.011597</v>
      </c>
      <c r="E318" t="s">
        <v>662</v>
      </c>
      <c r="F318" t="s">
        <v>632</v>
      </c>
      <c r="G318" t="s">
        <v>677</v>
      </c>
      <c r="H318" t="s">
        <v>700</v>
      </c>
      <c r="I318" t="s">
        <v>1019</v>
      </c>
      <c r="J318" t="s">
        <v>1314</v>
      </c>
      <c r="K318">
        <v>44038</v>
      </c>
      <c r="L318">
        <v>0.025871428571428</v>
      </c>
      <c r="M318">
        <v>-0.02118420893632789</v>
      </c>
      <c r="N318">
        <v>0.06</v>
      </c>
      <c r="O318">
        <v>0.06496057193975568</v>
      </c>
      <c r="P318" t="s">
        <v>372</v>
      </c>
      <c r="Q318" t="s">
        <v>446</v>
      </c>
      <c r="R318">
        <v>5</v>
      </c>
      <c r="S318">
        <v>0.6398866666666667</v>
      </c>
      <c r="T318">
        <v>20</v>
      </c>
      <c r="U318">
        <v>1.113</v>
      </c>
      <c r="V318">
        <v>0.8305</v>
      </c>
      <c r="W318">
        <v>0.9</v>
      </c>
      <c r="X318">
        <v>0.575898</v>
      </c>
      <c r="Y318">
        <v>-0.062737</v>
      </c>
      <c r="Z318">
        <v>0.3465346534653465</v>
      </c>
      <c r="AA318">
        <v>0.5987158908507223</v>
      </c>
      <c r="AB318">
        <v>0.6597110754414125</v>
      </c>
      <c r="AC318">
        <v>0.434991974317817</v>
      </c>
      <c r="AD318">
        <v>0.4253611556982344</v>
      </c>
    </row>
    <row r="319" spans="1:30">
      <c r="A319" s="1" t="s">
        <v>326</v>
      </c>
      <c r="B319">
        <f>HYPERLINK("https://www.suredividend.com/sure-analysis-CAT/","Caterpillar, Inc.")</f>
        <v>0</v>
      </c>
      <c r="C319">
        <v>145.91</v>
      </c>
      <c r="D319">
        <v>79011.28637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1319</v>
      </c>
      <c r="K319">
        <v>44049</v>
      </c>
      <c r="L319">
        <v>0.028236584195737</v>
      </c>
      <c r="M319">
        <v>-0.03834512463179651</v>
      </c>
      <c r="N319">
        <v>0.08</v>
      </c>
      <c r="O319">
        <v>0.06491813137619551</v>
      </c>
      <c r="P319" t="s">
        <v>372</v>
      </c>
      <c r="Q319" t="s">
        <v>372</v>
      </c>
      <c r="R319">
        <v>26</v>
      </c>
      <c r="S319">
        <v>0.8240000000000001</v>
      </c>
      <c r="T319">
        <v>120</v>
      </c>
      <c r="U319">
        <v>1.215916666666667</v>
      </c>
      <c r="V319">
        <v>7.5238</v>
      </c>
      <c r="W319">
        <v>5</v>
      </c>
      <c r="X319">
        <v>4.12</v>
      </c>
      <c r="Y319">
        <v>0.154443</v>
      </c>
      <c r="Z319">
        <v>0.3861386138613861</v>
      </c>
      <c r="AA319">
        <v>0.8154093097913322</v>
      </c>
      <c r="AB319">
        <v>0.8274478330658106</v>
      </c>
      <c r="AC319">
        <v>0.3290529695024077</v>
      </c>
      <c r="AD319">
        <v>0.4237560192616373</v>
      </c>
    </row>
    <row r="320" spans="1:30">
      <c r="A320" s="1" t="s">
        <v>327</v>
      </c>
      <c r="B320">
        <f>HYPERLINK("https://www.suredividend.com/sure-analysis-TPR/","Tapestry, Inc.")</f>
        <v>0</v>
      </c>
      <c r="C320">
        <v>16.36</v>
      </c>
      <c r="D320">
        <v>4519.30276</v>
      </c>
      <c r="E320" t="s">
        <v>668</v>
      </c>
      <c r="F320" t="s">
        <v>632</v>
      </c>
      <c r="G320" t="s">
        <v>671</v>
      </c>
      <c r="H320" t="s">
        <v>700</v>
      </c>
      <c r="I320" t="s">
        <v>1021</v>
      </c>
      <c r="J320" t="s">
        <v>1318</v>
      </c>
      <c r="K320">
        <v>43993</v>
      </c>
      <c r="L320">
        <v>0.041259168704156</v>
      </c>
      <c r="M320">
        <v>-0.004440234666738152</v>
      </c>
      <c r="N320">
        <v>0.05</v>
      </c>
      <c r="O320">
        <v>0.06219034044092853</v>
      </c>
      <c r="P320" t="s">
        <v>372</v>
      </c>
      <c r="Q320" t="s">
        <v>372</v>
      </c>
      <c r="R320">
        <v>0</v>
      </c>
      <c r="S320">
        <v>0.4354838709677419</v>
      </c>
      <c r="T320">
        <v>16</v>
      </c>
      <c r="U320">
        <v>1.0225</v>
      </c>
      <c r="V320">
        <v>-2.3632</v>
      </c>
      <c r="W320">
        <v>1.55</v>
      </c>
      <c r="X320">
        <v>0.675</v>
      </c>
      <c r="Y320">
        <v>-0.358683</v>
      </c>
      <c r="Z320">
        <v>0.5676567656765676</v>
      </c>
      <c r="AA320">
        <v>0.2487961476725521</v>
      </c>
      <c r="AB320">
        <v>0.5296950240770465</v>
      </c>
      <c r="AC320">
        <v>0.5393258426966292</v>
      </c>
      <c r="AD320">
        <v>0.4077046548956661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117.95</v>
      </c>
      <c r="D321">
        <v>5016.755555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44067</v>
      </c>
      <c r="L321">
        <v>0.04137346333192</v>
      </c>
      <c r="M321">
        <v>-0.03442180487989621</v>
      </c>
      <c r="N321">
        <v>0.061</v>
      </c>
      <c r="O321">
        <v>0.06200314063451939</v>
      </c>
      <c r="P321" t="s">
        <v>372</v>
      </c>
      <c r="Q321" t="s">
        <v>372</v>
      </c>
      <c r="R321">
        <v>9</v>
      </c>
      <c r="S321">
        <v>0.9366602687140115</v>
      </c>
      <c r="T321">
        <v>99</v>
      </c>
      <c r="U321">
        <v>1.191414141414141</v>
      </c>
      <c r="V321">
        <v>1.9834</v>
      </c>
      <c r="W321">
        <v>5.21</v>
      </c>
      <c r="X321">
        <v>4.88</v>
      </c>
      <c r="Y321">
        <v>-0.032324</v>
      </c>
      <c r="Z321">
        <v>0.5693069306930694</v>
      </c>
      <c r="AA321">
        <v>0.6420545746388443</v>
      </c>
      <c r="AB321">
        <v>0.7070626003210273</v>
      </c>
      <c r="AC321">
        <v>0.3611556982343499</v>
      </c>
      <c r="AD321">
        <v>0.406099518459069</v>
      </c>
    </row>
    <row r="322" spans="1:30">
      <c r="A322" s="1" t="s">
        <v>329</v>
      </c>
      <c r="B322">
        <f>HYPERLINK("https://www.suredividend.com/sure-analysis-PSA/","Public Storage")</f>
        <v>0</v>
      </c>
      <c r="C322">
        <v>218.47</v>
      </c>
      <c r="D322">
        <v>38189.21141</v>
      </c>
      <c r="E322" t="s">
        <v>669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44012</v>
      </c>
      <c r="L322">
        <v>0.036618299995422</v>
      </c>
      <c r="M322">
        <v>-0.0031970140742692</v>
      </c>
      <c r="N322">
        <v>0.03</v>
      </c>
      <c r="O322">
        <v>0.06102916215326482</v>
      </c>
      <c r="P322" t="s">
        <v>372</v>
      </c>
      <c r="Q322" t="s">
        <v>372</v>
      </c>
      <c r="R322">
        <v>0</v>
      </c>
      <c r="S322">
        <v>0.7434944237918216</v>
      </c>
      <c r="T322">
        <v>215</v>
      </c>
      <c r="U322">
        <v>1.016139534883721</v>
      </c>
      <c r="V322">
        <v>7.0173</v>
      </c>
      <c r="W322">
        <v>10.76</v>
      </c>
      <c r="X322">
        <v>8</v>
      </c>
      <c r="Y322">
        <v>-0.113604</v>
      </c>
      <c r="Z322">
        <v>0.5082508250825082</v>
      </c>
      <c r="AA322">
        <v>0.5457463884430177</v>
      </c>
      <c r="AB322">
        <v>0.2680577849117175</v>
      </c>
      <c r="AC322">
        <v>0.5425361155698234</v>
      </c>
      <c r="AD322">
        <v>0.3996789727126806</v>
      </c>
    </row>
    <row r="323" spans="1:30">
      <c r="A323" s="1" t="s">
        <v>330</v>
      </c>
      <c r="B323">
        <f>HYPERLINK("https://www.suredividend.com/sure-analysis-DEA/","Easterly Government Properties, Inc.")</f>
        <v>0</v>
      </c>
      <c r="C323">
        <v>22.63</v>
      </c>
      <c r="D323">
        <v>1999.580283</v>
      </c>
      <c r="E323" t="s">
        <v>669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44001</v>
      </c>
      <c r="L323">
        <v>0.04595669465311501</v>
      </c>
      <c r="M323">
        <v>-0.02440607267931794</v>
      </c>
      <c r="N323">
        <v>0.034</v>
      </c>
      <c r="O323">
        <v>0.05606319931758175</v>
      </c>
      <c r="P323" t="s">
        <v>372</v>
      </c>
      <c r="Q323" t="s">
        <v>372</v>
      </c>
      <c r="R323">
        <v>0</v>
      </c>
      <c r="S323">
        <v>0.8455284552845529</v>
      </c>
      <c r="T323">
        <v>20</v>
      </c>
      <c r="U323">
        <v>1.1315</v>
      </c>
      <c r="V323">
        <v>0.09530000000000001</v>
      </c>
      <c r="W323">
        <v>1.23</v>
      </c>
      <c r="X323">
        <v>1.04</v>
      </c>
      <c r="Y323">
        <v>0.06947099999999999</v>
      </c>
      <c r="Z323">
        <v>0.6138613861386139</v>
      </c>
      <c r="AA323">
        <v>0.7560192616372392</v>
      </c>
      <c r="AB323">
        <v>0.3282504012841091</v>
      </c>
      <c r="AC323">
        <v>0.4109149277688603</v>
      </c>
      <c r="AD323">
        <v>0.3804173354735153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12.06</v>
      </c>
      <c r="D324">
        <v>3206.754</v>
      </c>
      <c r="E324" t="s">
        <v>669</v>
      </c>
      <c r="F324" t="s">
        <v>632</v>
      </c>
      <c r="G324" t="s">
        <v>673</v>
      </c>
      <c r="H324" t="s">
        <v>702</v>
      </c>
      <c r="J324" t="s">
        <v>1316</v>
      </c>
      <c r="K324">
        <v>44013</v>
      </c>
      <c r="L324">
        <v>0.058066535048503</v>
      </c>
      <c r="M324">
        <v>-0.03676880648773395</v>
      </c>
      <c r="N324">
        <v>0.032</v>
      </c>
      <c r="O324">
        <v>0.04936176403807391</v>
      </c>
      <c r="P324" t="s">
        <v>372</v>
      </c>
      <c r="Q324" t="s">
        <v>637</v>
      </c>
      <c r="R324">
        <v>0</v>
      </c>
      <c r="S324">
        <v>0.6366203751681382</v>
      </c>
      <c r="T324">
        <v>10</v>
      </c>
      <c r="U324">
        <v>1.206</v>
      </c>
      <c r="V324">
        <v>0.2953</v>
      </c>
      <c r="W324">
        <v>1.1</v>
      </c>
      <c r="X324">
        <v>0.7002824126849521</v>
      </c>
      <c r="Y324">
        <v>0.186572</v>
      </c>
      <c r="Z324">
        <v>0.7277227722772277</v>
      </c>
      <c r="AA324">
        <v>0.8378812199036918</v>
      </c>
      <c r="AB324">
        <v>0.3234349919743178</v>
      </c>
      <c r="AC324">
        <v>0.346709470304976</v>
      </c>
      <c r="AD324">
        <v>0.3402889245585874</v>
      </c>
    </row>
    <row r="325" spans="1:30">
      <c r="A325" s="1" t="s">
        <v>332</v>
      </c>
      <c r="B325">
        <f>HYPERLINK("https://www.suredividend.com/sure-analysis-DOC/","Physicians Realty Trust")</f>
        <v>0</v>
      </c>
      <c r="C325">
        <v>17.41</v>
      </c>
      <c r="D325">
        <v>3623.78704</v>
      </c>
      <c r="E325" t="s">
        <v>663</v>
      </c>
      <c r="F325" t="s">
        <v>634</v>
      </c>
      <c r="G325" t="s">
        <v>671</v>
      </c>
      <c r="H325" t="s">
        <v>700</v>
      </c>
      <c r="I325" t="s">
        <v>1025</v>
      </c>
      <c r="J325" t="s">
        <v>1323</v>
      </c>
      <c r="K325">
        <v>44052</v>
      </c>
      <c r="L325">
        <v>0.052843193566915</v>
      </c>
      <c r="M325">
        <v>-0.01674934971544617</v>
      </c>
      <c r="N325">
        <v>0.017</v>
      </c>
      <c r="O325">
        <v>0.04797891256949649</v>
      </c>
      <c r="P325" t="s">
        <v>372</v>
      </c>
      <c r="Q325" t="s">
        <v>372</v>
      </c>
      <c r="R325">
        <v>0</v>
      </c>
      <c r="S325">
        <v>0.8761904761904762</v>
      </c>
      <c r="T325">
        <v>16</v>
      </c>
      <c r="U325">
        <v>1.088125</v>
      </c>
      <c r="V325">
        <v>0.4545</v>
      </c>
      <c r="W325">
        <v>1.05</v>
      </c>
      <c r="X325">
        <v>0.92</v>
      </c>
      <c r="Y325">
        <v>-0.02081</v>
      </c>
      <c r="Z325">
        <v>0.6815181518151815</v>
      </c>
      <c r="AA325">
        <v>0.6548956661316212</v>
      </c>
      <c r="AB325">
        <v>0.122792937399679</v>
      </c>
      <c r="AC325">
        <v>0.463884430176565</v>
      </c>
      <c r="AD325">
        <v>0.3338683788121991</v>
      </c>
    </row>
    <row r="326" spans="1:30">
      <c r="A326" s="1" t="s">
        <v>333</v>
      </c>
      <c r="B326">
        <f>HYPERLINK("https://www.suredividend.com/sure-analysis-MAR/","Marriott International, Inc.")</f>
        <v>0</v>
      </c>
      <c r="C326">
        <v>92.98999999999999</v>
      </c>
      <c r="D326">
        <v>30158.05185</v>
      </c>
      <c r="E326" t="s">
        <v>668</v>
      </c>
      <c r="F326" t="s">
        <v>632</v>
      </c>
      <c r="G326" t="s">
        <v>671</v>
      </c>
      <c r="H326" t="s">
        <v>701</v>
      </c>
      <c r="I326" t="s">
        <v>1026</v>
      </c>
      <c r="J326" t="s">
        <v>1318</v>
      </c>
      <c r="K326">
        <v>43993</v>
      </c>
      <c r="L326">
        <v>0.010323690719432</v>
      </c>
      <c r="M326">
        <v>-0.03454581154684999</v>
      </c>
      <c r="N326">
        <v>0.08</v>
      </c>
      <c r="O326">
        <v>0.04702139764758795</v>
      </c>
      <c r="P326" t="s">
        <v>372</v>
      </c>
      <c r="Q326" t="s">
        <v>586</v>
      </c>
      <c r="R326">
        <v>9</v>
      </c>
      <c r="S326">
        <v>0.2206896551724138</v>
      </c>
      <c r="T326">
        <v>78</v>
      </c>
      <c r="U326">
        <v>1.192179487179487</v>
      </c>
      <c r="V326">
        <v>1.4011</v>
      </c>
      <c r="W326">
        <v>4.35</v>
      </c>
      <c r="X326">
        <v>0.96</v>
      </c>
      <c r="Y326">
        <v>-0.23572</v>
      </c>
      <c r="Z326">
        <v>0.08415841584158416</v>
      </c>
      <c r="AA326">
        <v>0.3788121990369182</v>
      </c>
      <c r="AB326">
        <v>0.8274478330658106</v>
      </c>
      <c r="AC326">
        <v>0.3595505617977529</v>
      </c>
      <c r="AD326">
        <v>0.3322632423756019</v>
      </c>
    </row>
    <row r="327" spans="1:30">
      <c r="A327" s="1" t="s">
        <v>334</v>
      </c>
      <c r="B327">
        <f>HYPERLINK("https://www.suredividend.com/sure-analysis-CAG/","Conagra Brands, Inc.")</f>
        <v>0</v>
      </c>
      <c r="C327">
        <v>35.12</v>
      </c>
      <c r="D327">
        <v>17155.4176</v>
      </c>
      <c r="E327" t="s">
        <v>660</v>
      </c>
      <c r="F327" t="s">
        <v>632</v>
      </c>
      <c r="G327" t="s">
        <v>671</v>
      </c>
      <c r="H327" t="s">
        <v>700</v>
      </c>
      <c r="I327" t="s">
        <v>1027</v>
      </c>
      <c r="J327" t="s">
        <v>1321</v>
      </c>
      <c r="K327">
        <v>44014</v>
      </c>
      <c r="L327">
        <v>0.024202733485193</v>
      </c>
      <c r="M327">
        <v>-0.01843493217443526</v>
      </c>
      <c r="N327">
        <v>0.04</v>
      </c>
      <c r="O327">
        <v>0.04459182574057352</v>
      </c>
      <c r="P327" t="s">
        <v>372</v>
      </c>
      <c r="Q327" t="s">
        <v>446</v>
      </c>
      <c r="R327">
        <v>0</v>
      </c>
      <c r="S327">
        <v>0.3728070175438597</v>
      </c>
      <c r="T327">
        <v>32</v>
      </c>
      <c r="U327">
        <v>1.0975</v>
      </c>
      <c r="V327">
        <v>1.724</v>
      </c>
      <c r="W327">
        <v>2.28</v>
      </c>
      <c r="X327">
        <v>0.85</v>
      </c>
      <c r="Y327">
        <v>0.132903</v>
      </c>
      <c r="Z327">
        <v>0.3201320132013201</v>
      </c>
      <c r="AA327">
        <v>0.8057784911717496</v>
      </c>
      <c r="AB327">
        <v>0.4012841091492777</v>
      </c>
      <c r="AC327">
        <v>0.4558587479935794</v>
      </c>
      <c r="AD327">
        <v>0.3226324237560192</v>
      </c>
    </row>
    <row r="328" spans="1:30">
      <c r="A328" s="1" t="s">
        <v>335</v>
      </c>
      <c r="B328">
        <f>HYPERLINK("https://www.suredividend.com/sure-analysis-WDC/","Western Digital Corp.")</f>
        <v>0</v>
      </c>
      <c r="C328">
        <v>38.47</v>
      </c>
      <c r="D328">
        <v>11638.17522</v>
      </c>
      <c r="E328" t="s">
        <v>664</v>
      </c>
      <c r="F328" t="s">
        <v>632</v>
      </c>
      <c r="G328" t="s">
        <v>671</v>
      </c>
      <c r="H328" t="s">
        <v>701</v>
      </c>
      <c r="I328" t="s">
        <v>1028</v>
      </c>
      <c r="J328" t="s">
        <v>1320</v>
      </c>
      <c r="K328">
        <v>44050</v>
      </c>
      <c r="L328">
        <v>0.03899142188718401</v>
      </c>
      <c r="M328">
        <v>-0.02440100075946594</v>
      </c>
      <c r="N328">
        <v>0.07000000000000001</v>
      </c>
      <c r="O328">
        <v>0.04389092918737147</v>
      </c>
      <c r="P328" t="s">
        <v>372</v>
      </c>
      <c r="Q328" t="s">
        <v>446</v>
      </c>
      <c r="R328">
        <v>0</v>
      </c>
      <c r="S328">
        <v>0.4411764705882353</v>
      </c>
      <c r="T328">
        <v>34</v>
      </c>
      <c r="U328">
        <v>1.131470588235294</v>
      </c>
      <c r="V328">
        <v>-0.8487</v>
      </c>
      <c r="W328">
        <v>3.4</v>
      </c>
      <c r="X328">
        <v>1.5</v>
      </c>
      <c r="Y328">
        <v>-0.377508</v>
      </c>
      <c r="Z328">
        <v>0.5346534653465347</v>
      </c>
      <c r="AA328">
        <v>0.2215088282504013</v>
      </c>
      <c r="AB328">
        <v>0.7504012841091493</v>
      </c>
      <c r="AC328">
        <v>0.4125200642054574</v>
      </c>
      <c r="AD328">
        <v>0.317817014446228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138.32</v>
      </c>
      <c r="D329">
        <v>126693.37408</v>
      </c>
      <c r="E329" t="s">
        <v>664</v>
      </c>
      <c r="F329" t="s">
        <v>632</v>
      </c>
      <c r="G329" t="s">
        <v>671</v>
      </c>
      <c r="H329" t="s">
        <v>701</v>
      </c>
      <c r="I329" t="s">
        <v>1029</v>
      </c>
      <c r="J329" t="s">
        <v>1320</v>
      </c>
      <c r="K329">
        <v>44040</v>
      </c>
      <c r="L329">
        <v>0.025086755349913</v>
      </c>
      <c r="M329">
        <v>-0.06470191989437901</v>
      </c>
      <c r="N329">
        <v>0.08</v>
      </c>
      <c r="O329">
        <v>0.04081769823637615</v>
      </c>
      <c r="P329" t="s">
        <v>372</v>
      </c>
      <c r="Q329" t="s">
        <v>446</v>
      </c>
      <c r="R329">
        <v>16</v>
      </c>
      <c r="S329">
        <v>0.7081632653061224</v>
      </c>
      <c r="T329">
        <v>99</v>
      </c>
      <c r="U329">
        <v>1.397171717171717</v>
      </c>
      <c r="V329">
        <v>5.4149</v>
      </c>
      <c r="W329">
        <v>4.9</v>
      </c>
      <c r="X329">
        <v>3.47</v>
      </c>
      <c r="Y329">
        <v>0.07969699999999999</v>
      </c>
      <c r="Z329">
        <v>0.3300330033003301</v>
      </c>
      <c r="AA329">
        <v>0.7608346709470305</v>
      </c>
      <c r="AB329">
        <v>0.8274478330658106</v>
      </c>
      <c r="AC329">
        <v>0.1829855537720706</v>
      </c>
      <c r="AD329">
        <v>0.3001605136436597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60.82</v>
      </c>
      <c r="D330">
        <v>70802.926073</v>
      </c>
      <c r="E330" t="s">
        <v>661</v>
      </c>
      <c r="F330" t="s">
        <v>632</v>
      </c>
      <c r="G330" t="s">
        <v>677</v>
      </c>
      <c r="H330" t="s">
        <v>700</v>
      </c>
      <c r="I330" t="s">
        <v>1030</v>
      </c>
      <c r="J330" t="s">
        <v>1321</v>
      </c>
      <c r="K330">
        <v>44055</v>
      </c>
      <c r="L330">
        <v>0.029549490299243</v>
      </c>
      <c r="M330">
        <v>-0.03842155898708166</v>
      </c>
      <c r="N330">
        <v>0.05</v>
      </c>
      <c r="O330">
        <v>0.04020099162209445</v>
      </c>
      <c r="P330" t="s">
        <v>372</v>
      </c>
      <c r="Q330" t="s">
        <v>372</v>
      </c>
      <c r="R330">
        <v>5</v>
      </c>
      <c r="S330">
        <v>0.6418571428571429</v>
      </c>
      <c r="T330">
        <v>50</v>
      </c>
      <c r="U330">
        <v>1.2164</v>
      </c>
      <c r="V330">
        <v>2.4917</v>
      </c>
      <c r="W330">
        <v>2.8</v>
      </c>
      <c r="X330">
        <v>1.7972</v>
      </c>
      <c r="Y330">
        <v>0.002142</v>
      </c>
      <c r="Z330">
        <v>0.4092409240924093</v>
      </c>
      <c r="AA330">
        <v>0.6918138041733548</v>
      </c>
      <c r="AB330">
        <v>0.5296950240770465</v>
      </c>
      <c r="AC330">
        <v>0.3258426966292135</v>
      </c>
      <c r="AD330">
        <v>0.2937399678972712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161.71</v>
      </c>
      <c r="D331">
        <v>70712.06367</v>
      </c>
      <c r="E331" t="s">
        <v>666</v>
      </c>
      <c r="F331" t="s">
        <v>634</v>
      </c>
      <c r="G331" t="s">
        <v>671</v>
      </c>
      <c r="H331" t="s">
        <v>700</v>
      </c>
      <c r="I331" t="s">
        <v>1031</v>
      </c>
      <c r="J331" t="s">
        <v>1323</v>
      </c>
      <c r="K331">
        <v>44044</v>
      </c>
      <c r="L331">
        <v>0.029218972234246</v>
      </c>
      <c r="M331">
        <v>-0.05019461574937578</v>
      </c>
      <c r="N331">
        <v>0.06</v>
      </c>
      <c r="O331">
        <v>0.04006645484934257</v>
      </c>
      <c r="P331" t="s">
        <v>372</v>
      </c>
      <c r="Q331" t="s">
        <v>446</v>
      </c>
      <c r="R331">
        <v>6</v>
      </c>
      <c r="S331">
        <v>0.8289473684210525</v>
      </c>
      <c r="T331">
        <v>125</v>
      </c>
      <c r="U331">
        <v>1.29368</v>
      </c>
      <c r="V331">
        <v>1.8091</v>
      </c>
      <c r="W331">
        <v>5.7</v>
      </c>
      <c r="X331">
        <v>4.725</v>
      </c>
      <c r="Y331">
        <v>0.138803</v>
      </c>
      <c r="Z331">
        <v>0.4026402640264026</v>
      </c>
      <c r="AA331">
        <v>0.8089887640449439</v>
      </c>
      <c r="AB331">
        <v>0.6597110754414125</v>
      </c>
      <c r="AC331">
        <v>0.2487961476725521</v>
      </c>
      <c r="AD331">
        <v>0.2905296950240771</v>
      </c>
    </row>
    <row r="332" spans="1:30">
      <c r="A332" s="1" t="s">
        <v>339</v>
      </c>
      <c r="B332">
        <f>HYPERLINK("https://www.suredividend.com/sure-analysis-ERIC/","Telefonaktiebolaget LM Ericsson")</f>
        <v>0</v>
      </c>
      <c r="C332">
        <v>10.48</v>
      </c>
      <c r="D332">
        <v>32088.367187</v>
      </c>
      <c r="E332" t="s">
        <v>661</v>
      </c>
      <c r="F332" t="s">
        <v>632</v>
      </c>
      <c r="G332" t="s">
        <v>688</v>
      </c>
      <c r="H332" t="s">
        <v>701</v>
      </c>
      <c r="I332" t="s">
        <v>1032</v>
      </c>
      <c r="J332" t="s">
        <v>1320</v>
      </c>
      <c r="K332">
        <v>44057</v>
      </c>
      <c r="L332">
        <v>0.007127862595419</v>
      </c>
      <c r="M332">
        <v>-0.04557158195390565</v>
      </c>
      <c r="N332">
        <v>0.08</v>
      </c>
      <c r="O332">
        <v>0.03892396215726301</v>
      </c>
      <c r="P332" t="s">
        <v>372</v>
      </c>
      <c r="Q332" t="s">
        <v>586</v>
      </c>
      <c r="R332">
        <v>0</v>
      </c>
      <c r="S332">
        <v>0.1436538461538462</v>
      </c>
      <c r="T332">
        <v>8.300000000000001</v>
      </c>
      <c r="U332">
        <v>1.262650602409638</v>
      </c>
      <c r="V332">
        <v>0.08610000000000001</v>
      </c>
      <c r="W332">
        <v>0.52</v>
      </c>
      <c r="X332">
        <v>0.0747</v>
      </c>
      <c r="Y332">
        <v>0.308365</v>
      </c>
      <c r="Z332">
        <v>0.04455445544554456</v>
      </c>
      <c r="AA332">
        <v>0.9165329052969503</v>
      </c>
      <c r="AB332">
        <v>0.8274478330658106</v>
      </c>
      <c r="AC332">
        <v>0.2857142857142858</v>
      </c>
      <c r="AD332">
        <v>0.2792937399678973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48.35</v>
      </c>
      <c r="D333">
        <v>15121.009122</v>
      </c>
      <c r="E333" t="s">
        <v>661</v>
      </c>
      <c r="F333" t="s">
        <v>633</v>
      </c>
      <c r="G333" t="s">
        <v>680</v>
      </c>
      <c r="H333" t="s">
        <v>700</v>
      </c>
      <c r="I333" t="s">
        <v>1033</v>
      </c>
      <c r="J333" t="s">
        <v>1316</v>
      </c>
      <c r="K333">
        <v>44064</v>
      </c>
      <c r="L333">
        <v>0.04373732136889701</v>
      </c>
      <c r="M333">
        <v>-0.05728329153951406</v>
      </c>
      <c r="N333">
        <v>0.06</v>
      </c>
      <c r="O333">
        <v>0.03782637007277212</v>
      </c>
      <c r="P333" t="s">
        <v>372</v>
      </c>
      <c r="Q333" t="s">
        <v>372</v>
      </c>
      <c r="R333">
        <v>11</v>
      </c>
      <c r="S333">
        <v>0.8133459569946923</v>
      </c>
      <c r="T333">
        <v>36</v>
      </c>
      <c r="U333">
        <v>1.343055555555556</v>
      </c>
      <c r="V333">
        <v>-0.4637</v>
      </c>
      <c r="W333">
        <v>2.6</v>
      </c>
      <c r="X333">
        <v>2.1146994881862</v>
      </c>
      <c r="Y333">
        <v>0.5416989999999999</v>
      </c>
      <c r="Z333">
        <v>0.5957095709570958</v>
      </c>
      <c r="AA333">
        <v>0.9646869983948636</v>
      </c>
      <c r="AB333">
        <v>0.6597110754414125</v>
      </c>
      <c r="AC333">
        <v>0.2199036918138041</v>
      </c>
      <c r="AD333">
        <v>0.2696629213483146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181.82</v>
      </c>
      <c r="D334">
        <v>35089.392345</v>
      </c>
      <c r="E334" t="s">
        <v>660</v>
      </c>
      <c r="F334" t="s">
        <v>632</v>
      </c>
      <c r="G334" t="s">
        <v>671</v>
      </c>
      <c r="H334" t="s">
        <v>700</v>
      </c>
      <c r="I334" t="s">
        <v>1034</v>
      </c>
      <c r="J334" t="s">
        <v>1321</v>
      </c>
      <c r="K334">
        <v>44014</v>
      </c>
      <c r="L334">
        <v>0.016499835001649</v>
      </c>
      <c r="M334">
        <v>-0.02892762437929486</v>
      </c>
      <c r="N334">
        <v>0.05</v>
      </c>
      <c r="O334">
        <v>0.03675787015208187</v>
      </c>
      <c r="P334" t="s">
        <v>372</v>
      </c>
      <c r="Q334" t="s">
        <v>586</v>
      </c>
      <c r="R334">
        <v>4</v>
      </c>
      <c r="S334">
        <v>0.3448275862068966</v>
      </c>
      <c r="T334">
        <v>157</v>
      </c>
      <c r="U334">
        <v>1.158089171974522</v>
      </c>
      <c r="V334">
        <v>0.2977</v>
      </c>
      <c r="W334">
        <v>8.699999999999999</v>
      </c>
      <c r="X334">
        <v>3</v>
      </c>
      <c r="Y334">
        <v>-0.117678</v>
      </c>
      <c r="Z334">
        <v>0.1716171617161716</v>
      </c>
      <c r="AA334">
        <v>0.5409309791332263</v>
      </c>
      <c r="AB334">
        <v>0.5296950240770465</v>
      </c>
      <c r="AC334">
        <v>0.3900481540930979</v>
      </c>
      <c r="AD334">
        <v>0.2632423756019262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65.3</v>
      </c>
      <c r="D335">
        <v>106147.494531</v>
      </c>
      <c r="E335" t="s">
        <v>664</v>
      </c>
      <c r="F335" t="s">
        <v>632</v>
      </c>
      <c r="G335" t="s">
        <v>675</v>
      </c>
      <c r="H335" t="s">
        <v>702</v>
      </c>
      <c r="I335" t="s">
        <v>1035</v>
      </c>
      <c r="J335" t="s">
        <v>1319</v>
      </c>
      <c r="K335">
        <v>44070</v>
      </c>
      <c r="L335">
        <v>0.03245176110260301</v>
      </c>
      <c r="M335">
        <v>-0.04088090441454717</v>
      </c>
      <c r="N335">
        <v>0.045</v>
      </c>
      <c r="O335">
        <v>0.0366351736920334</v>
      </c>
      <c r="P335" t="s">
        <v>372</v>
      </c>
      <c r="Q335" t="s">
        <v>446</v>
      </c>
      <c r="R335">
        <v>6</v>
      </c>
      <c r="S335">
        <v>0.8476399999999999</v>
      </c>
      <c r="T335">
        <v>53</v>
      </c>
      <c r="U335">
        <v>1.232075471698113</v>
      </c>
      <c r="V335">
        <v>2.453</v>
      </c>
      <c r="W335">
        <v>2.5</v>
      </c>
      <c r="X335">
        <v>2.1191</v>
      </c>
      <c r="Y335">
        <v>0.248089</v>
      </c>
      <c r="Z335">
        <v>0.4488448844884488</v>
      </c>
      <c r="AA335">
        <v>0.8860353130016051</v>
      </c>
      <c r="AB335">
        <v>0.4542536115569824</v>
      </c>
      <c r="AC335">
        <v>0.3130016051364366</v>
      </c>
      <c r="AD335">
        <v>0.261637239165329</v>
      </c>
    </row>
    <row r="336" spans="1:30">
      <c r="A336" s="1" t="s">
        <v>343</v>
      </c>
      <c r="B336">
        <f>HYPERLINK("https://www.suredividend.com/sure-analysis-PAYX/","Paychex, Inc.")</f>
        <v>0</v>
      </c>
      <c r="C336">
        <v>77.7</v>
      </c>
      <c r="D336">
        <v>27970.2129</v>
      </c>
      <c r="E336" t="s">
        <v>663</v>
      </c>
      <c r="F336" t="s">
        <v>632</v>
      </c>
      <c r="G336" t="s">
        <v>671</v>
      </c>
      <c r="H336" t="s">
        <v>701</v>
      </c>
      <c r="I336" t="s">
        <v>1036</v>
      </c>
      <c r="J336" t="s">
        <v>1319</v>
      </c>
      <c r="K336">
        <v>44019</v>
      </c>
      <c r="L336">
        <v>0.031917631917631</v>
      </c>
      <c r="M336">
        <v>-0.05680520607844586</v>
      </c>
      <c r="N336">
        <v>0.06</v>
      </c>
      <c r="O336">
        <v>0.03440754366276066</v>
      </c>
      <c r="P336" t="s">
        <v>372</v>
      </c>
      <c r="Q336" t="s">
        <v>446</v>
      </c>
      <c r="R336">
        <v>9</v>
      </c>
      <c r="S336">
        <v>0.8985507246376813</v>
      </c>
      <c r="T336">
        <v>58</v>
      </c>
      <c r="U336">
        <v>1.339655172413793</v>
      </c>
      <c r="V336">
        <v>3.0633</v>
      </c>
      <c r="W336">
        <v>2.76</v>
      </c>
      <c r="X336">
        <v>2.48</v>
      </c>
      <c r="Y336">
        <v>-0.05898</v>
      </c>
      <c r="Z336">
        <v>0.4438943894389439</v>
      </c>
      <c r="AA336">
        <v>0.608346709470305</v>
      </c>
      <c r="AB336">
        <v>0.6597110754414125</v>
      </c>
      <c r="AC336">
        <v>0.2231139646869984</v>
      </c>
      <c r="AD336">
        <v>0.2471910112359551</v>
      </c>
    </row>
    <row r="337" spans="1:30">
      <c r="A337" s="1" t="s">
        <v>344</v>
      </c>
      <c r="B337">
        <f>HYPERLINK("https://www.suredividend.com/sure-analysis-CME/","CME Group, Inc.")</f>
        <v>0</v>
      </c>
      <c r="C337">
        <v>166.78</v>
      </c>
      <c r="D337">
        <v>59811.31072</v>
      </c>
      <c r="E337" t="s">
        <v>669</v>
      </c>
      <c r="F337" t="s">
        <v>632</v>
      </c>
      <c r="G337" t="s">
        <v>671</v>
      </c>
      <c r="H337" t="s">
        <v>701</v>
      </c>
      <c r="I337" t="s">
        <v>1037</v>
      </c>
      <c r="J337" t="s">
        <v>1313</v>
      </c>
      <c r="K337">
        <v>44067</v>
      </c>
      <c r="L337">
        <v>0.019186952872047</v>
      </c>
      <c r="M337">
        <v>-0.03440098685340587</v>
      </c>
      <c r="N337">
        <v>0.043</v>
      </c>
      <c r="O337">
        <v>0.029282488290439</v>
      </c>
      <c r="P337" t="s">
        <v>372</v>
      </c>
      <c r="Q337" t="s">
        <v>446</v>
      </c>
      <c r="R337">
        <v>17</v>
      </c>
      <c r="S337">
        <v>0.4577968526466381</v>
      </c>
      <c r="T337">
        <v>140</v>
      </c>
      <c r="U337">
        <v>1.191285714285714</v>
      </c>
      <c r="V337">
        <v>6.6449</v>
      </c>
      <c r="W337">
        <v>6.99</v>
      </c>
      <c r="X337">
        <v>3.2</v>
      </c>
      <c r="Y337">
        <v>-0.227835</v>
      </c>
      <c r="Z337">
        <v>0.2458745874587459</v>
      </c>
      <c r="AA337">
        <v>0.3868378812199037</v>
      </c>
      <c r="AB337">
        <v>0.4494382022471911</v>
      </c>
      <c r="AC337">
        <v>0.362760834670947</v>
      </c>
      <c r="AD337">
        <v>0.2199036918138041</v>
      </c>
    </row>
    <row r="338" spans="1:30">
      <c r="A338" s="1" t="s">
        <v>345</v>
      </c>
      <c r="B338">
        <f>HYPERLINK("https://www.suredividend.com/sure-analysis-CMI/","Cummins, Inc.")</f>
        <v>0</v>
      </c>
      <c r="C338">
        <v>208.63</v>
      </c>
      <c r="D338">
        <v>30809.64388</v>
      </c>
      <c r="E338" t="s">
        <v>663</v>
      </c>
      <c r="F338" t="s">
        <v>632</v>
      </c>
      <c r="G338" t="s">
        <v>671</v>
      </c>
      <c r="H338" t="s">
        <v>700</v>
      </c>
      <c r="I338" t="s">
        <v>1038</v>
      </c>
      <c r="J338" t="s">
        <v>1319</v>
      </c>
      <c r="K338">
        <v>44040</v>
      </c>
      <c r="L338">
        <v>0.025135407180175</v>
      </c>
      <c r="M338">
        <v>-0.0753689552245328</v>
      </c>
      <c r="N338">
        <v>0.08</v>
      </c>
      <c r="O338">
        <v>0.02633226566703661</v>
      </c>
      <c r="P338" t="s">
        <v>372</v>
      </c>
      <c r="Q338" t="s">
        <v>446</v>
      </c>
      <c r="R338">
        <v>14</v>
      </c>
      <c r="S338">
        <v>0.6927344782034346</v>
      </c>
      <c r="T338">
        <v>141</v>
      </c>
      <c r="U338">
        <v>1.479645390070922</v>
      </c>
      <c r="V338">
        <v>11.2625</v>
      </c>
      <c r="W338">
        <v>7.57</v>
      </c>
      <c r="X338">
        <v>5.244</v>
      </c>
      <c r="Y338">
        <v>0.304345</v>
      </c>
      <c r="Z338">
        <v>0.3316831683168317</v>
      </c>
      <c r="AA338">
        <v>0.913322632423756</v>
      </c>
      <c r="AB338">
        <v>0.8274478330658106</v>
      </c>
      <c r="AC338">
        <v>0.14446227929374</v>
      </c>
      <c r="AD338">
        <v>0.2086677367576244</v>
      </c>
    </row>
    <row r="339" spans="1:30">
      <c r="A339" s="1" t="s">
        <v>346</v>
      </c>
      <c r="B339">
        <f>HYPERLINK("https://www.suredividend.com/sure-analysis-NEM/","Newmont Corp.")</f>
        <v>0</v>
      </c>
      <c r="C339">
        <v>61.42</v>
      </c>
      <c r="D339">
        <v>49324.62082</v>
      </c>
      <c r="E339" t="s">
        <v>664</v>
      </c>
      <c r="F339" t="s">
        <v>632</v>
      </c>
      <c r="G339" t="s">
        <v>671</v>
      </c>
      <c r="H339" t="s">
        <v>700</v>
      </c>
      <c r="I339" t="s">
        <v>1039</v>
      </c>
      <c r="J339" t="s">
        <v>1322</v>
      </c>
      <c r="K339">
        <v>44050</v>
      </c>
      <c r="L339">
        <v>0.010908498860306</v>
      </c>
      <c r="M339">
        <v>-0.04030763779805646</v>
      </c>
      <c r="N339">
        <v>0.05</v>
      </c>
      <c r="O339">
        <v>0.02489820059509995</v>
      </c>
      <c r="P339" t="s">
        <v>372</v>
      </c>
      <c r="Q339" t="s">
        <v>586</v>
      </c>
      <c r="R339">
        <v>5</v>
      </c>
      <c r="S339">
        <v>0.2791666666666667</v>
      </c>
      <c r="T339">
        <v>50</v>
      </c>
      <c r="U339">
        <v>1.2284</v>
      </c>
      <c r="V339">
        <v>4.7938</v>
      </c>
      <c r="W339">
        <v>2.4</v>
      </c>
      <c r="X339">
        <v>0.67</v>
      </c>
      <c r="Y339">
        <v>0.560071</v>
      </c>
      <c r="Z339">
        <v>0.09405940594059406</v>
      </c>
      <c r="AA339">
        <v>0.9695024077046548</v>
      </c>
      <c r="AB339">
        <v>0.5296950240770465</v>
      </c>
      <c r="AC339">
        <v>0.3162118780096308</v>
      </c>
      <c r="AD339">
        <v>0.2054574638844302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142.02</v>
      </c>
      <c r="D340">
        <v>38202.6699</v>
      </c>
      <c r="E340" t="s">
        <v>660</v>
      </c>
      <c r="F340" t="s">
        <v>634</v>
      </c>
      <c r="G340" t="s">
        <v>671</v>
      </c>
      <c r="H340" t="s">
        <v>700</v>
      </c>
      <c r="I340" t="s">
        <v>1040</v>
      </c>
      <c r="J340" t="s">
        <v>1323</v>
      </c>
      <c r="K340">
        <v>44049</v>
      </c>
      <c r="L340">
        <v>0.030981551894099</v>
      </c>
      <c r="M340">
        <v>-0.08517425754445418</v>
      </c>
      <c r="N340">
        <v>0.08</v>
      </c>
      <c r="O340">
        <v>0.02475608212656311</v>
      </c>
      <c r="P340" t="s">
        <v>372</v>
      </c>
      <c r="Q340" t="s">
        <v>372</v>
      </c>
      <c r="R340">
        <v>16</v>
      </c>
      <c r="S340">
        <v>0.7272727272727274</v>
      </c>
      <c r="T340">
        <v>91</v>
      </c>
      <c r="U340">
        <v>1.560659340659341</v>
      </c>
      <c r="V340">
        <v>2.8644</v>
      </c>
      <c r="W340">
        <v>6.05</v>
      </c>
      <c r="X340">
        <v>4.4</v>
      </c>
      <c r="Y340">
        <v>0.104956</v>
      </c>
      <c r="Z340">
        <v>0.433993399339934</v>
      </c>
      <c r="AA340">
        <v>0.7752808988764045</v>
      </c>
      <c r="AB340">
        <v>0.8274478330658106</v>
      </c>
      <c r="AC340">
        <v>0.1187800963081862</v>
      </c>
      <c r="AD340">
        <v>0.203852327447833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25.09</v>
      </c>
      <c r="D341">
        <v>53556.521801</v>
      </c>
      <c r="E341" t="s">
        <v>661</v>
      </c>
      <c r="F341" t="s">
        <v>632</v>
      </c>
      <c r="G341" t="s">
        <v>676</v>
      </c>
      <c r="H341" t="s">
        <v>700</v>
      </c>
      <c r="I341" t="s">
        <v>1041</v>
      </c>
      <c r="J341" t="s">
        <v>1319</v>
      </c>
      <c r="K341">
        <v>44056</v>
      </c>
      <c r="L341">
        <v>0.032889597449182</v>
      </c>
      <c r="M341">
        <v>-0.05408832040812528</v>
      </c>
      <c r="N341">
        <v>0.05</v>
      </c>
      <c r="O341">
        <v>0.02443969686721514</v>
      </c>
      <c r="P341" t="s">
        <v>372</v>
      </c>
      <c r="Q341" t="s">
        <v>372</v>
      </c>
      <c r="R341">
        <v>0</v>
      </c>
      <c r="S341">
        <v>0.7113793103448277</v>
      </c>
      <c r="T341">
        <v>19</v>
      </c>
      <c r="U341">
        <v>1.320526315789474</v>
      </c>
      <c r="V341">
        <v>0.72</v>
      </c>
      <c r="W341">
        <v>1.16</v>
      </c>
      <c r="X341">
        <v>0.8252</v>
      </c>
      <c r="Y341">
        <v>0.290638</v>
      </c>
      <c r="Z341">
        <v>0.4537953795379538</v>
      </c>
      <c r="AA341">
        <v>0.9004815409309791</v>
      </c>
      <c r="AB341">
        <v>0.5296950240770465</v>
      </c>
      <c r="AC341">
        <v>0.2295345104333869</v>
      </c>
      <c r="AD341">
        <v>0.202247191011236</v>
      </c>
    </row>
    <row r="342" spans="1:30">
      <c r="A342" s="1" t="s">
        <v>349</v>
      </c>
      <c r="B342">
        <f>HYPERLINK("https://www.suredividend.com/sure-analysis-V/","Visa, Inc.")</f>
        <v>0</v>
      </c>
      <c r="C342">
        <v>197.25</v>
      </c>
      <c r="D342">
        <v>383135.075943</v>
      </c>
      <c r="E342" t="s">
        <v>660</v>
      </c>
      <c r="F342" t="s">
        <v>632</v>
      </c>
      <c r="G342" t="s">
        <v>671</v>
      </c>
      <c r="H342" t="s">
        <v>700</v>
      </c>
      <c r="I342" t="s">
        <v>1042</v>
      </c>
      <c r="J342" t="s">
        <v>1313</v>
      </c>
      <c r="K342">
        <v>44042</v>
      </c>
      <c r="L342">
        <v>0.005830164765525001</v>
      </c>
      <c r="M342">
        <v>-0.1102353761222159</v>
      </c>
      <c r="N342">
        <v>0.14</v>
      </c>
      <c r="O342">
        <v>0.02287126941835527</v>
      </c>
      <c r="P342" t="s">
        <v>372</v>
      </c>
      <c r="Q342" t="s">
        <v>586</v>
      </c>
      <c r="R342">
        <v>12</v>
      </c>
      <c r="S342">
        <v>0.23</v>
      </c>
      <c r="T342">
        <v>110</v>
      </c>
      <c r="U342">
        <v>1.793181818181818</v>
      </c>
      <c r="V342">
        <v>5.269</v>
      </c>
      <c r="W342">
        <v>5</v>
      </c>
      <c r="X342">
        <v>1.15</v>
      </c>
      <c r="Y342">
        <v>0.122972</v>
      </c>
      <c r="Z342">
        <v>0.0231023102310231</v>
      </c>
      <c r="AA342">
        <v>0.797752808988764</v>
      </c>
      <c r="AB342">
        <v>0.9703049759229535</v>
      </c>
      <c r="AC342">
        <v>0.05939004815409309</v>
      </c>
      <c r="AD342">
        <v>0.1974317817014446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183.37</v>
      </c>
      <c r="D343">
        <v>17300.831141</v>
      </c>
      <c r="E343" t="s">
        <v>664</v>
      </c>
      <c r="F343" t="s">
        <v>632</v>
      </c>
      <c r="G343" t="s">
        <v>671</v>
      </c>
      <c r="H343" t="s">
        <v>700</v>
      </c>
      <c r="I343" t="s">
        <v>1043</v>
      </c>
      <c r="J343" t="s">
        <v>1319</v>
      </c>
      <c r="K343">
        <v>44036</v>
      </c>
      <c r="L343">
        <v>0.008507389431204</v>
      </c>
      <c r="M343">
        <v>-0.06504953459375695</v>
      </c>
      <c r="N343">
        <v>0.08</v>
      </c>
      <c r="O343">
        <v>0.02046226371694382</v>
      </c>
      <c r="P343" t="s">
        <v>372</v>
      </c>
      <c r="Q343" t="s">
        <v>586</v>
      </c>
      <c r="R343">
        <v>1</v>
      </c>
      <c r="S343">
        <v>0.3</v>
      </c>
      <c r="T343">
        <v>131</v>
      </c>
      <c r="U343">
        <v>1.399770992366412</v>
      </c>
      <c r="V343">
        <v>5.8658</v>
      </c>
      <c r="W343">
        <v>5.2</v>
      </c>
      <c r="X343">
        <v>1.56</v>
      </c>
      <c r="Y343">
        <v>0.376135</v>
      </c>
      <c r="Z343">
        <v>0.0627062706270627</v>
      </c>
      <c r="AA343">
        <v>0.9373996789727127</v>
      </c>
      <c r="AB343">
        <v>0.8274478330658106</v>
      </c>
      <c r="AC343">
        <v>0.1813804173354735</v>
      </c>
      <c r="AD343">
        <v>0.1878009630818619</v>
      </c>
    </row>
    <row r="344" spans="1:30">
      <c r="A344" s="1" t="s">
        <v>351</v>
      </c>
      <c r="B344">
        <f>HYPERLINK("https://www.suredividend.com/sure-analysis-EMN/","Eastman Chemical Co.")</f>
        <v>0</v>
      </c>
      <c r="C344">
        <v>77.3</v>
      </c>
      <c r="D344">
        <v>10462.555</v>
      </c>
      <c r="E344" t="s">
        <v>662</v>
      </c>
      <c r="F344" t="s">
        <v>632</v>
      </c>
      <c r="G344" t="s">
        <v>671</v>
      </c>
      <c r="H344" t="s">
        <v>700</v>
      </c>
      <c r="I344" t="s">
        <v>1044</v>
      </c>
      <c r="J344" t="s">
        <v>1322</v>
      </c>
      <c r="K344">
        <v>44053</v>
      </c>
      <c r="L344">
        <v>0.033635187580853</v>
      </c>
      <c r="M344">
        <v>-0.06580693468851317</v>
      </c>
      <c r="N344">
        <v>0.05</v>
      </c>
      <c r="O344">
        <v>0.02040322419600349</v>
      </c>
      <c r="P344" t="s">
        <v>372</v>
      </c>
      <c r="Q344" t="s">
        <v>372</v>
      </c>
      <c r="R344">
        <v>10</v>
      </c>
      <c r="S344">
        <v>0.6190476190476191</v>
      </c>
      <c r="T344">
        <v>55</v>
      </c>
      <c r="U344">
        <v>1.405454545454546</v>
      </c>
      <c r="V344">
        <v>4.2324</v>
      </c>
      <c r="W344">
        <v>4.2</v>
      </c>
      <c r="X344">
        <v>2.6</v>
      </c>
      <c r="Y344">
        <v>0.066943</v>
      </c>
      <c r="Z344">
        <v>0.4636963696369637</v>
      </c>
      <c r="AA344">
        <v>0.7512038523274478</v>
      </c>
      <c r="AB344">
        <v>0.5296950240770465</v>
      </c>
      <c r="AC344">
        <v>0.1765650080256822</v>
      </c>
      <c r="AD344">
        <v>0.1861958266452648</v>
      </c>
    </row>
    <row r="345" spans="1:30">
      <c r="A345" s="1" t="s">
        <v>352</v>
      </c>
      <c r="B345">
        <f>HYPERLINK("https://www.suredividend.com/sure-analysis-SKM/","SK Telecom Co., Ltd.")</f>
        <v>0</v>
      </c>
      <c r="C345">
        <v>21.94</v>
      </c>
      <c r="D345">
        <v>14441.665267</v>
      </c>
      <c r="E345" t="s">
        <v>665</v>
      </c>
      <c r="F345" t="s">
        <v>632</v>
      </c>
      <c r="G345" t="s">
        <v>689</v>
      </c>
      <c r="H345" t="s">
        <v>700</v>
      </c>
      <c r="I345" t="s">
        <v>1045</v>
      </c>
      <c r="J345" t="s">
        <v>1314</v>
      </c>
      <c r="K345">
        <v>44007</v>
      </c>
      <c r="L345">
        <v>0.041203281677301</v>
      </c>
      <c r="M345">
        <v>-0.07323221901642518</v>
      </c>
      <c r="N345">
        <v>0.05</v>
      </c>
      <c r="O345">
        <v>0.01933121461275245</v>
      </c>
      <c r="P345" t="s">
        <v>372</v>
      </c>
      <c r="Q345" t="s">
        <v>637</v>
      </c>
      <c r="R345">
        <v>0</v>
      </c>
      <c r="S345">
        <v>0.6026666666666667</v>
      </c>
      <c r="T345">
        <v>15</v>
      </c>
      <c r="U345">
        <v>1.462666666666667</v>
      </c>
      <c r="V345">
        <v>1.2269</v>
      </c>
      <c r="W345">
        <v>1.5</v>
      </c>
      <c r="X345">
        <v>0.904</v>
      </c>
      <c r="Y345">
        <v>-0.004085</v>
      </c>
      <c r="Z345">
        <v>0.566006600660066</v>
      </c>
      <c r="AA345">
        <v>0.6837881219903692</v>
      </c>
      <c r="AB345">
        <v>0.5296950240770465</v>
      </c>
      <c r="AC345">
        <v>0.1540930979133227</v>
      </c>
      <c r="AD345">
        <v>0.1845906902086678</v>
      </c>
    </row>
    <row r="346" spans="1:30">
      <c r="A346" s="1" t="s">
        <v>353</v>
      </c>
      <c r="B346">
        <f>HYPERLINK("https://www.suredividend.com/sure-analysis-NSRGY/","Nestlé SA")</f>
        <v>0</v>
      </c>
      <c r="C346">
        <v>118.77</v>
      </c>
      <c r="D346">
        <v>330780.322226</v>
      </c>
      <c r="E346" t="s">
        <v>661</v>
      </c>
      <c r="F346" t="s">
        <v>632</v>
      </c>
      <c r="G346" t="s">
        <v>676</v>
      </c>
      <c r="H346" t="s">
        <v>702</v>
      </c>
      <c r="I346" t="s">
        <v>1046</v>
      </c>
      <c r="J346" t="s">
        <v>1321</v>
      </c>
      <c r="K346">
        <v>44055</v>
      </c>
      <c r="L346">
        <v>0.02332154584491</v>
      </c>
      <c r="M346">
        <v>-0.05396511651588487</v>
      </c>
      <c r="N346">
        <v>0.05</v>
      </c>
      <c r="O346">
        <v>0.01820285157770152</v>
      </c>
      <c r="P346" t="s">
        <v>372</v>
      </c>
      <c r="Q346" t="s">
        <v>446</v>
      </c>
      <c r="R346">
        <v>3</v>
      </c>
      <c r="S346">
        <v>0.5539799999999999</v>
      </c>
      <c r="T346">
        <v>90</v>
      </c>
      <c r="U346">
        <v>1.319666666666667</v>
      </c>
      <c r="V346">
        <v>4.7834</v>
      </c>
      <c r="W346">
        <v>5</v>
      </c>
      <c r="X346">
        <v>2.7699</v>
      </c>
      <c r="Y346">
        <v>0.093848</v>
      </c>
      <c r="Z346">
        <v>0.3102310231023103</v>
      </c>
      <c r="AA346">
        <v>0.768860353130016</v>
      </c>
      <c r="AB346">
        <v>0.5296950240770465</v>
      </c>
      <c r="AC346">
        <v>0.2311396468699839</v>
      </c>
      <c r="AD346">
        <v>0.1813804173354735</v>
      </c>
    </row>
    <row r="347" spans="1:30">
      <c r="A347" s="1" t="s">
        <v>354</v>
      </c>
      <c r="B347">
        <f>HYPERLINK("https://www.suredividend.com/sure-analysis-DNKN/","Dunkin' Brands Group, Inc.")</f>
        <v>0</v>
      </c>
      <c r="C347">
        <v>79.25</v>
      </c>
      <c r="D347">
        <v>6520.2462</v>
      </c>
      <c r="E347" t="s">
        <v>667</v>
      </c>
      <c r="F347" t="s">
        <v>632</v>
      </c>
      <c r="G347" t="s">
        <v>671</v>
      </c>
      <c r="H347" t="s">
        <v>701</v>
      </c>
      <c r="I347" t="s">
        <v>1047</v>
      </c>
      <c r="J347" t="s">
        <v>1318</v>
      </c>
      <c r="K347">
        <v>44074</v>
      </c>
      <c r="L347">
        <v>0.014542586750788</v>
      </c>
      <c r="M347">
        <v>-0.0773110496754873</v>
      </c>
      <c r="N347">
        <v>0.08</v>
      </c>
      <c r="O347">
        <v>0.01540829004799882</v>
      </c>
      <c r="P347" t="s">
        <v>372</v>
      </c>
      <c r="Q347" t="s">
        <v>586</v>
      </c>
      <c r="R347">
        <v>0</v>
      </c>
      <c r="S347">
        <v>0.4316479400749064</v>
      </c>
      <c r="T347">
        <v>53</v>
      </c>
      <c r="U347">
        <v>1.495283018867924</v>
      </c>
      <c r="V347">
        <v>2.643</v>
      </c>
      <c r="W347">
        <v>2.67</v>
      </c>
      <c r="X347">
        <v>1.1525</v>
      </c>
      <c r="Y347">
        <v>0.008782999999999999</v>
      </c>
      <c r="Z347">
        <v>0.1419141914191419</v>
      </c>
      <c r="AA347">
        <v>0.7126805778491172</v>
      </c>
      <c r="AB347">
        <v>0.8274478330658106</v>
      </c>
      <c r="AC347">
        <v>0.1412520064205458</v>
      </c>
      <c r="AD347">
        <v>0.1685393258426967</v>
      </c>
    </row>
    <row r="348" spans="1:30">
      <c r="A348" s="1" t="s">
        <v>355</v>
      </c>
      <c r="B348">
        <f>HYPERLINK("https://www.suredividend.com/sure-analysis-MRVL/","Marvell Technology Group Ltd.")</f>
        <v>0</v>
      </c>
      <c r="C348">
        <v>38.05</v>
      </c>
      <c r="D348">
        <v>25499.588</v>
      </c>
      <c r="E348" t="s">
        <v>668</v>
      </c>
      <c r="F348" t="s">
        <v>632</v>
      </c>
      <c r="G348" t="s">
        <v>680</v>
      </c>
      <c r="H348" t="s">
        <v>701</v>
      </c>
      <c r="I348" t="s">
        <v>1048</v>
      </c>
      <c r="J348" t="s">
        <v>1320</v>
      </c>
      <c r="K348">
        <v>43993</v>
      </c>
      <c r="L348">
        <v>0.006307490144546001</v>
      </c>
      <c r="M348">
        <v>-0.1590831316041064</v>
      </c>
      <c r="N348">
        <v>0.2</v>
      </c>
      <c r="O348">
        <v>0.01511122344744598</v>
      </c>
      <c r="P348" t="s">
        <v>372</v>
      </c>
      <c r="Q348" t="s">
        <v>586</v>
      </c>
      <c r="R348">
        <v>0</v>
      </c>
      <c r="S348">
        <v>0.2580645161290323</v>
      </c>
      <c r="T348">
        <v>16</v>
      </c>
      <c r="U348">
        <v>2.378125</v>
      </c>
      <c r="V348">
        <v>2.1331</v>
      </c>
      <c r="W348">
        <v>0.93</v>
      </c>
      <c r="X348">
        <v>0.24</v>
      </c>
      <c r="Y348">
        <v>0.522609</v>
      </c>
      <c r="Z348">
        <v>0.02805280528052805</v>
      </c>
      <c r="AA348">
        <v>0.9614767255216694</v>
      </c>
      <c r="AB348">
        <v>0.9895666131621188</v>
      </c>
      <c r="AC348">
        <v>0.01284109149277689</v>
      </c>
      <c r="AD348">
        <v>0.1669341894060995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83.53</v>
      </c>
      <c r="D349">
        <v>28913.82597</v>
      </c>
      <c r="E349" t="s">
        <v>660</v>
      </c>
      <c r="F349" t="s">
        <v>632</v>
      </c>
      <c r="G349" t="s">
        <v>671</v>
      </c>
      <c r="H349" t="s">
        <v>701</v>
      </c>
      <c r="I349" t="s">
        <v>1049</v>
      </c>
      <c r="J349" t="s">
        <v>1319</v>
      </c>
      <c r="K349">
        <v>44035</v>
      </c>
      <c r="L349">
        <v>0.015323835747635</v>
      </c>
      <c r="M349">
        <v>-0.1011841553290159</v>
      </c>
      <c r="N349">
        <v>0.1</v>
      </c>
      <c r="O349">
        <v>0.01379717970864314</v>
      </c>
      <c r="P349" t="s">
        <v>372</v>
      </c>
      <c r="Q349" t="s">
        <v>586</v>
      </c>
      <c r="R349">
        <v>10</v>
      </c>
      <c r="S349">
        <v>0.3657142857142857</v>
      </c>
      <c r="T349">
        <v>49</v>
      </c>
      <c r="U349">
        <v>1.704693877551021</v>
      </c>
      <c r="V349">
        <v>4.7488</v>
      </c>
      <c r="W349">
        <v>3.5</v>
      </c>
      <c r="X349">
        <v>1.28</v>
      </c>
      <c r="Y349">
        <v>0.214805</v>
      </c>
      <c r="Z349">
        <v>0.1534653465346535</v>
      </c>
      <c r="AA349">
        <v>0.8587479935794542</v>
      </c>
      <c r="AB349">
        <v>0.9165329052969503</v>
      </c>
      <c r="AC349">
        <v>0.08025682182985554</v>
      </c>
      <c r="AD349">
        <v>0.1621187800963082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86.40000000000001</v>
      </c>
      <c r="D350">
        <v>23330.16</v>
      </c>
      <c r="E350" t="s">
        <v>666</v>
      </c>
      <c r="F350" t="s">
        <v>632</v>
      </c>
      <c r="G350" t="s">
        <v>674</v>
      </c>
      <c r="H350" t="s">
        <v>700</v>
      </c>
      <c r="I350" t="s">
        <v>1050</v>
      </c>
      <c r="J350" t="s">
        <v>1318</v>
      </c>
      <c r="K350">
        <v>44054</v>
      </c>
      <c r="L350">
        <v>0.005092592592592001</v>
      </c>
      <c r="M350">
        <v>-0.06121668690756277</v>
      </c>
      <c r="N350">
        <v>0.07000000000000001</v>
      </c>
      <c r="O350">
        <v>0.004498145008907883</v>
      </c>
      <c r="P350" t="s">
        <v>372</v>
      </c>
      <c r="Q350" t="s">
        <v>586</v>
      </c>
      <c r="R350">
        <v>0</v>
      </c>
      <c r="S350">
        <v>0.3666666666666667</v>
      </c>
      <c r="T350">
        <v>63</v>
      </c>
      <c r="U350">
        <v>1.371428571428571</v>
      </c>
      <c r="V350">
        <v>6.5846</v>
      </c>
      <c r="W350">
        <v>1.2</v>
      </c>
      <c r="X350">
        <v>0.44</v>
      </c>
      <c r="Y350">
        <v>-0.014936</v>
      </c>
      <c r="Z350">
        <v>0.0198019801980198</v>
      </c>
      <c r="AA350">
        <v>0.6709470304975923</v>
      </c>
      <c r="AB350">
        <v>0.7504012841091493</v>
      </c>
      <c r="AC350">
        <v>0.1990369181380417</v>
      </c>
      <c r="AD350">
        <v>0.1316211878009631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31.07</v>
      </c>
      <c r="D351">
        <v>1325.927785</v>
      </c>
      <c r="E351" t="s">
        <v>663</v>
      </c>
      <c r="F351" t="s">
        <v>632</v>
      </c>
      <c r="G351" t="s">
        <v>671</v>
      </c>
      <c r="H351" t="s">
        <v>700</v>
      </c>
      <c r="I351" t="s">
        <v>1051</v>
      </c>
      <c r="J351" t="s">
        <v>1319</v>
      </c>
      <c r="K351">
        <v>44034</v>
      </c>
      <c r="L351">
        <v>0.039266173157386</v>
      </c>
      <c r="M351">
        <v>-0.09367810980495084</v>
      </c>
      <c r="N351">
        <v>0.055</v>
      </c>
      <c r="O351">
        <v>0.004333798383251652</v>
      </c>
      <c r="P351" t="s">
        <v>372</v>
      </c>
      <c r="Q351" t="s">
        <v>372</v>
      </c>
      <c r="R351">
        <v>9</v>
      </c>
      <c r="S351">
        <v>0.9037037037037037</v>
      </c>
      <c r="T351">
        <v>19</v>
      </c>
      <c r="U351">
        <v>1.635263157894737</v>
      </c>
      <c r="V351">
        <v>1.9212</v>
      </c>
      <c r="W351">
        <v>1.35</v>
      </c>
      <c r="X351">
        <v>1.22</v>
      </c>
      <c r="Y351">
        <v>-0.118832</v>
      </c>
      <c r="Z351">
        <v>0.5379537953795379</v>
      </c>
      <c r="AA351">
        <v>0.536115569823435</v>
      </c>
      <c r="AB351">
        <v>0.6027287319422151</v>
      </c>
      <c r="AC351">
        <v>0.09309791332263241</v>
      </c>
      <c r="AD351">
        <v>0.130016051364366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214.63</v>
      </c>
      <c r="D352">
        <v>136546.96211</v>
      </c>
      <c r="E352" t="s">
        <v>664</v>
      </c>
      <c r="F352" t="s">
        <v>632</v>
      </c>
      <c r="G352" t="s">
        <v>674</v>
      </c>
      <c r="H352" t="s">
        <v>700</v>
      </c>
      <c r="I352" t="s">
        <v>1052</v>
      </c>
      <c r="J352" t="s">
        <v>1320</v>
      </c>
      <c r="K352">
        <v>44015</v>
      </c>
      <c r="L352">
        <v>0.014909378931183</v>
      </c>
      <c r="M352">
        <v>-0.08454345883348802</v>
      </c>
      <c r="N352">
        <v>0.075</v>
      </c>
      <c r="O352">
        <v>0.003476455968799419</v>
      </c>
      <c r="P352" t="s">
        <v>372</v>
      </c>
      <c r="Q352" t="s">
        <v>586</v>
      </c>
      <c r="R352">
        <v>9</v>
      </c>
      <c r="S352">
        <v>0.4188481675392671</v>
      </c>
      <c r="T352">
        <v>138</v>
      </c>
      <c r="U352">
        <v>1.555289855072464</v>
      </c>
      <c r="V352">
        <v>8.0275</v>
      </c>
      <c r="W352">
        <v>7.64</v>
      </c>
      <c r="X352">
        <v>3.2</v>
      </c>
      <c r="Y352">
        <v>0.117166</v>
      </c>
      <c r="Z352">
        <v>0.1485148514851485</v>
      </c>
      <c r="AA352">
        <v>0.7865168539325843</v>
      </c>
      <c r="AB352">
        <v>0.7889245585874799</v>
      </c>
      <c r="AC352">
        <v>0.1219903691813804</v>
      </c>
      <c r="AD352">
        <v>0.1268057784911718</v>
      </c>
    </row>
    <row r="353" spans="1:30">
      <c r="A353" s="1" t="s">
        <v>360</v>
      </c>
      <c r="B353">
        <f>HYPERLINK("https://www.suredividend.com/sure-analysis-TSM/","Taiwan Semiconductor Manufacturing Co., Ltd.")</f>
        <v>0</v>
      </c>
      <c r="C353">
        <v>78.88</v>
      </c>
      <c r="D353">
        <v>409077.9904</v>
      </c>
      <c r="E353" t="s">
        <v>661</v>
      </c>
      <c r="F353" t="s">
        <v>632</v>
      </c>
      <c r="G353" t="s">
        <v>690</v>
      </c>
      <c r="H353" t="s">
        <v>700</v>
      </c>
      <c r="I353" t="s">
        <v>1053</v>
      </c>
      <c r="J353" t="s">
        <v>1320</v>
      </c>
      <c r="K353">
        <v>44046</v>
      </c>
      <c r="L353">
        <v>0.016940960953346</v>
      </c>
      <c r="M353">
        <v>-0.1061819465074419</v>
      </c>
      <c r="N353">
        <v>0.09</v>
      </c>
      <c r="O353">
        <v>0.002861324712975177</v>
      </c>
      <c r="P353" t="s">
        <v>372</v>
      </c>
      <c r="Q353" t="s">
        <v>586</v>
      </c>
      <c r="R353">
        <v>5</v>
      </c>
      <c r="S353">
        <v>0.4310654838709677</v>
      </c>
      <c r="T353">
        <v>45</v>
      </c>
      <c r="U353">
        <v>1.752888888888889</v>
      </c>
      <c r="V353">
        <v>2.8872</v>
      </c>
      <c r="W353">
        <v>3.1</v>
      </c>
      <c r="X353">
        <v>1.336303</v>
      </c>
      <c r="Y353">
        <v>0.697805</v>
      </c>
      <c r="Z353">
        <v>0.1798679867986799</v>
      </c>
      <c r="AA353">
        <v>0.9791332263242376</v>
      </c>
      <c r="AB353">
        <v>0.8780096308186195</v>
      </c>
      <c r="AC353">
        <v>0.06581059390048155</v>
      </c>
      <c r="AD353">
        <v>0.1252006420545747</v>
      </c>
    </row>
    <row r="354" spans="1:30">
      <c r="A354" s="1" t="s">
        <v>361</v>
      </c>
      <c r="B354">
        <f>HYPERLINK("https://www.suredividend.com/sure-analysis-MA/","Mastercard, Inc.")</f>
        <v>0</v>
      </c>
      <c r="C354">
        <v>331.78</v>
      </c>
      <c r="D354">
        <v>332132.053085</v>
      </c>
      <c r="E354" t="s">
        <v>663</v>
      </c>
      <c r="F354" t="s">
        <v>632</v>
      </c>
      <c r="G354" t="s">
        <v>671</v>
      </c>
      <c r="H354" t="s">
        <v>700</v>
      </c>
      <c r="I354" t="s">
        <v>1054</v>
      </c>
      <c r="J354" t="s">
        <v>1313</v>
      </c>
      <c r="K354">
        <v>44042</v>
      </c>
      <c r="L354">
        <v>0.004611489541262</v>
      </c>
      <c r="M354">
        <v>-0.1368040693314978</v>
      </c>
      <c r="N354">
        <v>0.15</v>
      </c>
      <c r="O354">
        <v>0.0002629240235414443</v>
      </c>
      <c r="P354" t="s">
        <v>372</v>
      </c>
      <c r="Q354" t="s">
        <v>586</v>
      </c>
      <c r="R354">
        <v>8</v>
      </c>
      <c r="S354">
        <v>0.2417061611374408</v>
      </c>
      <c r="T354">
        <v>159</v>
      </c>
      <c r="U354">
        <v>2.086666666666666</v>
      </c>
      <c r="V354">
        <v>7.2632</v>
      </c>
      <c r="W354">
        <v>6.33</v>
      </c>
      <c r="X354">
        <v>1.53</v>
      </c>
      <c r="Y354">
        <v>0.211362</v>
      </c>
      <c r="Z354">
        <v>0.0165016501650165</v>
      </c>
      <c r="AA354">
        <v>0.8555377207062601</v>
      </c>
      <c r="AB354">
        <v>0.9783306581059389</v>
      </c>
      <c r="AC354">
        <v>0.02247191011235955</v>
      </c>
      <c r="AD354">
        <v>0.1123595505617978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118.91</v>
      </c>
      <c r="D355">
        <v>28461.58414</v>
      </c>
      <c r="E355" t="s">
        <v>660</v>
      </c>
      <c r="F355" t="s">
        <v>632</v>
      </c>
      <c r="G355" t="s">
        <v>674</v>
      </c>
      <c r="H355" t="s">
        <v>700</v>
      </c>
      <c r="I355" t="s">
        <v>1055</v>
      </c>
      <c r="J355" t="s">
        <v>1319</v>
      </c>
      <c r="K355">
        <v>44049</v>
      </c>
      <c r="L355">
        <v>0.017828609873013</v>
      </c>
      <c r="M355">
        <v>-0.1165289580010117</v>
      </c>
      <c r="N355">
        <v>0.1</v>
      </c>
      <c r="O355">
        <v>-0.004148212834629628</v>
      </c>
      <c r="P355" t="s">
        <v>372</v>
      </c>
      <c r="Q355" t="s">
        <v>586</v>
      </c>
      <c r="R355">
        <v>9</v>
      </c>
      <c r="S355">
        <v>0.53</v>
      </c>
      <c r="T355">
        <v>64</v>
      </c>
      <c r="U355">
        <v>1.85796875</v>
      </c>
      <c r="V355">
        <v>4.0138</v>
      </c>
      <c r="W355">
        <v>4</v>
      </c>
      <c r="X355">
        <v>2.12</v>
      </c>
      <c r="Y355">
        <v>0.241325</v>
      </c>
      <c r="Z355">
        <v>0.2112211221122112</v>
      </c>
      <c r="AA355">
        <v>0.8796147672552166</v>
      </c>
      <c r="AB355">
        <v>0.9165329052969503</v>
      </c>
      <c r="AC355">
        <v>0.04173354735152488</v>
      </c>
      <c r="AD355">
        <v>0.09630818619582664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27.7</v>
      </c>
      <c r="D356">
        <v>49251.708</v>
      </c>
      <c r="E356" t="s">
        <v>666</v>
      </c>
      <c r="F356" t="s">
        <v>632</v>
      </c>
      <c r="G356" t="s">
        <v>673</v>
      </c>
      <c r="H356" t="s">
        <v>700</v>
      </c>
      <c r="I356" t="s">
        <v>1056</v>
      </c>
      <c r="J356" t="s">
        <v>1322</v>
      </c>
      <c r="K356">
        <v>44066</v>
      </c>
      <c r="L356">
        <v>0.009667447523161002</v>
      </c>
      <c r="M356">
        <v>-0.02826847018696077</v>
      </c>
      <c r="N356">
        <v>0</v>
      </c>
      <c r="O356">
        <v>-0.01407695755922744</v>
      </c>
      <c r="P356" t="s">
        <v>372</v>
      </c>
      <c r="Q356" t="s">
        <v>586</v>
      </c>
      <c r="R356">
        <v>4</v>
      </c>
      <c r="S356">
        <v>0.2818824172542979</v>
      </c>
      <c r="T356">
        <v>24</v>
      </c>
      <c r="U356">
        <v>1.154166666666667</v>
      </c>
      <c r="V356">
        <v>2.5026</v>
      </c>
      <c r="W356">
        <v>0.95</v>
      </c>
      <c r="X356">
        <v>0.267788296391583</v>
      </c>
      <c r="Y356">
        <v>0.5303869999999999</v>
      </c>
      <c r="Z356">
        <v>0.07260726072607261</v>
      </c>
      <c r="AA356">
        <v>0.9630818619582665</v>
      </c>
      <c r="AB356">
        <v>0.04895666131621188</v>
      </c>
      <c r="AC356">
        <v>0.3964686998394863</v>
      </c>
      <c r="AD356">
        <v>0.08186195826645265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73.14</v>
      </c>
      <c r="D357">
        <v>12318.09252</v>
      </c>
      <c r="E357" t="s">
        <v>663</v>
      </c>
      <c r="F357" t="s">
        <v>632</v>
      </c>
      <c r="G357" t="s">
        <v>676</v>
      </c>
      <c r="H357" t="s">
        <v>701</v>
      </c>
      <c r="I357" t="s">
        <v>1057</v>
      </c>
      <c r="J357" t="s">
        <v>1320</v>
      </c>
      <c r="K357">
        <v>44033</v>
      </c>
      <c r="L357">
        <v>0.01085726004922</v>
      </c>
      <c r="M357">
        <v>-0.1181759682064192</v>
      </c>
      <c r="N357">
        <v>0.07000000000000001</v>
      </c>
      <c r="O357">
        <v>-0.03842506673669477</v>
      </c>
      <c r="P357" t="s">
        <v>372</v>
      </c>
      <c r="Q357" t="s">
        <v>586</v>
      </c>
      <c r="R357">
        <v>7</v>
      </c>
      <c r="S357">
        <v>0.3676388888888889</v>
      </c>
      <c r="T357">
        <v>39</v>
      </c>
      <c r="U357">
        <v>1.875384615384615</v>
      </c>
      <c r="V357">
        <v>2.8498</v>
      </c>
      <c r="W357">
        <v>2.16</v>
      </c>
      <c r="X357">
        <v>0.7941</v>
      </c>
      <c r="Y357">
        <v>0.8248500000000001</v>
      </c>
      <c r="Z357">
        <v>0.0924092409240924</v>
      </c>
      <c r="AA357">
        <v>0.9887640449438203</v>
      </c>
      <c r="AB357">
        <v>0.7504012841091493</v>
      </c>
      <c r="AC357">
        <v>0.03691813804173355</v>
      </c>
      <c r="AD357">
        <v>0.04494382022471911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77.26000000000001</v>
      </c>
      <c r="D358">
        <v>94367.80456600001</v>
      </c>
      <c r="E358" t="s">
        <v>663</v>
      </c>
      <c r="F358" t="s">
        <v>632</v>
      </c>
      <c r="G358" t="s">
        <v>691</v>
      </c>
      <c r="H358" t="s">
        <v>700</v>
      </c>
      <c r="I358" t="s">
        <v>1058</v>
      </c>
      <c r="J358" t="s">
        <v>1320</v>
      </c>
      <c r="K358">
        <v>44047</v>
      </c>
      <c r="L358">
        <v>0.005324877038571</v>
      </c>
      <c r="M358">
        <v>-0.06233724727729906</v>
      </c>
      <c r="N358">
        <v>0.017</v>
      </c>
      <c r="O358">
        <v>-0.0404026975765992</v>
      </c>
      <c r="P358" t="s">
        <v>372</v>
      </c>
      <c r="Q358" t="s">
        <v>586</v>
      </c>
      <c r="R358">
        <v>2</v>
      </c>
      <c r="S358">
        <v>0.09545243619489562</v>
      </c>
      <c r="T358">
        <v>56</v>
      </c>
      <c r="U358">
        <v>1.379642857142857</v>
      </c>
      <c r="V358">
        <v>5.0073</v>
      </c>
      <c r="W358">
        <v>4.31</v>
      </c>
      <c r="X358">
        <v>0.4114</v>
      </c>
      <c r="Y358">
        <v>0.300454</v>
      </c>
      <c r="Z358">
        <v>0.02145214521452145</v>
      </c>
      <c r="AA358">
        <v>0.9069020866773676</v>
      </c>
      <c r="AB358">
        <v>0.122792937399679</v>
      </c>
      <c r="AC358">
        <v>0.1958266452648475</v>
      </c>
      <c r="AD358">
        <v>0.04173354735152488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78.63</v>
      </c>
      <c r="D359">
        <v>39044.11965</v>
      </c>
      <c r="E359" t="s">
        <v>665</v>
      </c>
      <c r="F359" t="s">
        <v>632</v>
      </c>
      <c r="G359" t="s">
        <v>673</v>
      </c>
      <c r="H359" t="s">
        <v>700</v>
      </c>
      <c r="I359" t="s">
        <v>1059</v>
      </c>
      <c r="J359" t="s">
        <v>1319</v>
      </c>
      <c r="K359">
        <v>44056</v>
      </c>
      <c r="L359">
        <v>0.018873023329167</v>
      </c>
      <c r="M359">
        <v>-0.1120668079333828</v>
      </c>
      <c r="N359">
        <v>0.05</v>
      </c>
      <c r="O359">
        <v>-0.04159857366137243</v>
      </c>
      <c r="P359" t="s">
        <v>372</v>
      </c>
      <c r="Q359" t="s">
        <v>446</v>
      </c>
      <c r="R359">
        <v>27</v>
      </c>
      <c r="S359">
        <v>0.8336999013328483</v>
      </c>
      <c r="T359">
        <v>43.4</v>
      </c>
      <c r="U359">
        <v>1.811751152073733</v>
      </c>
      <c r="V359">
        <v>3.2034</v>
      </c>
      <c r="W359">
        <v>1.78</v>
      </c>
      <c r="X359">
        <v>1.48398582437247</v>
      </c>
      <c r="Y359">
        <v>0.164889</v>
      </c>
      <c r="Z359">
        <v>0.2392739273927393</v>
      </c>
      <c r="AA359">
        <v>0.8234349919743178</v>
      </c>
      <c r="AB359">
        <v>0.5296950240770465</v>
      </c>
      <c r="AC359">
        <v>0.05296950240770466</v>
      </c>
      <c r="AD359">
        <v>0.04012841091492777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16.29</v>
      </c>
      <c r="D360">
        <v>6085.82997</v>
      </c>
      <c r="E360" t="s">
        <v>668</v>
      </c>
      <c r="F360" t="s">
        <v>632</v>
      </c>
      <c r="G360" t="s">
        <v>671</v>
      </c>
      <c r="H360" t="s">
        <v>700</v>
      </c>
      <c r="I360" t="s">
        <v>1060</v>
      </c>
      <c r="J360" t="s">
        <v>1318</v>
      </c>
      <c r="K360">
        <v>43993</v>
      </c>
      <c r="L360">
        <v>0.029772866789441</v>
      </c>
      <c r="M360">
        <v>-0.05929807585352664</v>
      </c>
      <c r="N360">
        <v>0.01</v>
      </c>
      <c r="O360">
        <v>-0.04989105661206183</v>
      </c>
      <c r="P360" t="s">
        <v>372</v>
      </c>
      <c r="Q360" t="s">
        <v>446</v>
      </c>
      <c r="R360">
        <v>0</v>
      </c>
      <c r="S360">
        <v>0.373076923076923</v>
      </c>
      <c r="T360">
        <v>12</v>
      </c>
      <c r="U360">
        <v>1.3575</v>
      </c>
      <c r="V360">
        <v>-2.7911</v>
      </c>
      <c r="W360">
        <v>1.3</v>
      </c>
      <c r="X360">
        <v>0.485</v>
      </c>
      <c r="Y360">
        <v>-0.041201</v>
      </c>
      <c r="Z360">
        <v>0.4141914191419142</v>
      </c>
      <c r="AA360">
        <v>0.6292134831460674</v>
      </c>
      <c r="AB360">
        <v>0.08828250401284109</v>
      </c>
      <c r="AC360">
        <v>0.2118780096308186</v>
      </c>
      <c r="AD360">
        <v>0.0304975922953451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181.25</v>
      </c>
      <c r="D361">
        <v>31822.495869</v>
      </c>
      <c r="E361" t="s">
        <v>663</v>
      </c>
      <c r="F361" t="s">
        <v>632</v>
      </c>
      <c r="G361" t="s">
        <v>692</v>
      </c>
      <c r="H361" t="s">
        <v>700</v>
      </c>
      <c r="I361" t="s">
        <v>1061</v>
      </c>
      <c r="J361" t="s">
        <v>1318</v>
      </c>
      <c r="K361">
        <v>44047</v>
      </c>
      <c r="L361">
        <v>0.006234482758620001</v>
      </c>
      <c r="M361">
        <v>-0.1385222061531318</v>
      </c>
      <c r="N361">
        <v>0.075</v>
      </c>
      <c r="O361">
        <v>-0.06276125557943069</v>
      </c>
      <c r="P361" t="s">
        <v>372</v>
      </c>
      <c r="Q361" t="s">
        <v>586</v>
      </c>
      <c r="R361">
        <v>3</v>
      </c>
      <c r="S361">
        <v>0.3304093567251462</v>
      </c>
      <c r="T361">
        <v>86</v>
      </c>
      <c r="U361">
        <v>2.107558139534884</v>
      </c>
      <c r="V361">
        <v>3.0428</v>
      </c>
      <c r="W361">
        <v>3.42</v>
      </c>
      <c r="X361">
        <v>1.13</v>
      </c>
      <c r="Y361">
        <v>0.196528</v>
      </c>
      <c r="Z361">
        <v>0.0264026402640264</v>
      </c>
      <c r="AA361">
        <v>0.8475120385232745</v>
      </c>
      <c r="AB361">
        <v>0.7889245585874799</v>
      </c>
      <c r="AC361">
        <v>0.02086677367576244</v>
      </c>
      <c r="AD361">
        <v>0.02247191011235955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48.34</v>
      </c>
      <c r="D362">
        <v>21673.33568</v>
      </c>
      <c r="E362" t="s">
        <v>666</v>
      </c>
      <c r="F362" t="s">
        <v>632</v>
      </c>
      <c r="G362" t="s">
        <v>673</v>
      </c>
      <c r="H362" t="s">
        <v>700</v>
      </c>
      <c r="I362" t="s">
        <v>1062</v>
      </c>
      <c r="J362" t="s">
        <v>1322</v>
      </c>
      <c r="K362">
        <v>44059</v>
      </c>
      <c r="L362">
        <v>0.008037453441359001</v>
      </c>
      <c r="M362">
        <v>-0.06254100687152764</v>
      </c>
      <c r="N362">
        <v>-0.05</v>
      </c>
      <c r="O362">
        <v>-0.09663238206490277</v>
      </c>
      <c r="P362" t="s">
        <v>372</v>
      </c>
      <c r="Q362" t="s">
        <v>586</v>
      </c>
      <c r="R362">
        <v>1</v>
      </c>
      <c r="S362">
        <v>0.37002904700508</v>
      </c>
      <c r="T362">
        <v>35</v>
      </c>
      <c r="U362">
        <v>1.381142857142857</v>
      </c>
      <c r="V362">
        <v>0.791</v>
      </c>
      <c r="W362">
        <v>1.05</v>
      </c>
      <c r="X362">
        <v>0.388530499355334</v>
      </c>
      <c r="Y362">
        <v>0.758458</v>
      </c>
      <c r="Z362">
        <v>0.05775577557755776</v>
      </c>
      <c r="AA362">
        <v>0.985553772070626</v>
      </c>
      <c r="AB362">
        <v>0.008025682182985555</v>
      </c>
      <c r="AC362">
        <v>0.1942215088282504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20.36</v>
      </c>
      <c r="D363">
        <v>1298.587268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0.000491159135559</v>
      </c>
      <c r="M363">
        <v>-0.1342918936753242</v>
      </c>
      <c r="N363">
        <v>0.04</v>
      </c>
      <c r="O363">
        <v>-0.09891732173401324</v>
      </c>
      <c r="P363" t="s">
        <v>372</v>
      </c>
      <c r="Q363" t="s">
        <v>586</v>
      </c>
      <c r="R363">
        <v>0</v>
      </c>
      <c r="S363">
        <v>0.00909090909090909</v>
      </c>
      <c r="T363">
        <v>9.9</v>
      </c>
      <c r="U363">
        <v>2.056565656565656</v>
      </c>
      <c r="V363">
        <v>-1.726</v>
      </c>
      <c r="W363">
        <v>1.1</v>
      </c>
      <c r="X363">
        <v>0.01</v>
      </c>
      <c r="Y363">
        <v>2.590829</v>
      </c>
      <c r="Z363">
        <v>0.00165016501650165</v>
      </c>
      <c r="AA363">
        <v>0.9983948635634029</v>
      </c>
      <c r="AB363">
        <v>0.4012841091492777</v>
      </c>
      <c r="AC363">
        <v>0.02568218298555377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3.26</v>
      </c>
      <c r="D364">
        <v>1091.23936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0.178926380368098</v>
      </c>
      <c r="M364">
        <v>0.2753665346890597</v>
      </c>
      <c r="N364">
        <v>0.03</v>
      </c>
      <c r="O364">
        <v>0.3136275307297316</v>
      </c>
      <c r="P364" t="s">
        <v>446</v>
      </c>
      <c r="Q364" t="s">
        <v>636</v>
      </c>
      <c r="R364">
        <v>0</v>
      </c>
      <c r="S364">
        <v>0.4860833333333334</v>
      </c>
      <c r="T364">
        <v>11</v>
      </c>
      <c r="U364">
        <v>0.2963636363636363</v>
      </c>
      <c r="V364">
        <v>-3.0086</v>
      </c>
      <c r="W364">
        <v>1.2</v>
      </c>
      <c r="X364">
        <v>0.5833</v>
      </c>
      <c r="Y364">
        <v>-0.764621</v>
      </c>
      <c r="Z364">
        <v>0.9752475247524752</v>
      </c>
      <c r="AA364">
        <v>0.01284109149277689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42.02</v>
      </c>
      <c r="D365">
        <v>87479.75719999999</v>
      </c>
      <c r="E365" t="s">
        <v>666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0.048548310328415</v>
      </c>
      <c r="M365">
        <v>0.1010589537549518</v>
      </c>
      <c r="N365">
        <v>0.06</v>
      </c>
      <c r="O365">
        <v>0.198556010651892</v>
      </c>
      <c r="P365" t="s">
        <v>446</v>
      </c>
      <c r="Q365" t="s">
        <v>372</v>
      </c>
      <c r="R365">
        <v>6</v>
      </c>
      <c r="S365">
        <v>0.6181818181818183</v>
      </c>
      <c r="T365">
        <v>68</v>
      </c>
      <c r="U365">
        <v>0.6179411764705883</v>
      </c>
      <c r="V365">
        <v>5.8074</v>
      </c>
      <c r="W365">
        <v>3.3</v>
      </c>
      <c r="X365">
        <v>2.04</v>
      </c>
      <c r="Y365">
        <v>-0.391984</v>
      </c>
      <c r="Z365">
        <v>0.6369636963696369</v>
      </c>
      <c r="AA365">
        <v>0.202247191011236</v>
      </c>
      <c r="AB365">
        <v>0.6597110754414125</v>
      </c>
      <c r="AC365">
        <v>0.9662921348314607</v>
      </c>
      <c r="AD365">
        <v>0.9775280898876404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123.36</v>
      </c>
      <c r="D366">
        <v>2676.961344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0.03112840466926</v>
      </c>
      <c r="M366">
        <v>-0.07397868125146245</v>
      </c>
      <c r="N366">
        <v>0.25</v>
      </c>
      <c r="O366">
        <v>0.1900064204877914</v>
      </c>
      <c r="P366" t="s">
        <v>446</v>
      </c>
      <c r="Q366" t="s">
        <v>446</v>
      </c>
      <c r="R366">
        <v>4</v>
      </c>
      <c r="S366">
        <v>0.8240343347639485</v>
      </c>
      <c r="T366">
        <v>84</v>
      </c>
      <c r="U366">
        <v>1.468571428571429</v>
      </c>
      <c r="V366">
        <v>2.8043</v>
      </c>
      <c r="W366">
        <v>4.66</v>
      </c>
      <c r="X366">
        <v>3.84</v>
      </c>
      <c r="Y366">
        <v>0.297161</v>
      </c>
      <c r="Z366">
        <v>0.4372937293729373</v>
      </c>
      <c r="AA366">
        <v>0.9052969502407704</v>
      </c>
      <c r="AB366">
        <v>0.9967897271268058</v>
      </c>
      <c r="AC366">
        <v>0.1508828250401284</v>
      </c>
      <c r="AD366">
        <v>0.9695024077046548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54.13</v>
      </c>
      <c r="D367">
        <v>16586.56873</v>
      </c>
      <c r="E367" t="s">
        <v>664</v>
      </c>
      <c r="F367" t="s">
        <v>632</v>
      </c>
      <c r="G367" t="s">
        <v>671</v>
      </c>
      <c r="H367" t="s">
        <v>700</v>
      </c>
      <c r="I367" t="s">
        <v>1067</v>
      </c>
      <c r="J367" t="s">
        <v>1313</v>
      </c>
      <c r="K367">
        <v>44042</v>
      </c>
      <c r="L367">
        <v>0.032514317384075</v>
      </c>
      <c r="M367">
        <v>0.0702250526054784</v>
      </c>
      <c r="N367">
        <v>0.07000000000000001</v>
      </c>
      <c r="O367">
        <v>0.1669205861682024</v>
      </c>
      <c r="P367" t="s">
        <v>446</v>
      </c>
      <c r="Q367" t="s">
        <v>446</v>
      </c>
      <c r="R367">
        <v>9</v>
      </c>
      <c r="S367">
        <v>0.5866666666666667</v>
      </c>
      <c r="T367">
        <v>76</v>
      </c>
      <c r="U367">
        <v>0.7122368421052632</v>
      </c>
      <c r="V367">
        <v>3.1633</v>
      </c>
      <c r="W367">
        <v>3</v>
      </c>
      <c r="X367">
        <v>1.76</v>
      </c>
      <c r="Y367">
        <v>-0.334604</v>
      </c>
      <c r="Z367">
        <v>0.4504950495049505</v>
      </c>
      <c r="AA367">
        <v>0.2776886035313001</v>
      </c>
      <c r="AB367">
        <v>0.7504012841091493</v>
      </c>
      <c r="AC367">
        <v>0.9052969502407704</v>
      </c>
      <c r="AD367">
        <v>0.9309791332263242</v>
      </c>
    </row>
    <row r="368" spans="1:30">
      <c r="A368" s="1" t="s">
        <v>375</v>
      </c>
      <c r="B368">
        <f>HYPERLINK("https://www.suredividend.com/sure-analysis-TRGP/","Targa Resources Corp.")</f>
        <v>0</v>
      </c>
      <c r="C368">
        <v>14.16</v>
      </c>
      <c r="D368">
        <v>3302.09784</v>
      </c>
      <c r="E368" t="s">
        <v>661</v>
      </c>
      <c r="F368" t="s">
        <v>632</v>
      </c>
      <c r="G368" t="s">
        <v>671</v>
      </c>
      <c r="H368" t="s">
        <v>700</v>
      </c>
      <c r="I368" t="s">
        <v>1068</v>
      </c>
      <c r="J368" t="s">
        <v>1317</v>
      </c>
      <c r="K368">
        <v>44069</v>
      </c>
      <c r="L368">
        <v>0.142655367231638</v>
      </c>
      <c r="M368">
        <v>0.1112956072698328</v>
      </c>
      <c r="N368">
        <v>0.03</v>
      </c>
      <c r="O368">
        <v>0.1658443318226668</v>
      </c>
      <c r="P368" t="s">
        <v>446</v>
      </c>
      <c r="Q368" t="s">
        <v>636</v>
      </c>
      <c r="R368">
        <v>0</v>
      </c>
      <c r="S368">
        <v>0.505</v>
      </c>
      <c r="T368">
        <v>24</v>
      </c>
      <c r="U368">
        <v>0.59</v>
      </c>
      <c r="V368">
        <v>-8.343400000000001</v>
      </c>
      <c r="W368">
        <v>4</v>
      </c>
      <c r="X368">
        <v>2.02</v>
      </c>
      <c r="Y368">
        <v>-0.643953</v>
      </c>
      <c r="Z368">
        <v>0.9471947194719472</v>
      </c>
      <c r="AA368">
        <v>0.03531300160513644</v>
      </c>
      <c r="AB368">
        <v>0.2680577849117175</v>
      </c>
      <c r="AC368">
        <v>0.9743178170144462</v>
      </c>
      <c r="AD368">
        <v>0.9293739967897271</v>
      </c>
    </row>
    <row r="369" spans="1:30">
      <c r="A369" s="1" t="s">
        <v>376</v>
      </c>
      <c r="B369">
        <f>HYPERLINK("https://www.suredividend.com/sure-analysis-CHRRF/","Chorus Aviation, Inc.")</f>
        <v>0</v>
      </c>
      <c r="C369">
        <v>1.67</v>
      </c>
      <c r="D369">
        <v>270.31789</v>
      </c>
      <c r="E369" t="s">
        <v>665</v>
      </c>
      <c r="F369" t="s">
        <v>632</v>
      </c>
      <c r="G369" t="s">
        <v>673</v>
      </c>
      <c r="H369" t="s">
        <v>702</v>
      </c>
      <c r="I369" t="s">
        <v>1069</v>
      </c>
      <c r="J369" t="s">
        <v>1319</v>
      </c>
      <c r="K369">
        <v>44091</v>
      </c>
      <c r="L369">
        <v>0.143712574850299</v>
      </c>
      <c r="M369">
        <v>0.06703607300034653</v>
      </c>
      <c r="N369">
        <v>0.05</v>
      </c>
      <c r="O369">
        <v>0.1638395526564984</v>
      </c>
      <c r="P369" t="s">
        <v>446</v>
      </c>
      <c r="Q369" t="s">
        <v>637</v>
      </c>
      <c r="R369">
        <v>0</v>
      </c>
      <c r="S369">
        <v>0.7272727272727272</v>
      </c>
      <c r="T369">
        <v>2.31</v>
      </c>
      <c r="U369">
        <v>0.7229437229437229</v>
      </c>
      <c r="V369">
        <v>0.3379</v>
      </c>
      <c r="W369">
        <v>0.33</v>
      </c>
      <c r="X369">
        <v>0.24</v>
      </c>
      <c r="Y369">
        <v>-0.709548</v>
      </c>
      <c r="Z369">
        <v>0.9488448844884489</v>
      </c>
      <c r="AA369">
        <v>0.02086677367576244</v>
      </c>
      <c r="AB369">
        <v>0.5296950240770465</v>
      </c>
      <c r="AC369">
        <v>0.8924558587479936</v>
      </c>
      <c r="AD369">
        <v>0.9261637239165329</v>
      </c>
    </row>
    <row r="370" spans="1:30">
      <c r="A370" s="1" t="s">
        <v>377</v>
      </c>
      <c r="B370">
        <f>HYPERLINK("https://www.suredividend.com/sure-analysis-BRX/","Brixmor Property Group, Inc.")</f>
        <v>0</v>
      </c>
      <c r="C370">
        <v>11.4</v>
      </c>
      <c r="D370">
        <v>3379.8834</v>
      </c>
      <c r="E370" t="s">
        <v>670</v>
      </c>
      <c r="F370" t="s">
        <v>634</v>
      </c>
      <c r="G370" t="s">
        <v>671</v>
      </c>
      <c r="H370" t="s">
        <v>700</v>
      </c>
      <c r="I370" t="s">
        <v>1070</v>
      </c>
      <c r="J370" t="s">
        <v>1323</v>
      </c>
      <c r="K370">
        <v>44067</v>
      </c>
      <c r="L370">
        <v>0.07456140350877101</v>
      </c>
      <c r="M370">
        <v>-0.02586526421769075</v>
      </c>
      <c r="N370">
        <v>0.147</v>
      </c>
      <c r="O370">
        <v>0.1625204088479322</v>
      </c>
      <c r="P370" t="s">
        <v>446</v>
      </c>
      <c r="Q370" t="s">
        <v>372</v>
      </c>
      <c r="R370">
        <v>0</v>
      </c>
      <c r="S370">
        <v>0.8854166666666666</v>
      </c>
      <c r="T370">
        <v>10</v>
      </c>
      <c r="U370">
        <v>1.14</v>
      </c>
      <c r="V370">
        <v>0.7087</v>
      </c>
      <c r="W370">
        <v>0.96</v>
      </c>
      <c r="X370">
        <v>0.85</v>
      </c>
      <c r="Y370">
        <v>-0.435084</v>
      </c>
      <c r="Z370">
        <v>0.8234323432343235</v>
      </c>
      <c r="AA370">
        <v>0.1540930979133227</v>
      </c>
      <c r="AB370">
        <v>0.9727126805778491</v>
      </c>
      <c r="AC370">
        <v>0.404494382022472</v>
      </c>
      <c r="AD370">
        <v>0.9245585874799357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11.71</v>
      </c>
      <c r="D371">
        <v>11428.96</v>
      </c>
      <c r="E371" t="s">
        <v>660</v>
      </c>
      <c r="F371" t="s">
        <v>632</v>
      </c>
      <c r="G371" t="s">
        <v>671</v>
      </c>
      <c r="H371" t="s">
        <v>700</v>
      </c>
      <c r="I371" t="s">
        <v>1071</v>
      </c>
      <c r="J371" t="s">
        <v>1313</v>
      </c>
      <c r="K371">
        <v>44035</v>
      </c>
      <c r="L371">
        <v>0.06319385140905201</v>
      </c>
      <c r="M371">
        <v>0.07740355760763196</v>
      </c>
      <c r="N371">
        <v>0.04</v>
      </c>
      <c r="O371">
        <v>0.1624008714163074</v>
      </c>
      <c r="P371" t="s">
        <v>446</v>
      </c>
      <c r="Q371" t="s">
        <v>372</v>
      </c>
      <c r="R371">
        <v>9</v>
      </c>
      <c r="S371">
        <v>1.057142857142857</v>
      </c>
      <c r="T371">
        <v>17</v>
      </c>
      <c r="U371">
        <v>0.6888235294117647</v>
      </c>
      <c r="V371">
        <v>1.1341</v>
      </c>
      <c r="W371">
        <v>0.7</v>
      </c>
      <c r="X371">
        <v>0.74</v>
      </c>
      <c r="Y371">
        <v>-0.341395</v>
      </c>
      <c r="Z371">
        <v>0.759075907590759</v>
      </c>
      <c r="AA371">
        <v>0.2712680577849117</v>
      </c>
      <c r="AB371">
        <v>0.4012841091492777</v>
      </c>
      <c r="AC371">
        <v>0.9229534510433386</v>
      </c>
      <c r="AD371">
        <v>0.9229534510433386</v>
      </c>
    </row>
    <row r="372" spans="1:30">
      <c r="A372" s="1" t="s">
        <v>379</v>
      </c>
      <c r="B372">
        <f>HYPERLINK("https://www.suredividend.com/sure-analysis-TEF/","Telefónica SA")</f>
        <v>0</v>
      </c>
      <c r="C372">
        <v>3.48</v>
      </c>
      <c r="D372">
        <v>18273.05323</v>
      </c>
      <c r="E372" t="s">
        <v>664</v>
      </c>
      <c r="F372" t="s">
        <v>632</v>
      </c>
      <c r="G372" t="s">
        <v>679</v>
      </c>
      <c r="H372" t="s">
        <v>700</v>
      </c>
      <c r="I372" t="s">
        <v>1072</v>
      </c>
      <c r="J372" t="s">
        <v>1314</v>
      </c>
      <c r="K372">
        <v>44070</v>
      </c>
      <c r="L372">
        <v>0.126436781609195</v>
      </c>
      <c r="M372">
        <v>0.06194915283376856</v>
      </c>
      <c r="N372">
        <v>0.018</v>
      </c>
      <c r="O372">
        <v>0.1609290137040007</v>
      </c>
      <c r="P372" t="s">
        <v>446</v>
      </c>
      <c r="Q372" t="s">
        <v>637</v>
      </c>
      <c r="R372">
        <v>0</v>
      </c>
      <c r="S372">
        <v>0.7999999999999999</v>
      </c>
      <c r="T372">
        <v>4.7</v>
      </c>
      <c r="U372">
        <v>0.7404255319148936</v>
      </c>
      <c r="V372">
        <v>-0.0066</v>
      </c>
      <c r="W372">
        <v>0.55</v>
      </c>
      <c r="X372">
        <v>0.44</v>
      </c>
      <c r="Y372">
        <v>-0.539683</v>
      </c>
      <c r="Z372">
        <v>0.9306930693069307</v>
      </c>
      <c r="AA372">
        <v>0.08025682182985554</v>
      </c>
      <c r="AB372">
        <v>0.1252006420545747</v>
      </c>
      <c r="AC372">
        <v>0.8747993579454254</v>
      </c>
      <c r="AD372">
        <v>0.9213483146067416</v>
      </c>
    </row>
    <row r="373" spans="1:30">
      <c r="A373" s="1" t="s">
        <v>380</v>
      </c>
      <c r="B373">
        <f>HYPERLINK("https://www.suredividend.com/sure-analysis-TFC/","Truist Financial Corp.")</f>
        <v>0</v>
      </c>
      <c r="C373">
        <v>36.17</v>
      </c>
      <c r="D373">
        <v>48743.0537</v>
      </c>
      <c r="E373" t="s">
        <v>665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44049</v>
      </c>
      <c r="L373">
        <v>0.049764998617638</v>
      </c>
      <c r="M373">
        <v>0.04465479252582805</v>
      </c>
      <c r="N373">
        <v>0.07000000000000001</v>
      </c>
      <c r="O373">
        <v>0.1525653388168977</v>
      </c>
      <c r="P373" t="s">
        <v>446</v>
      </c>
      <c r="Q373" t="s">
        <v>372</v>
      </c>
      <c r="R373">
        <v>10</v>
      </c>
      <c r="S373">
        <v>0.5607476635514019</v>
      </c>
      <c r="T373">
        <v>45</v>
      </c>
      <c r="U373">
        <v>0.8037777777777778</v>
      </c>
      <c r="V373">
        <v>3.1228</v>
      </c>
      <c r="W373">
        <v>3.21</v>
      </c>
      <c r="X373">
        <v>1.8</v>
      </c>
      <c r="Y373">
        <v>-0.316515</v>
      </c>
      <c r="Z373">
        <v>0.6534653465346534</v>
      </c>
      <c r="AA373">
        <v>0.3001605136436597</v>
      </c>
      <c r="AB373">
        <v>0.7504012841091493</v>
      </c>
      <c r="AC373">
        <v>0.8025682182985554</v>
      </c>
      <c r="AD373">
        <v>0.9020866773675762</v>
      </c>
    </row>
    <row r="374" spans="1:30">
      <c r="A374" s="1" t="s">
        <v>381</v>
      </c>
      <c r="B374">
        <f>HYPERLINK("https://www.suredividend.com/sure-analysis-CHL/","China Mobile Ltd.")</f>
        <v>0</v>
      </c>
      <c r="C374">
        <v>32.71</v>
      </c>
      <c r="D374">
        <v>133950.721</v>
      </c>
      <c r="E374" t="s">
        <v>665</v>
      </c>
      <c r="F374" t="s">
        <v>632</v>
      </c>
      <c r="G374" t="s">
        <v>693</v>
      </c>
      <c r="H374" t="s">
        <v>700</v>
      </c>
      <c r="I374" t="s">
        <v>1074</v>
      </c>
      <c r="J374" t="s">
        <v>1314</v>
      </c>
      <c r="K374">
        <v>44095</v>
      </c>
      <c r="L374">
        <v>0.057742586365025</v>
      </c>
      <c r="M374">
        <v>0.07518565826649515</v>
      </c>
      <c r="N374">
        <v>0.028</v>
      </c>
      <c r="O374">
        <v>0.1476082616233407</v>
      </c>
      <c r="P374" t="s">
        <v>446</v>
      </c>
      <c r="Q374" t="s">
        <v>637</v>
      </c>
      <c r="R374">
        <v>0</v>
      </c>
      <c r="S374">
        <v>0.4818265306122449</v>
      </c>
      <c r="T374">
        <v>47</v>
      </c>
      <c r="U374">
        <v>0.6959574468085107</v>
      </c>
      <c r="V374">
        <v>3.6928</v>
      </c>
      <c r="W374">
        <v>3.92</v>
      </c>
      <c r="X374">
        <v>1.88876</v>
      </c>
      <c r="Y374">
        <v>-0.197498</v>
      </c>
      <c r="Z374">
        <v>0.7244224422442244</v>
      </c>
      <c r="AA374">
        <v>0.4317817014446228</v>
      </c>
      <c r="AB374">
        <v>0.2142857142857143</v>
      </c>
      <c r="AC374">
        <v>0.9181380417335474</v>
      </c>
      <c r="AD374">
        <v>0.8908507223113965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17.74</v>
      </c>
      <c r="D375">
        <v>16789.27792</v>
      </c>
      <c r="E375" t="s">
        <v>663</v>
      </c>
      <c r="F375" t="s">
        <v>632</v>
      </c>
      <c r="G375" t="s">
        <v>677</v>
      </c>
      <c r="H375" t="s">
        <v>702</v>
      </c>
      <c r="I375" t="s">
        <v>1075</v>
      </c>
      <c r="J375" t="s">
        <v>1321</v>
      </c>
      <c r="K375">
        <v>43972</v>
      </c>
      <c r="L375">
        <v>0.132673506200676</v>
      </c>
      <c r="M375">
        <v>0.05330669368924457</v>
      </c>
      <c r="N375">
        <v>0.03</v>
      </c>
      <c r="O375">
        <v>0.1459874025164059</v>
      </c>
      <c r="P375" t="s">
        <v>446</v>
      </c>
      <c r="Q375" t="s">
        <v>637</v>
      </c>
      <c r="R375">
        <v>0</v>
      </c>
      <c r="S375">
        <v>0.6556066852367688</v>
      </c>
      <c r="T375">
        <v>23</v>
      </c>
      <c r="U375">
        <v>0.7713043478260869</v>
      </c>
      <c r="V375">
        <v>1.1502</v>
      </c>
      <c r="W375">
        <v>3.59</v>
      </c>
      <c r="X375">
        <v>2.353628</v>
      </c>
      <c r="Y375">
        <v>-0.199097</v>
      </c>
      <c r="Z375">
        <v>0.9372937293729373</v>
      </c>
      <c r="AA375">
        <v>0.4269662921348315</v>
      </c>
      <c r="AB375">
        <v>0.2680577849117175</v>
      </c>
      <c r="AC375">
        <v>0.8426966292134831</v>
      </c>
      <c r="AD375">
        <v>0.8876404494382022</v>
      </c>
    </row>
    <row r="376" spans="1:30">
      <c r="A376" s="1" t="s">
        <v>383</v>
      </c>
      <c r="B376">
        <f>HYPERLINK("https://www.suredividend.com/sure-analysis-NYCB/","New York Community Bancorp, Inc.")</f>
        <v>0</v>
      </c>
      <c r="C376">
        <v>8.220000000000001</v>
      </c>
      <c r="D376">
        <v>3813.3402</v>
      </c>
      <c r="E376" t="s">
        <v>666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44046</v>
      </c>
      <c r="L376">
        <v>0.08272506082725001</v>
      </c>
      <c r="M376">
        <v>0.03998155434076645</v>
      </c>
      <c r="N376">
        <v>0.05</v>
      </c>
      <c r="O376">
        <v>0.1447984698081366</v>
      </c>
      <c r="P376" t="s">
        <v>446</v>
      </c>
      <c r="Q376" t="s">
        <v>637</v>
      </c>
      <c r="R376">
        <v>0</v>
      </c>
      <c r="S376">
        <v>0.8</v>
      </c>
      <c r="T376">
        <v>10</v>
      </c>
      <c r="U376">
        <v>0.8220000000000001</v>
      </c>
      <c r="V376">
        <v>0.7937000000000001</v>
      </c>
      <c r="W376">
        <v>0.85</v>
      </c>
      <c r="X376">
        <v>0.68</v>
      </c>
      <c r="Y376">
        <v>-0.355799</v>
      </c>
      <c r="Z376">
        <v>0.8547854785478548</v>
      </c>
      <c r="AA376">
        <v>0.2536115569823435</v>
      </c>
      <c r="AB376">
        <v>0.5296950240770465</v>
      </c>
      <c r="AC376">
        <v>0.768860353130016</v>
      </c>
      <c r="AD376">
        <v>0.8828250401284109</v>
      </c>
    </row>
    <row r="377" spans="1:30">
      <c r="A377" s="1" t="s">
        <v>384</v>
      </c>
      <c r="B377">
        <f>HYPERLINK("https://www.suredividend.com/sure-analysis-GEO/","The GEO Group, Inc.")</f>
        <v>0</v>
      </c>
      <c r="C377">
        <v>10.98</v>
      </c>
      <c r="D377">
        <v>1332.24732</v>
      </c>
      <c r="E377" t="s">
        <v>662</v>
      </c>
      <c r="F377" t="s">
        <v>634</v>
      </c>
      <c r="G377" t="s">
        <v>671</v>
      </c>
      <c r="H377" t="s">
        <v>700</v>
      </c>
      <c r="I377" t="s">
        <v>1077</v>
      </c>
      <c r="J377" t="s">
        <v>1323</v>
      </c>
      <c r="K377">
        <v>44051</v>
      </c>
      <c r="L377">
        <v>0.174863387978142</v>
      </c>
      <c r="M377">
        <v>0.01792500121884211</v>
      </c>
      <c r="N377">
        <v>0.03</v>
      </c>
      <c r="O377">
        <v>0.1444709614105573</v>
      </c>
      <c r="P377" t="s">
        <v>446</v>
      </c>
      <c r="Q377" t="s">
        <v>637</v>
      </c>
      <c r="R377">
        <v>0</v>
      </c>
      <c r="S377">
        <v>0.8347826086956522</v>
      </c>
      <c r="T377">
        <v>12</v>
      </c>
      <c r="U377">
        <v>0.915</v>
      </c>
      <c r="V377">
        <v>1.2219</v>
      </c>
      <c r="W377">
        <v>2.3</v>
      </c>
      <c r="X377">
        <v>1.92</v>
      </c>
      <c r="Y377">
        <v>-0.370413</v>
      </c>
      <c r="Z377">
        <v>0.9702970297029703</v>
      </c>
      <c r="AA377">
        <v>0.2279293739967897</v>
      </c>
      <c r="AB377">
        <v>0.2680577849117175</v>
      </c>
      <c r="AC377">
        <v>0.6548956661316212</v>
      </c>
      <c r="AD377">
        <v>0.8812199036918138</v>
      </c>
    </row>
    <row r="378" spans="1:30">
      <c r="A378" s="1" t="s">
        <v>385</v>
      </c>
      <c r="B378">
        <f>HYPERLINK("https://www.suredividend.com/sure-analysis-EPR/","EPR Properties")</f>
        <v>0</v>
      </c>
      <c r="C378">
        <v>26.75</v>
      </c>
      <c r="D378">
        <v>1995.868325</v>
      </c>
      <c r="E378" t="s">
        <v>666</v>
      </c>
      <c r="F378" t="s">
        <v>634</v>
      </c>
      <c r="G378" t="s">
        <v>671</v>
      </c>
      <c r="H378" t="s">
        <v>700</v>
      </c>
      <c r="I378" t="s">
        <v>1078</v>
      </c>
      <c r="J378" t="s">
        <v>1323</v>
      </c>
      <c r="K378">
        <v>44060</v>
      </c>
      <c r="L378">
        <v>0.112710280373831</v>
      </c>
      <c r="M378">
        <v>0.05523418397771729</v>
      </c>
      <c r="N378">
        <v>0.05</v>
      </c>
      <c r="O378">
        <v>0.1421390053612026</v>
      </c>
      <c r="P378" t="s">
        <v>446</v>
      </c>
      <c r="Q378" t="s">
        <v>637</v>
      </c>
      <c r="R378">
        <v>0</v>
      </c>
      <c r="S378">
        <v>0.9571428571428572</v>
      </c>
      <c r="T378">
        <v>35</v>
      </c>
      <c r="U378">
        <v>0.7642857142857142</v>
      </c>
      <c r="V378">
        <v>0.2133</v>
      </c>
      <c r="W378">
        <v>3.15</v>
      </c>
      <c r="X378">
        <v>3.015</v>
      </c>
      <c r="Y378">
        <v>-0.654928</v>
      </c>
      <c r="Z378">
        <v>0.900990099009901</v>
      </c>
      <c r="AA378">
        <v>0.03210272873194222</v>
      </c>
      <c r="AB378">
        <v>0.5296950240770465</v>
      </c>
      <c r="AC378">
        <v>0.8459069020866774</v>
      </c>
      <c r="AD378">
        <v>0.8683788121990369</v>
      </c>
    </row>
    <row r="379" spans="1:30">
      <c r="A379" s="1" t="s">
        <v>386</v>
      </c>
      <c r="B379">
        <f>HYPERLINK("https://www.suredividend.com/sure-analysis-IVZ/","Invesco Ltd.")</f>
        <v>0</v>
      </c>
      <c r="C379">
        <v>10.81</v>
      </c>
      <c r="D379">
        <v>4963.58446</v>
      </c>
      <c r="E379" t="s">
        <v>664</v>
      </c>
      <c r="F379" t="s">
        <v>632</v>
      </c>
      <c r="G379" t="s">
        <v>671</v>
      </c>
      <c r="H379" t="s">
        <v>700</v>
      </c>
      <c r="I379" t="s">
        <v>1079</v>
      </c>
      <c r="J379" t="s">
        <v>1313</v>
      </c>
      <c r="K379">
        <v>44047</v>
      </c>
      <c r="L379">
        <v>0.100370027752081</v>
      </c>
      <c r="M379">
        <v>0.08158052251833947</v>
      </c>
      <c r="N379">
        <v>0.02</v>
      </c>
      <c r="O379">
        <v>0.1420485142289742</v>
      </c>
      <c r="P379" t="s">
        <v>446</v>
      </c>
      <c r="Q379" t="s">
        <v>637</v>
      </c>
      <c r="R379">
        <v>0</v>
      </c>
      <c r="S379">
        <v>0.7233333333333333</v>
      </c>
      <c r="T379">
        <v>16</v>
      </c>
      <c r="U379">
        <v>0.675625</v>
      </c>
      <c r="V379">
        <v>1.0239</v>
      </c>
      <c r="W379">
        <v>1.5</v>
      </c>
      <c r="X379">
        <v>1.085</v>
      </c>
      <c r="Y379">
        <v>-0.358837</v>
      </c>
      <c r="Z379">
        <v>0.8844884488448845</v>
      </c>
      <c r="AA379">
        <v>0.2471910112359551</v>
      </c>
      <c r="AB379">
        <v>0.1613162118780096</v>
      </c>
      <c r="AC379">
        <v>0.9293739967897271</v>
      </c>
      <c r="AD379">
        <v>0.8667736757624398</v>
      </c>
    </row>
    <row r="380" spans="1:30">
      <c r="A380" s="1" t="s">
        <v>387</v>
      </c>
      <c r="B380">
        <f>HYPERLINK("https://www.suredividend.com/sure-analysis-SVC/","Service Properties Trust")</f>
        <v>0</v>
      </c>
      <c r="C380">
        <v>7.5</v>
      </c>
      <c r="D380">
        <v>1234.485</v>
      </c>
      <c r="E380" t="s">
        <v>664</v>
      </c>
      <c r="F380" t="s">
        <v>634</v>
      </c>
      <c r="G380" t="s">
        <v>671</v>
      </c>
      <c r="H380" t="s">
        <v>701</v>
      </c>
      <c r="I380" t="s">
        <v>1080</v>
      </c>
      <c r="J380" t="s">
        <v>1323</v>
      </c>
      <c r="K380">
        <v>44063</v>
      </c>
      <c r="L380">
        <v>0.146666666666666</v>
      </c>
      <c r="M380">
        <v>0.1162884154841741</v>
      </c>
      <c r="N380">
        <v>0.02</v>
      </c>
      <c r="O380">
        <v>0.1417698068009599</v>
      </c>
      <c r="P380" t="s">
        <v>446</v>
      </c>
      <c r="Q380" t="s">
        <v>637</v>
      </c>
      <c r="R380">
        <v>0</v>
      </c>
      <c r="S380">
        <v>0.6111111111111112</v>
      </c>
      <c r="T380">
        <v>13</v>
      </c>
      <c r="U380">
        <v>0.5769230769230769</v>
      </c>
      <c r="V380">
        <v>-0.2787</v>
      </c>
      <c r="W380">
        <v>1.8</v>
      </c>
      <c r="X380">
        <v>1.1</v>
      </c>
      <c r="Y380">
        <v>-0.709977</v>
      </c>
      <c r="Z380">
        <v>0.9537953795379538</v>
      </c>
      <c r="AA380">
        <v>0.01926163723916533</v>
      </c>
      <c r="AB380">
        <v>0.1613162118780096</v>
      </c>
      <c r="AC380">
        <v>0.9807383627608347</v>
      </c>
      <c r="AD380">
        <v>0.8619582664526484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36.05</v>
      </c>
      <c r="D381">
        <v>200325.524</v>
      </c>
      <c r="E381" t="s">
        <v>667</v>
      </c>
      <c r="F381" t="s">
        <v>632</v>
      </c>
      <c r="G381" t="s">
        <v>671</v>
      </c>
      <c r="H381" t="s">
        <v>700</v>
      </c>
      <c r="I381" t="s">
        <v>1081</v>
      </c>
      <c r="J381" t="s">
        <v>1315</v>
      </c>
      <c r="K381">
        <v>44088</v>
      </c>
      <c r="L381">
        <v>0.04160887656033201</v>
      </c>
      <c r="M381">
        <v>0.04995458048368229</v>
      </c>
      <c r="N381">
        <v>0.06</v>
      </c>
      <c r="O381">
        <v>0.1399524967944255</v>
      </c>
      <c r="P381" t="s">
        <v>446</v>
      </c>
      <c r="Q381" t="s">
        <v>372</v>
      </c>
      <c r="R381">
        <v>10</v>
      </c>
      <c r="S381">
        <v>0.5576208178438662</v>
      </c>
      <c r="T381">
        <v>46</v>
      </c>
      <c r="U381">
        <v>0.783695652173913</v>
      </c>
      <c r="V381">
        <v>2.5493</v>
      </c>
      <c r="W381">
        <v>2.69</v>
      </c>
      <c r="X381">
        <v>1.5</v>
      </c>
      <c r="Y381">
        <v>0.007546</v>
      </c>
      <c r="Z381">
        <v>0.5726072607260726</v>
      </c>
      <c r="AA381">
        <v>0.7078651685393258</v>
      </c>
      <c r="AB381">
        <v>0.6597110754414125</v>
      </c>
      <c r="AC381">
        <v>0.8346709470304975</v>
      </c>
      <c r="AD381">
        <v>0.8555377207062601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63.58</v>
      </c>
      <c r="D382">
        <v>41855.871347</v>
      </c>
      <c r="E382" t="s">
        <v>669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44012</v>
      </c>
      <c r="L382">
        <v>0.11953444479396</v>
      </c>
      <c r="M382">
        <v>0.05978966607306524</v>
      </c>
      <c r="N382">
        <v>0.019</v>
      </c>
      <c r="O382">
        <v>0.1387383659295314</v>
      </c>
      <c r="P382" t="s">
        <v>446</v>
      </c>
      <c r="Q382" t="s">
        <v>637</v>
      </c>
      <c r="R382">
        <v>10</v>
      </c>
      <c r="S382">
        <v>0.76</v>
      </c>
      <c r="T382">
        <v>85</v>
      </c>
      <c r="U382">
        <v>0.748</v>
      </c>
      <c r="V382">
        <v>5.6795</v>
      </c>
      <c r="W382">
        <v>10</v>
      </c>
      <c r="X382">
        <v>7.6</v>
      </c>
      <c r="Y382">
        <v>-0.591441</v>
      </c>
      <c r="Z382">
        <v>0.9158415841584159</v>
      </c>
      <c r="AA382">
        <v>0.06099518459069021</v>
      </c>
      <c r="AB382">
        <v>0.1268057784911718</v>
      </c>
      <c r="AC382">
        <v>0.8619582664526484</v>
      </c>
      <c r="AD382">
        <v>0.8523274478330659</v>
      </c>
    </row>
    <row r="383" spans="1:30">
      <c r="A383" s="1" t="s">
        <v>390</v>
      </c>
      <c r="B383">
        <f>HYPERLINK("https://www.suredividend.com/sure-analysis-IPPLF/","Inter Pipeline Ltd.")</f>
        <v>0</v>
      </c>
      <c r="C383">
        <v>9.77</v>
      </c>
      <c r="D383">
        <v>4193.284</v>
      </c>
      <c r="E383" t="s">
        <v>670</v>
      </c>
      <c r="F383" t="s">
        <v>632</v>
      </c>
      <c r="G383" t="s">
        <v>673</v>
      </c>
      <c r="H383" t="s">
        <v>702</v>
      </c>
      <c r="I383" t="s">
        <v>1083</v>
      </c>
      <c r="J383" t="s">
        <v>1317</v>
      </c>
      <c r="K383">
        <v>44069</v>
      </c>
      <c r="L383">
        <v>0.107678714791523</v>
      </c>
      <c r="M383">
        <v>0.07459964903519167</v>
      </c>
      <c r="N383">
        <v>0.03</v>
      </c>
      <c r="O383">
        <v>0.1385286990501111</v>
      </c>
      <c r="P383" t="s">
        <v>446</v>
      </c>
      <c r="Q383" t="s">
        <v>637</v>
      </c>
      <c r="R383">
        <v>0</v>
      </c>
      <c r="S383">
        <v>0.8218914402446719</v>
      </c>
      <c r="T383">
        <v>14</v>
      </c>
      <c r="U383">
        <v>0.6978571428571428</v>
      </c>
      <c r="V383">
        <v>0.5897</v>
      </c>
      <c r="W383">
        <v>1.28</v>
      </c>
      <c r="X383">
        <v>1.05202104351318</v>
      </c>
      <c r="Y383">
        <v>-0.452661</v>
      </c>
      <c r="Z383">
        <v>0.8976897689768977</v>
      </c>
      <c r="AA383">
        <v>0.1380417335473515</v>
      </c>
      <c r="AB383">
        <v>0.2680577849117175</v>
      </c>
      <c r="AC383">
        <v>0.9165329052969503</v>
      </c>
      <c r="AD383">
        <v>0.8507223113964687</v>
      </c>
    </row>
    <row r="384" spans="1:30">
      <c r="A384" s="1" t="s">
        <v>391</v>
      </c>
      <c r="B384">
        <f>HYPERLINK("https://www.suredividend.com/sure-analysis-TCP/","TC Pipelines LP")</f>
        <v>0</v>
      </c>
      <c r="C384">
        <v>26.03</v>
      </c>
      <c r="D384">
        <v>1905.562592</v>
      </c>
      <c r="E384" t="s">
        <v>661</v>
      </c>
      <c r="F384" t="s">
        <v>633</v>
      </c>
      <c r="G384" t="s">
        <v>671</v>
      </c>
      <c r="H384" t="s">
        <v>700</v>
      </c>
      <c r="I384" t="s">
        <v>1084</v>
      </c>
      <c r="J384" t="s">
        <v>1317</v>
      </c>
      <c r="K384">
        <v>44074</v>
      </c>
      <c r="L384">
        <v>0.099884748367268</v>
      </c>
      <c r="M384">
        <v>0.03556533718454302</v>
      </c>
      <c r="N384">
        <v>0.03</v>
      </c>
      <c r="O384">
        <v>0.1373171342979458</v>
      </c>
      <c r="P384" t="s">
        <v>446</v>
      </c>
      <c r="Q384" t="s">
        <v>637</v>
      </c>
      <c r="R384">
        <v>0</v>
      </c>
      <c r="S384">
        <v>0.5909090909090908</v>
      </c>
      <c r="T384">
        <v>31</v>
      </c>
      <c r="U384">
        <v>0.8396774193548387</v>
      </c>
      <c r="V384">
        <v>3.7027</v>
      </c>
      <c r="W384">
        <v>4.4</v>
      </c>
      <c r="X384">
        <v>2.6</v>
      </c>
      <c r="Y384">
        <v>-0.359025</v>
      </c>
      <c r="Z384">
        <v>0.8828382838283828</v>
      </c>
      <c r="AA384">
        <v>0.245585874799358</v>
      </c>
      <c r="AB384">
        <v>0.2680577849117175</v>
      </c>
      <c r="AC384">
        <v>0.738362760834671</v>
      </c>
      <c r="AD384">
        <v>0.8426966292134831</v>
      </c>
    </row>
    <row r="385" spans="1:30">
      <c r="A385" s="1" t="s">
        <v>392</v>
      </c>
      <c r="B385">
        <f>HYPERLINK("https://www.suredividend.com/sure-analysis-FE/","FirstEnergy Corp.")</f>
        <v>0</v>
      </c>
      <c r="C385">
        <v>28.6</v>
      </c>
      <c r="D385">
        <v>15504.346</v>
      </c>
      <c r="E385" t="s">
        <v>662</v>
      </c>
      <c r="F385" t="s">
        <v>632</v>
      </c>
      <c r="G385" t="s">
        <v>671</v>
      </c>
      <c r="H385" t="s">
        <v>700</v>
      </c>
      <c r="I385" t="s">
        <v>1085</v>
      </c>
      <c r="J385" t="s">
        <v>1316</v>
      </c>
      <c r="K385">
        <v>44036</v>
      </c>
      <c r="L385">
        <v>0.053846153846153</v>
      </c>
      <c r="M385">
        <v>0.05848208693096568</v>
      </c>
      <c r="N385">
        <v>0.04</v>
      </c>
      <c r="O385">
        <v>0.1366864796876679</v>
      </c>
      <c r="P385" t="s">
        <v>446</v>
      </c>
      <c r="Q385" t="s">
        <v>372</v>
      </c>
      <c r="R385">
        <v>3</v>
      </c>
      <c r="S385">
        <v>0.616</v>
      </c>
      <c r="T385">
        <v>38</v>
      </c>
      <c r="U385">
        <v>0.7526315789473684</v>
      </c>
      <c r="V385">
        <v>0.9563</v>
      </c>
      <c r="W385">
        <v>2.5</v>
      </c>
      <c r="X385">
        <v>1.54</v>
      </c>
      <c r="Y385">
        <v>-0.413093</v>
      </c>
      <c r="Z385">
        <v>0.6980198019801981</v>
      </c>
      <c r="AA385">
        <v>0.1717495987158908</v>
      </c>
      <c r="AB385">
        <v>0.4012841091492777</v>
      </c>
      <c r="AC385">
        <v>0.8571428571428571</v>
      </c>
      <c r="AD385">
        <v>0.841091492776886</v>
      </c>
    </row>
    <row r="386" spans="1:30">
      <c r="A386" s="1" t="s">
        <v>393</v>
      </c>
      <c r="B386">
        <f>HYPERLINK("https://www.suredividend.com/sure-analysis-SPH/","Suburban Propane Partners LP")</f>
        <v>0</v>
      </c>
      <c r="C386">
        <v>14.81</v>
      </c>
      <c r="D386">
        <v>920.388184</v>
      </c>
      <c r="E386" t="s">
        <v>666</v>
      </c>
      <c r="F386" t="s">
        <v>633</v>
      </c>
      <c r="G386" t="s">
        <v>671</v>
      </c>
      <c r="H386" t="s">
        <v>700</v>
      </c>
      <c r="I386" t="s">
        <v>1086</v>
      </c>
      <c r="J386" t="s">
        <v>1316</v>
      </c>
      <c r="K386">
        <v>44067</v>
      </c>
      <c r="L386">
        <v>0.141796083727211</v>
      </c>
      <c r="M386">
        <v>0.06192779307652452</v>
      </c>
      <c r="N386">
        <v>0.02</v>
      </c>
      <c r="O386">
        <v>0.1365103830673993</v>
      </c>
      <c r="P386" t="s">
        <v>446</v>
      </c>
      <c r="Q386" t="s">
        <v>637</v>
      </c>
      <c r="R386">
        <v>0</v>
      </c>
      <c r="S386">
        <v>0.7000000000000001</v>
      </c>
      <c r="T386">
        <v>20</v>
      </c>
      <c r="U386">
        <v>0.7405</v>
      </c>
      <c r="V386">
        <v>0.8151</v>
      </c>
      <c r="W386">
        <v>3</v>
      </c>
      <c r="X386">
        <v>2.1</v>
      </c>
      <c r="Y386">
        <v>-0.377992</v>
      </c>
      <c r="Z386">
        <v>0.9438943894389439</v>
      </c>
      <c r="AA386">
        <v>0.2199036918138041</v>
      </c>
      <c r="AB386">
        <v>0.1613162118780096</v>
      </c>
      <c r="AC386">
        <v>0.8731942215088283</v>
      </c>
      <c r="AD386">
        <v>0.8394863563402889</v>
      </c>
    </row>
    <row r="387" spans="1:30">
      <c r="A387" s="1" t="s">
        <v>394</v>
      </c>
      <c r="B387">
        <f>HYPERLINK("https://www.suredividend.com/sure-analysis-NRZ/","New Residential Investment Corp.")</f>
        <v>0</v>
      </c>
      <c r="C387">
        <v>7.91</v>
      </c>
      <c r="D387">
        <v>3288.54295</v>
      </c>
      <c r="E387" t="s">
        <v>664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44041</v>
      </c>
      <c r="L387">
        <v>0.145385587863463</v>
      </c>
      <c r="M387">
        <v>0.06817704385981327</v>
      </c>
      <c r="N387">
        <v>0.024</v>
      </c>
      <c r="O387">
        <v>0.1358154666513067</v>
      </c>
      <c r="P387" t="s">
        <v>446</v>
      </c>
      <c r="Q387" t="s">
        <v>637</v>
      </c>
      <c r="R387">
        <v>0</v>
      </c>
      <c r="S387">
        <v>0.8214285714285714</v>
      </c>
      <c r="T387">
        <v>11</v>
      </c>
      <c r="U387">
        <v>0.7190909090909091</v>
      </c>
      <c r="V387">
        <v>-2.8267</v>
      </c>
      <c r="W387">
        <v>1.4</v>
      </c>
      <c r="X387">
        <v>1.15</v>
      </c>
      <c r="Y387">
        <v>-0.492298</v>
      </c>
      <c r="Z387">
        <v>0.9521452145214522</v>
      </c>
      <c r="AA387">
        <v>0.1091492776886035</v>
      </c>
      <c r="AB387">
        <v>0.202247191011236</v>
      </c>
      <c r="AC387">
        <v>0.8956661316211878</v>
      </c>
      <c r="AD387">
        <v>0.8362760834670947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33.65</v>
      </c>
      <c r="D388">
        <v>1320.516855</v>
      </c>
      <c r="E388" t="s">
        <v>661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0.067756315007429</v>
      </c>
      <c r="M388">
        <v>0.05509975352824203</v>
      </c>
      <c r="N388">
        <v>0.03</v>
      </c>
      <c r="O388">
        <v>0.1327845563825731</v>
      </c>
      <c r="P388" t="s">
        <v>446</v>
      </c>
      <c r="Q388" t="s">
        <v>372</v>
      </c>
      <c r="R388">
        <v>0</v>
      </c>
      <c r="S388">
        <v>0.7862068965517243</v>
      </c>
      <c r="T388">
        <v>44</v>
      </c>
      <c r="U388">
        <v>0.7647727272727273</v>
      </c>
      <c r="V388">
        <v>2.6467</v>
      </c>
      <c r="W388">
        <v>2.9</v>
      </c>
      <c r="X388">
        <v>2.28</v>
      </c>
      <c r="Y388">
        <v>-0.347109</v>
      </c>
      <c r="Z388">
        <v>0.7854785478547854</v>
      </c>
      <c r="AA388">
        <v>0.261637239165329</v>
      </c>
      <c r="AB388">
        <v>0.2680577849117175</v>
      </c>
      <c r="AC388">
        <v>0.8443017656500803</v>
      </c>
      <c r="AD388">
        <v>0.8266452648475121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80.38</v>
      </c>
      <c r="D389">
        <v>13805.900967</v>
      </c>
      <c r="E389" t="s">
        <v>669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44067</v>
      </c>
      <c r="L389">
        <v>0.048395123164966</v>
      </c>
      <c r="M389">
        <v>0.06859713178877391</v>
      </c>
      <c r="N389">
        <v>0.027</v>
      </c>
      <c r="O389">
        <v>0.130091401157977</v>
      </c>
      <c r="P389" t="s">
        <v>446</v>
      </c>
      <c r="Q389" t="s">
        <v>372</v>
      </c>
      <c r="R389">
        <v>9</v>
      </c>
      <c r="S389">
        <v>0.5541310541310542</v>
      </c>
      <c r="T389">
        <v>112</v>
      </c>
      <c r="U389">
        <v>0.7176785714285714</v>
      </c>
      <c r="W389">
        <v>7.02</v>
      </c>
      <c r="X389">
        <v>3.89</v>
      </c>
      <c r="Y389">
        <v>-0.39377</v>
      </c>
      <c r="Z389">
        <v>0.6336633663366337</v>
      </c>
      <c r="AA389">
        <v>0.1942215088282504</v>
      </c>
      <c r="AB389">
        <v>0.2110754414125201</v>
      </c>
      <c r="AC389">
        <v>0.9004815409309791</v>
      </c>
      <c r="AD389">
        <v>0.8138041733547351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26.53</v>
      </c>
      <c r="D390">
        <v>7644.56644</v>
      </c>
      <c r="E390" t="s">
        <v>664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44063</v>
      </c>
      <c r="L390">
        <v>0.092970222389747</v>
      </c>
      <c r="M390">
        <v>0.03163219905139525</v>
      </c>
      <c r="N390">
        <v>0.025</v>
      </c>
      <c r="O390">
        <v>0.1250144293513062</v>
      </c>
      <c r="P390" t="s">
        <v>446</v>
      </c>
      <c r="Q390" t="s">
        <v>637</v>
      </c>
      <c r="R390">
        <v>10</v>
      </c>
      <c r="S390">
        <v>0.8361016949152542</v>
      </c>
      <c r="T390">
        <v>31</v>
      </c>
      <c r="U390">
        <v>0.8558064516129033</v>
      </c>
      <c r="V390">
        <v>0.7039000000000001</v>
      </c>
      <c r="W390">
        <v>2.95</v>
      </c>
      <c r="X390">
        <v>2.4665</v>
      </c>
      <c r="Y390">
        <v>-0.168599</v>
      </c>
      <c r="Z390">
        <v>0.8762376237623762</v>
      </c>
      <c r="AA390">
        <v>0.4686998394863564</v>
      </c>
      <c r="AB390">
        <v>0.2054574638844302</v>
      </c>
      <c r="AC390">
        <v>0.7207062600321028</v>
      </c>
      <c r="AD390">
        <v>0.797752808988764</v>
      </c>
    </row>
    <row r="391" spans="1:30">
      <c r="A391" s="1" t="s">
        <v>398</v>
      </c>
      <c r="B391">
        <f>HYPERLINK("https://www.suredividend.com/sure-analysis-OHI/","Omega Healthcare Investors, Inc.")</f>
        <v>0</v>
      </c>
      <c r="C391">
        <v>29.92</v>
      </c>
      <c r="D391">
        <v>6790.97232</v>
      </c>
      <c r="E391" t="s">
        <v>666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44052</v>
      </c>
      <c r="L391">
        <v>0.08957219251336801</v>
      </c>
      <c r="M391">
        <v>0.03769131598252828</v>
      </c>
      <c r="N391">
        <v>0.02</v>
      </c>
      <c r="O391">
        <v>0.1235240562201978</v>
      </c>
      <c r="P391" t="s">
        <v>446</v>
      </c>
      <c r="Q391" t="s">
        <v>637</v>
      </c>
      <c r="R391">
        <v>17</v>
      </c>
      <c r="S391">
        <v>0.8933333333333334</v>
      </c>
      <c r="T391">
        <v>36</v>
      </c>
      <c r="U391">
        <v>0.8311111111111111</v>
      </c>
      <c r="V391">
        <v>1.7403</v>
      </c>
      <c r="W391">
        <v>3</v>
      </c>
      <c r="X391">
        <v>2.68</v>
      </c>
      <c r="Y391">
        <v>-0.287789</v>
      </c>
      <c r="Z391">
        <v>0.8663366336633663</v>
      </c>
      <c r="AA391">
        <v>0.3338683788121991</v>
      </c>
      <c r="AB391">
        <v>0.1613162118780096</v>
      </c>
      <c r="AC391">
        <v>0.7495987158908507</v>
      </c>
      <c r="AD391">
        <v>0.7865168539325843</v>
      </c>
    </row>
    <row r="392" spans="1:30">
      <c r="A392" s="1" t="s">
        <v>399</v>
      </c>
      <c r="B392">
        <f>HYPERLINK("https://www.suredividend.com/sure-analysis-CNA/","CNA Financial Corp.")</f>
        <v>0</v>
      </c>
      <c r="C392">
        <v>29.71</v>
      </c>
      <c r="D392">
        <v>8062.72951</v>
      </c>
      <c r="E392" t="s">
        <v>660</v>
      </c>
      <c r="F392" t="s">
        <v>632</v>
      </c>
      <c r="G392" t="s">
        <v>671</v>
      </c>
      <c r="H392" t="s">
        <v>700</v>
      </c>
      <c r="I392" t="s">
        <v>1092</v>
      </c>
      <c r="J392" t="s">
        <v>1313</v>
      </c>
      <c r="K392">
        <v>44049</v>
      </c>
      <c r="L392">
        <v>0.048468529114776</v>
      </c>
      <c r="M392">
        <v>0.03915413428039649</v>
      </c>
      <c r="N392">
        <v>0.04</v>
      </c>
      <c r="O392">
        <v>0.119037022883741</v>
      </c>
      <c r="P392" t="s">
        <v>446</v>
      </c>
      <c r="Q392" t="s">
        <v>372</v>
      </c>
      <c r="R392">
        <v>4</v>
      </c>
      <c r="S392">
        <v>0.6260869565217392</v>
      </c>
      <c r="T392">
        <v>36</v>
      </c>
      <c r="U392">
        <v>0.8252777777777778</v>
      </c>
      <c r="V392">
        <v>1.731</v>
      </c>
      <c r="W392">
        <v>2.3</v>
      </c>
      <c r="X392">
        <v>1.44</v>
      </c>
      <c r="Y392">
        <v>-0.393921</v>
      </c>
      <c r="Z392">
        <v>0.6353135313531353</v>
      </c>
      <c r="AA392">
        <v>0.1926163723916533</v>
      </c>
      <c r="AB392">
        <v>0.4012841091492777</v>
      </c>
      <c r="AC392">
        <v>0.754414125200642</v>
      </c>
      <c r="AD392">
        <v>0.7656500802568219</v>
      </c>
    </row>
    <row r="393" spans="1:30">
      <c r="A393" s="1" t="s">
        <v>400</v>
      </c>
      <c r="B393">
        <f>HYPERLINK("https://www.suredividend.com/sure-analysis-UBA/","Urstadt Biddle Properties, Inc.")</f>
        <v>0</v>
      </c>
      <c r="C393">
        <v>8.880000000000001</v>
      </c>
      <c r="D393">
        <v>355.794072</v>
      </c>
      <c r="E393" t="s">
        <v>669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44089</v>
      </c>
      <c r="L393">
        <v>0.101914414414414</v>
      </c>
      <c r="M393">
        <v>0.04374869111319768</v>
      </c>
      <c r="N393">
        <v>0</v>
      </c>
      <c r="O393">
        <v>0.117964056544815</v>
      </c>
      <c r="P393" t="s">
        <v>446</v>
      </c>
      <c r="Q393" t="s">
        <v>637</v>
      </c>
      <c r="R393">
        <v>0</v>
      </c>
      <c r="S393">
        <v>0.8153153153153153</v>
      </c>
      <c r="T393">
        <v>11</v>
      </c>
      <c r="U393">
        <v>0.8072727272727274</v>
      </c>
      <c r="V393">
        <v>0.3254</v>
      </c>
      <c r="W393">
        <v>1.11</v>
      </c>
      <c r="X393">
        <v>0.905</v>
      </c>
      <c r="Y393">
        <v>-0.629382</v>
      </c>
      <c r="Z393">
        <v>0.8877887788778878</v>
      </c>
      <c r="AA393">
        <v>0.04173354735152488</v>
      </c>
      <c r="AB393">
        <v>0.04895666131621188</v>
      </c>
      <c r="AC393">
        <v>0.8009630818619583</v>
      </c>
      <c r="AD393">
        <v>0.7560192616372392</v>
      </c>
    </row>
    <row r="394" spans="1:30">
      <c r="A394" s="1" t="s">
        <v>401</v>
      </c>
      <c r="B394">
        <f>HYPERLINK("https://www.suredividend.com/sure-analysis-CWCO/","Consolidated Water Co. Ltd.")</f>
        <v>0</v>
      </c>
      <c r="C394">
        <v>10.78</v>
      </c>
      <c r="D394">
        <v>163.01516</v>
      </c>
      <c r="E394" t="s">
        <v>669</v>
      </c>
      <c r="F394" t="s">
        <v>632</v>
      </c>
      <c r="G394" t="s">
        <v>694</v>
      </c>
      <c r="H394" t="s">
        <v>701</v>
      </c>
      <c r="I394" t="s">
        <v>1094</v>
      </c>
      <c r="J394" t="s">
        <v>1316</v>
      </c>
      <c r="K394">
        <v>44089</v>
      </c>
      <c r="L394">
        <v>0.031539888682745</v>
      </c>
      <c r="M394">
        <v>0.06830312708380082</v>
      </c>
      <c r="N394">
        <v>0.023</v>
      </c>
      <c r="O394">
        <v>0.1179389179188595</v>
      </c>
      <c r="P394" t="s">
        <v>446</v>
      </c>
      <c r="Q394" t="s">
        <v>446</v>
      </c>
      <c r="R394">
        <v>3</v>
      </c>
      <c r="S394">
        <v>0.8095238095238096</v>
      </c>
      <c r="T394">
        <v>15</v>
      </c>
      <c r="U394">
        <v>0.7186666666666667</v>
      </c>
      <c r="V394">
        <v>0.3494</v>
      </c>
      <c r="W394">
        <v>0.42</v>
      </c>
      <c r="X394">
        <v>0.34</v>
      </c>
      <c r="Y394">
        <v>-0.382942</v>
      </c>
      <c r="Z394">
        <v>0.438943894389439</v>
      </c>
      <c r="AA394">
        <v>0.2102728731942215</v>
      </c>
      <c r="AB394">
        <v>0.1998394863563403</v>
      </c>
      <c r="AC394">
        <v>0.8988764044943821</v>
      </c>
      <c r="AD394">
        <v>0.754414125200642</v>
      </c>
    </row>
    <row r="395" spans="1:30">
      <c r="A395" s="1" t="s">
        <v>402</v>
      </c>
      <c r="B395">
        <f>HYPERLINK("https://www.suredividend.com/sure-analysis-HAS/","Hasbro, Inc.")</f>
        <v>0</v>
      </c>
      <c r="C395">
        <v>76.97</v>
      </c>
      <c r="D395">
        <v>10546.66031</v>
      </c>
      <c r="E395" t="s">
        <v>666</v>
      </c>
      <c r="F395" t="s">
        <v>632</v>
      </c>
      <c r="G395" t="s">
        <v>671</v>
      </c>
      <c r="H395" t="s">
        <v>701</v>
      </c>
      <c r="I395" t="s">
        <v>1095</v>
      </c>
      <c r="J395" t="s">
        <v>1318</v>
      </c>
      <c r="K395">
        <v>44045</v>
      </c>
      <c r="L395">
        <v>0.035338443549434</v>
      </c>
      <c r="M395">
        <v>0.01025894969163854</v>
      </c>
      <c r="N395">
        <v>0.08</v>
      </c>
      <c r="O395">
        <v>0.1177839358302331</v>
      </c>
      <c r="P395" t="s">
        <v>446</v>
      </c>
      <c r="Q395" t="s">
        <v>446</v>
      </c>
      <c r="R395">
        <v>16</v>
      </c>
      <c r="S395">
        <v>0.8119402985074626</v>
      </c>
      <c r="T395">
        <v>81</v>
      </c>
      <c r="U395">
        <v>0.9502469135802469</v>
      </c>
      <c r="V395">
        <v>2.9466</v>
      </c>
      <c r="W395">
        <v>3.35</v>
      </c>
      <c r="X395">
        <v>2.72</v>
      </c>
      <c r="Y395">
        <v>-0.344378</v>
      </c>
      <c r="Z395">
        <v>0.4851485148514851</v>
      </c>
      <c r="AA395">
        <v>0.2664526484751204</v>
      </c>
      <c r="AB395">
        <v>0.8274478330658106</v>
      </c>
      <c r="AC395">
        <v>0.6243980738362761</v>
      </c>
      <c r="AD395">
        <v>0.7512038523274478</v>
      </c>
    </row>
    <row r="396" spans="1:30">
      <c r="A396" s="1" t="s">
        <v>403</v>
      </c>
      <c r="B396">
        <f>HYPERLINK("https://www.suredividend.com/sure-analysis-MGP/","MGM Growth Properties LLC")</f>
        <v>0</v>
      </c>
      <c r="C396">
        <v>27.99</v>
      </c>
      <c r="D396">
        <v>7359.214742</v>
      </c>
      <c r="E396" t="s">
        <v>668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44069</v>
      </c>
      <c r="L396">
        <v>0.06797070382279301</v>
      </c>
      <c r="M396">
        <v>0.04571425713962407</v>
      </c>
      <c r="N396">
        <v>0.02</v>
      </c>
      <c r="O396">
        <v>0.1172935679289822</v>
      </c>
      <c r="P396" t="s">
        <v>446</v>
      </c>
      <c r="Q396" t="s">
        <v>372</v>
      </c>
      <c r="R396">
        <v>3</v>
      </c>
      <c r="S396">
        <v>0.8271739130434783</v>
      </c>
      <c r="T396">
        <v>35</v>
      </c>
      <c r="U396">
        <v>0.7997142857142857</v>
      </c>
      <c r="V396">
        <v>0.3999</v>
      </c>
      <c r="W396">
        <v>2.3</v>
      </c>
      <c r="X396">
        <v>1.9025</v>
      </c>
      <c r="Y396">
        <v>-0.08708399999999999</v>
      </c>
      <c r="Z396">
        <v>0.7887788778877888</v>
      </c>
      <c r="AA396">
        <v>0.5762439807383628</v>
      </c>
      <c r="AB396">
        <v>0.1613162118780096</v>
      </c>
      <c r="AC396">
        <v>0.8089887640449439</v>
      </c>
      <c r="AD396">
        <v>0.7495987158908507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35.16</v>
      </c>
      <c r="D397">
        <v>52963.6176</v>
      </c>
      <c r="E397" t="s">
        <v>666</v>
      </c>
      <c r="F397" t="s">
        <v>632</v>
      </c>
      <c r="G397" t="s">
        <v>671</v>
      </c>
      <c r="H397" t="s">
        <v>700</v>
      </c>
      <c r="I397" t="s">
        <v>1097</v>
      </c>
      <c r="J397" t="s">
        <v>1313</v>
      </c>
      <c r="K397">
        <v>44028</v>
      </c>
      <c r="L397">
        <v>0.04778156996587</v>
      </c>
      <c r="M397">
        <v>0.02612962226548166</v>
      </c>
      <c r="N397">
        <v>0.05</v>
      </c>
      <c r="O397">
        <v>0.1168401297628949</v>
      </c>
      <c r="P397" t="s">
        <v>446</v>
      </c>
      <c r="Q397" t="s">
        <v>372</v>
      </c>
      <c r="R397">
        <v>10</v>
      </c>
      <c r="S397">
        <v>0.7000000000000001</v>
      </c>
      <c r="T397">
        <v>40</v>
      </c>
      <c r="U397">
        <v>0.8789999999999999</v>
      </c>
      <c r="V397">
        <v>3.1855</v>
      </c>
      <c r="W397">
        <v>2.4</v>
      </c>
      <c r="X397">
        <v>1.68</v>
      </c>
      <c r="Y397">
        <v>-0.367285</v>
      </c>
      <c r="Z397">
        <v>0.6270627062706271</v>
      </c>
      <c r="AA397">
        <v>0.2343499197431782</v>
      </c>
      <c r="AB397">
        <v>0.5296950240770465</v>
      </c>
      <c r="AC397">
        <v>0.6853932584269663</v>
      </c>
      <c r="AD397">
        <v>0.7447833065810593</v>
      </c>
    </row>
    <row r="398" spans="1:30">
      <c r="A398" s="1" t="s">
        <v>405</v>
      </c>
      <c r="B398">
        <f>HYPERLINK("https://www.suredividend.com/sure-analysis-JPM/","JPMorgan Chase &amp; Co.")</f>
        <v>0</v>
      </c>
      <c r="C398">
        <v>93.47</v>
      </c>
      <c r="D398">
        <v>284859.172</v>
      </c>
      <c r="E398" t="s">
        <v>666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44027</v>
      </c>
      <c r="L398">
        <v>0.038515031560928</v>
      </c>
      <c r="M398">
        <v>0.02353668092540695</v>
      </c>
      <c r="N398">
        <v>0.06</v>
      </c>
      <c r="O398">
        <v>0.1163115800203192</v>
      </c>
      <c r="P398" t="s">
        <v>446</v>
      </c>
      <c r="Q398" t="s">
        <v>446</v>
      </c>
      <c r="R398">
        <v>10</v>
      </c>
      <c r="S398">
        <v>0.6</v>
      </c>
      <c r="T398">
        <v>105</v>
      </c>
      <c r="U398">
        <v>0.8901904761904762</v>
      </c>
      <c r="V398">
        <v>7.4385</v>
      </c>
      <c r="W398">
        <v>6</v>
      </c>
      <c r="X398">
        <v>3.6</v>
      </c>
      <c r="Y398">
        <v>-0.201316</v>
      </c>
      <c r="Z398">
        <v>0.5313531353135313</v>
      </c>
      <c r="AA398">
        <v>0.4221508828250402</v>
      </c>
      <c r="AB398">
        <v>0.6597110754414125</v>
      </c>
      <c r="AC398">
        <v>0.6805778491171749</v>
      </c>
      <c r="AD398">
        <v>0.7415730337078652</v>
      </c>
    </row>
    <row r="399" spans="1:30">
      <c r="A399" s="1" t="s">
        <v>406</v>
      </c>
      <c r="B399">
        <f>HYPERLINK("https://www.suredividend.com/sure-analysis-SKT/","Tanger Factory Outlet Centers, Inc.")</f>
        <v>0</v>
      </c>
      <c r="C399">
        <v>5.85</v>
      </c>
      <c r="D399">
        <v>546.812955</v>
      </c>
      <c r="E399" t="s">
        <v>665</v>
      </c>
      <c r="F399" t="s">
        <v>634</v>
      </c>
      <c r="G399" t="s">
        <v>671</v>
      </c>
      <c r="H399" t="s">
        <v>700</v>
      </c>
      <c r="I399" t="s">
        <v>1099</v>
      </c>
      <c r="J399" t="s">
        <v>1323</v>
      </c>
      <c r="K399">
        <v>44063</v>
      </c>
      <c r="L399">
        <v>0.182478632478632</v>
      </c>
      <c r="M399">
        <v>0.06460088822882759</v>
      </c>
      <c r="N399">
        <v>0</v>
      </c>
      <c r="O399">
        <v>0.1160681533487329</v>
      </c>
      <c r="P399" t="s">
        <v>446</v>
      </c>
      <c r="Q399" t="s">
        <v>636</v>
      </c>
      <c r="R399">
        <v>27</v>
      </c>
      <c r="S399">
        <v>0.821153846153846</v>
      </c>
      <c r="T399">
        <v>8</v>
      </c>
      <c r="U399">
        <v>0.73125</v>
      </c>
      <c r="V399">
        <v>-0.4225</v>
      </c>
      <c r="W399">
        <v>1.3</v>
      </c>
      <c r="X399">
        <v>1.0675</v>
      </c>
      <c r="Y399">
        <v>-0.629512</v>
      </c>
      <c r="Z399">
        <v>0.976897689768977</v>
      </c>
      <c r="AA399">
        <v>0.04012841091492777</v>
      </c>
      <c r="AB399">
        <v>0.04895666131621188</v>
      </c>
      <c r="AC399">
        <v>0.8860353130016051</v>
      </c>
      <c r="AD399">
        <v>0.7399678972712681</v>
      </c>
    </row>
    <row r="400" spans="1:30">
      <c r="A400" s="1" t="s">
        <v>407</v>
      </c>
      <c r="B400">
        <f>HYPERLINK("https://www.suredividend.com/sure-analysis-WMB/","The Williams Cos., Inc.")</f>
        <v>0</v>
      </c>
      <c r="C400">
        <v>19.98</v>
      </c>
      <c r="D400">
        <v>24246.9288</v>
      </c>
      <c r="E400" t="s">
        <v>661</v>
      </c>
      <c r="F400" t="s">
        <v>632</v>
      </c>
      <c r="G400" t="s">
        <v>671</v>
      </c>
      <c r="H400" t="s">
        <v>700</v>
      </c>
      <c r="I400" t="s">
        <v>1100</v>
      </c>
      <c r="J400" t="s">
        <v>1317</v>
      </c>
      <c r="K400">
        <v>44064</v>
      </c>
      <c r="L400">
        <v>0.07807807807807801</v>
      </c>
      <c r="M400">
        <v>0.0002001200880705767</v>
      </c>
      <c r="N400">
        <v>0.05</v>
      </c>
      <c r="O400">
        <v>0.1148213198343606</v>
      </c>
      <c r="P400" t="s">
        <v>446</v>
      </c>
      <c r="Q400" t="s">
        <v>637</v>
      </c>
      <c r="R400">
        <v>3</v>
      </c>
      <c r="S400">
        <v>0.5842696629213483</v>
      </c>
      <c r="T400">
        <v>20</v>
      </c>
      <c r="U400">
        <v>0.999</v>
      </c>
      <c r="V400">
        <v>0.1056</v>
      </c>
      <c r="W400">
        <v>2.67</v>
      </c>
      <c r="X400">
        <v>1.56</v>
      </c>
      <c r="Y400">
        <v>-0.171985</v>
      </c>
      <c r="Z400">
        <v>0.8366336633663366</v>
      </c>
      <c r="AA400">
        <v>0.463884430176565</v>
      </c>
      <c r="AB400">
        <v>0.5296950240770465</v>
      </c>
      <c r="AC400">
        <v>0.5601926163723917</v>
      </c>
      <c r="AD400">
        <v>0.7367576243980739</v>
      </c>
    </row>
    <row r="401" spans="1:30">
      <c r="A401" s="1" t="s">
        <v>408</v>
      </c>
      <c r="B401">
        <f>HYPERLINK("https://www.suredividend.com/sure-analysis-GSK/","GlaxoSmithKline Plc")</f>
        <v>0</v>
      </c>
      <c r="C401">
        <v>37.8</v>
      </c>
      <c r="D401">
        <v>94077.774</v>
      </c>
      <c r="E401" t="s">
        <v>663</v>
      </c>
      <c r="F401" t="s">
        <v>632</v>
      </c>
      <c r="G401" t="s">
        <v>677</v>
      </c>
      <c r="H401" t="s">
        <v>700</v>
      </c>
      <c r="I401" t="s">
        <v>1101</v>
      </c>
      <c r="J401" t="s">
        <v>1315</v>
      </c>
      <c r="K401">
        <v>44042</v>
      </c>
      <c r="L401">
        <v>0.05197478835978801</v>
      </c>
      <c r="M401">
        <v>0.04004757653240709</v>
      </c>
      <c r="N401">
        <v>0.03</v>
      </c>
      <c r="O401">
        <v>0.1126803792176263</v>
      </c>
      <c r="P401" t="s">
        <v>446</v>
      </c>
      <c r="Q401" t="s">
        <v>372</v>
      </c>
      <c r="R401">
        <v>0</v>
      </c>
      <c r="S401">
        <v>0.6420415032679738</v>
      </c>
      <c r="T401">
        <v>46</v>
      </c>
      <c r="U401">
        <v>0.8217391304347825</v>
      </c>
      <c r="V401">
        <v>2.3865</v>
      </c>
      <c r="W401">
        <v>3.06</v>
      </c>
      <c r="X401">
        <v>1.964647</v>
      </c>
      <c r="Y401">
        <v>-0.100856</v>
      </c>
      <c r="Z401">
        <v>0.6765676567656765</v>
      </c>
      <c r="AA401">
        <v>0.5585874799357946</v>
      </c>
      <c r="AB401">
        <v>0.2680577849117175</v>
      </c>
      <c r="AC401">
        <v>0.7704654895666131</v>
      </c>
      <c r="AD401">
        <v>0.7303370786516854</v>
      </c>
    </row>
    <row r="402" spans="1:30">
      <c r="A402" s="1" t="s">
        <v>409</v>
      </c>
      <c r="B402">
        <f>HYPERLINK("https://www.suredividend.com/sure-analysis-TRP/","TC Energy Corp.")</f>
        <v>0</v>
      </c>
      <c r="C402">
        <v>44.6</v>
      </c>
      <c r="D402">
        <v>41924</v>
      </c>
      <c r="E402" t="s">
        <v>661</v>
      </c>
      <c r="F402" t="s">
        <v>632</v>
      </c>
      <c r="G402" t="s">
        <v>673</v>
      </c>
      <c r="H402" t="s">
        <v>700</v>
      </c>
      <c r="I402" t="s">
        <v>1102</v>
      </c>
      <c r="J402" t="s">
        <v>1317</v>
      </c>
      <c r="K402">
        <v>44074</v>
      </c>
      <c r="L402">
        <v>0.052084185808974</v>
      </c>
      <c r="M402">
        <v>0.02718120321946738</v>
      </c>
      <c r="N402">
        <v>0.04</v>
      </c>
      <c r="O402">
        <v>0.1123872305710178</v>
      </c>
      <c r="P402" t="s">
        <v>446</v>
      </c>
      <c r="Q402" t="s">
        <v>372</v>
      </c>
      <c r="R402">
        <v>5</v>
      </c>
      <c r="S402">
        <v>0.7259233397125812</v>
      </c>
      <c r="T402">
        <v>51</v>
      </c>
      <c r="U402">
        <v>0.8745098039215686</v>
      </c>
      <c r="V402">
        <v>3.3888</v>
      </c>
      <c r="W402">
        <v>3.2</v>
      </c>
      <c r="X402">
        <v>2.32295468708026</v>
      </c>
      <c r="Y402">
        <v>-0.146738</v>
      </c>
      <c r="Z402">
        <v>0.6782178217821782</v>
      </c>
      <c r="AA402">
        <v>0.4975922953451043</v>
      </c>
      <c r="AB402">
        <v>0.4012841091492777</v>
      </c>
      <c r="AC402">
        <v>0.6934189406099519</v>
      </c>
      <c r="AD402">
        <v>0.7287319422150883</v>
      </c>
    </row>
    <row r="403" spans="1:30">
      <c r="A403" s="1" t="s">
        <v>410</v>
      </c>
      <c r="B403">
        <f>HYPERLINK("https://www.suredividend.com/sure-analysis-OGZPY/","Gazprom PJSC")</f>
        <v>0</v>
      </c>
      <c r="C403">
        <v>4.39</v>
      </c>
      <c r="D403">
        <v>51963.3325</v>
      </c>
      <c r="E403" t="s">
        <v>661</v>
      </c>
      <c r="F403" t="s">
        <v>632</v>
      </c>
      <c r="G403" t="s">
        <v>695</v>
      </c>
      <c r="H403" t="s">
        <v>702</v>
      </c>
      <c r="I403" t="s">
        <v>1103</v>
      </c>
      <c r="J403" t="s">
        <v>1317</v>
      </c>
      <c r="K403">
        <v>44077</v>
      </c>
      <c r="L403">
        <v>0.094077448747152</v>
      </c>
      <c r="M403">
        <v>-0.04430193912130265</v>
      </c>
      <c r="N403">
        <v>0.08</v>
      </c>
      <c r="O403">
        <v>0.111738266797123</v>
      </c>
      <c r="P403" t="s">
        <v>446</v>
      </c>
      <c r="Q403" t="s">
        <v>637</v>
      </c>
      <c r="R403">
        <v>0</v>
      </c>
      <c r="S403">
        <v>0.5900000000000001</v>
      </c>
      <c r="T403">
        <v>3.5</v>
      </c>
      <c r="U403">
        <v>1.254285714285714</v>
      </c>
      <c r="V403">
        <v>0.5229</v>
      </c>
      <c r="W403">
        <v>0.7</v>
      </c>
      <c r="X403">
        <v>0.413</v>
      </c>
      <c r="Y403">
        <v>-0.386014</v>
      </c>
      <c r="Z403">
        <v>0.8795379537953795</v>
      </c>
      <c r="AA403">
        <v>0.2054574638844302</v>
      </c>
      <c r="AB403">
        <v>0.8274478330658106</v>
      </c>
      <c r="AC403">
        <v>0.2969502407704655</v>
      </c>
      <c r="AD403">
        <v>0.7239165329052969</v>
      </c>
    </row>
    <row r="404" spans="1:30">
      <c r="A404" s="1" t="s">
        <v>411</v>
      </c>
      <c r="B404">
        <f>HYPERLINK("https://www.suredividend.com/sure-analysis-UBS/","UBS Group AG")</f>
        <v>0</v>
      </c>
      <c r="C404">
        <v>10.51</v>
      </c>
      <c r="D404">
        <v>37701.300204</v>
      </c>
      <c r="E404" t="s">
        <v>661</v>
      </c>
      <c r="F404" t="s">
        <v>632</v>
      </c>
      <c r="G404" t="s">
        <v>676</v>
      </c>
      <c r="H404" t="s">
        <v>700</v>
      </c>
      <c r="I404" t="s">
        <v>1104</v>
      </c>
      <c r="J404" t="s">
        <v>1313</v>
      </c>
      <c r="K404">
        <v>44069</v>
      </c>
      <c r="L404">
        <v>0.051474785918173</v>
      </c>
      <c r="M404">
        <v>0.02687056716520586</v>
      </c>
      <c r="N404">
        <v>0.04</v>
      </c>
      <c r="O404">
        <v>0.1109437881269986</v>
      </c>
      <c r="P404" t="s">
        <v>446</v>
      </c>
      <c r="Q404" t="s">
        <v>372</v>
      </c>
      <c r="R404">
        <v>0</v>
      </c>
      <c r="S404">
        <v>0.4918181818181818</v>
      </c>
      <c r="T404">
        <v>12</v>
      </c>
      <c r="U404">
        <v>0.8758333333333334</v>
      </c>
      <c r="V404">
        <v>1.2753</v>
      </c>
      <c r="W404">
        <v>1.1</v>
      </c>
      <c r="X404">
        <v>0.541</v>
      </c>
      <c r="Y404">
        <v>-0.062444</v>
      </c>
      <c r="Z404">
        <v>0.6666666666666667</v>
      </c>
      <c r="AA404">
        <v>0.6003210272873194</v>
      </c>
      <c r="AB404">
        <v>0.4012841091492777</v>
      </c>
      <c r="AC404">
        <v>0.6886035313001605</v>
      </c>
      <c r="AD404">
        <v>0.7142857142857143</v>
      </c>
    </row>
    <row r="405" spans="1:30">
      <c r="A405" s="1" t="s">
        <v>412</v>
      </c>
      <c r="B405">
        <f>HYPERLINK("https://www.suredividend.com/sure-analysis-MGA/","Magna International, Inc.")</f>
        <v>0</v>
      </c>
      <c r="C405">
        <v>44.55</v>
      </c>
      <c r="D405">
        <v>13303.6992</v>
      </c>
      <c r="E405" t="s">
        <v>670</v>
      </c>
      <c r="F405" t="s">
        <v>632</v>
      </c>
      <c r="G405" t="s">
        <v>673</v>
      </c>
      <c r="H405" t="s">
        <v>700</v>
      </c>
      <c r="I405" t="s">
        <v>1105</v>
      </c>
      <c r="J405" t="s">
        <v>1318</v>
      </c>
      <c r="K405">
        <v>44063</v>
      </c>
      <c r="L405">
        <v>0.03447591490088001</v>
      </c>
      <c r="M405">
        <v>0.04681048447660019</v>
      </c>
      <c r="N405">
        <v>0.035</v>
      </c>
      <c r="O405">
        <v>0.1105217016235722</v>
      </c>
      <c r="P405" t="s">
        <v>446</v>
      </c>
      <c r="Q405" t="s">
        <v>446</v>
      </c>
      <c r="R405">
        <v>9</v>
      </c>
      <c r="S405">
        <v>0.752893141585402</v>
      </c>
      <c r="T405">
        <v>56</v>
      </c>
      <c r="U405">
        <v>0.7955357142857142</v>
      </c>
      <c r="V405">
        <v>-0.6116</v>
      </c>
      <c r="W405">
        <v>2.04</v>
      </c>
      <c r="X405">
        <v>1.53590200883422</v>
      </c>
      <c r="Y405">
        <v>-0.147042</v>
      </c>
      <c r="Z405">
        <v>0.4719471947194719</v>
      </c>
      <c r="AA405">
        <v>0.4959871589085072</v>
      </c>
      <c r="AB405">
        <v>0.3362760834670947</v>
      </c>
      <c r="AC405">
        <v>0.8170144462279293</v>
      </c>
      <c r="AD405">
        <v>0.7126805778491172</v>
      </c>
    </row>
    <row r="406" spans="1:30">
      <c r="A406" s="1" t="s">
        <v>413</v>
      </c>
      <c r="B406">
        <f>HYPERLINK("https://www.suredividend.com/sure-analysis-MPW/","Medical Properties Trust, Inc.")</f>
        <v>0</v>
      </c>
      <c r="C406">
        <v>17.14</v>
      </c>
      <c r="D406">
        <v>9064.129059999999</v>
      </c>
      <c r="E406" t="s">
        <v>669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44012</v>
      </c>
      <c r="L406">
        <v>0.061843640606767</v>
      </c>
      <c r="M406">
        <v>0.009839461233171809</v>
      </c>
      <c r="N406">
        <v>0.047</v>
      </c>
      <c r="O406">
        <v>0.1094031881521444</v>
      </c>
      <c r="P406" t="s">
        <v>446</v>
      </c>
      <c r="Q406" t="s">
        <v>372</v>
      </c>
      <c r="R406">
        <v>7</v>
      </c>
      <c r="S406">
        <v>0.726027397260274</v>
      </c>
      <c r="T406">
        <v>18</v>
      </c>
      <c r="U406">
        <v>0.9522222222222223</v>
      </c>
      <c r="V406">
        <v>0.8259000000000001</v>
      </c>
      <c r="W406">
        <v>1.46</v>
      </c>
      <c r="X406">
        <v>1.06</v>
      </c>
      <c r="Y406">
        <v>-0.124617</v>
      </c>
      <c r="Z406">
        <v>0.7491749174917491</v>
      </c>
      <c r="AA406">
        <v>0.5280898876404494</v>
      </c>
      <c r="AB406">
        <v>0.4654895666131621</v>
      </c>
      <c r="AC406">
        <v>0.6195826645264847</v>
      </c>
      <c r="AD406">
        <v>0.7094703049759229</v>
      </c>
    </row>
    <row r="407" spans="1:30">
      <c r="A407" s="1" t="s">
        <v>414</v>
      </c>
      <c r="B407">
        <f>HYPERLINK("https://www.suredividend.com/sure-analysis-CTL/","CenturyLink, Inc.")</f>
        <v>0</v>
      </c>
      <c r="C407">
        <v>11</v>
      </c>
      <c r="D407">
        <v>12072.94</v>
      </c>
      <c r="E407" t="s">
        <v>665</v>
      </c>
      <c r="F407" t="s">
        <v>632</v>
      </c>
      <c r="G407" t="s">
        <v>671</v>
      </c>
      <c r="H407" t="s">
        <v>700</v>
      </c>
      <c r="I407" t="s">
        <v>1107</v>
      </c>
      <c r="J407" t="s">
        <v>1314</v>
      </c>
      <c r="K407">
        <v>44063</v>
      </c>
      <c r="L407">
        <v>0.09090909090909001</v>
      </c>
      <c r="M407">
        <v>0.02092403696034695</v>
      </c>
      <c r="N407">
        <v>0.013</v>
      </c>
      <c r="O407">
        <v>0.1036794431173289</v>
      </c>
      <c r="P407" t="s">
        <v>446</v>
      </c>
      <c r="Q407" t="s">
        <v>637</v>
      </c>
      <c r="R407">
        <v>0</v>
      </c>
      <c r="S407">
        <v>0.7352941176470588</v>
      </c>
      <c r="T407">
        <v>12.2</v>
      </c>
      <c r="U407">
        <v>0.9016393442622951</v>
      </c>
      <c r="V407">
        <v>1.1306</v>
      </c>
      <c r="W407">
        <v>1.36</v>
      </c>
      <c r="X407">
        <v>1</v>
      </c>
      <c r="Y407">
        <v>-0.140625</v>
      </c>
      <c r="Z407">
        <v>0.8696369636963697</v>
      </c>
      <c r="AA407">
        <v>0.5056179775280899</v>
      </c>
      <c r="AB407">
        <v>0.1091492776886035</v>
      </c>
      <c r="AC407">
        <v>0.666131621187801</v>
      </c>
      <c r="AD407">
        <v>0.6837881219903692</v>
      </c>
    </row>
    <row r="408" spans="1:30">
      <c r="A408" s="1" t="s">
        <v>415</v>
      </c>
      <c r="B408">
        <f>HYPERLINK("https://www.suredividend.com/sure-analysis-KHC/","The Kraft Heinz Co.")</f>
        <v>0</v>
      </c>
      <c r="C408">
        <v>29.13</v>
      </c>
      <c r="D408">
        <v>35613.7554</v>
      </c>
      <c r="E408" t="s">
        <v>664</v>
      </c>
      <c r="F408" t="s">
        <v>632</v>
      </c>
      <c r="G408" t="s">
        <v>671</v>
      </c>
      <c r="H408" t="s">
        <v>701</v>
      </c>
      <c r="I408" t="s">
        <v>1108</v>
      </c>
      <c r="J408" t="s">
        <v>1321</v>
      </c>
      <c r="K408">
        <v>44062</v>
      </c>
      <c r="L408">
        <v>0.054926192928252</v>
      </c>
      <c r="M408">
        <v>0.03140132854125688</v>
      </c>
      <c r="N408">
        <v>0.03</v>
      </c>
      <c r="O408">
        <v>0.1023401798411441</v>
      </c>
      <c r="P408" t="s">
        <v>446</v>
      </c>
      <c r="Q408" t="s">
        <v>372</v>
      </c>
      <c r="R408">
        <v>0</v>
      </c>
      <c r="S408">
        <v>0.6037735849056605</v>
      </c>
      <c r="T408">
        <v>34</v>
      </c>
      <c r="U408">
        <v>0.8567647058823529</v>
      </c>
      <c r="V408">
        <v>-0.1553</v>
      </c>
      <c r="W408">
        <v>2.65</v>
      </c>
      <c r="X408">
        <v>1.6</v>
      </c>
      <c r="Y408">
        <v>0.039986</v>
      </c>
      <c r="Z408">
        <v>0.7079207920792079</v>
      </c>
      <c r="AA408">
        <v>0.7335473515248796</v>
      </c>
      <c r="AB408">
        <v>0.2680577849117175</v>
      </c>
      <c r="AC408">
        <v>0.7174959871589085</v>
      </c>
      <c r="AD408">
        <v>0.6741573033707866</v>
      </c>
    </row>
    <row r="409" spans="1:30">
      <c r="A409" s="1" t="s">
        <v>416</v>
      </c>
      <c r="B409">
        <f>HYPERLINK("https://www.suredividend.com/sure-analysis-OUT/","OUTFRONT Media, Inc.")</f>
        <v>0</v>
      </c>
      <c r="C409">
        <v>14.95</v>
      </c>
      <c r="D409">
        <v>2158.9295</v>
      </c>
      <c r="E409" t="s">
        <v>664</v>
      </c>
      <c r="F409" t="s">
        <v>632</v>
      </c>
      <c r="G409" t="s">
        <v>671</v>
      </c>
      <c r="H409" t="s">
        <v>700</v>
      </c>
      <c r="I409" t="s">
        <v>1109</v>
      </c>
      <c r="J409" t="s">
        <v>1323</v>
      </c>
      <c r="K409">
        <v>44061</v>
      </c>
      <c r="L409">
        <v>0.07357859531772501</v>
      </c>
      <c r="M409">
        <v>0.04911351470932779</v>
      </c>
      <c r="N409">
        <v>0.01</v>
      </c>
      <c r="O409">
        <v>0.1019309246397715</v>
      </c>
      <c r="P409" t="s">
        <v>446</v>
      </c>
      <c r="Q409" t="s">
        <v>372</v>
      </c>
      <c r="R409">
        <v>0</v>
      </c>
      <c r="S409">
        <v>0.8461538461538461</v>
      </c>
      <c r="T409">
        <v>19</v>
      </c>
      <c r="U409">
        <v>0.7868421052631579</v>
      </c>
      <c r="V409">
        <v>0.1782</v>
      </c>
      <c r="W409">
        <v>1.3</v>
      </c>
      <c r="X409">
        <v>1.1</v>
      </c>
      <c r="Y409">
        <v>-0.460678</v>
      </c>
      <c r="Z409">
        <v>0.8168316831683168</v>
      </c>
      <c r="AA409">
        <v>0.1332263242375602</v>
      </c>
      <c r="AB409">
        <v>0.08828250401284109</v>
      </c>
      <c r="AC409">
        <v>0.8282504012841092</v>
      </c>
      <c r="AD409">
        <v>0.6677367576243981</v>
      </c>
    </row>
    <row r="410" spans="1:30">
      <c r="A410" s="1" t="s">
        <v>417</v>
      </c>
      <c r="B410">
        <f>HYPERLINK("https://www.suredividend.com/sure-analysis-AM/","Antero Midstream Corp.")</f>
        <v>0</v>
      </c>
      <c r="C410">
        <v>5.34</v>
      </c>
      <c r="D410">
        <v>2545.02798</v>
      </c>
      <c r="E410" t="s">
        <v>669</v>
      </c>
      <c r="F410" t="s">
        <v>632</v>
      </c>
      <c r="G410" t="s">
        <v>671</v>
      </c>
      <c r="H410" t="s">
        <v>700</v>
      </c>
      <c r="I410" t="s">
        <v>1110</v>
      </c>
      <c r="J410" t="s">
        <v>1317</v>
      </c>
      <c r="K410">
        <v>44061</v>
      </c>
      <c r="L410">
        <v>0.230337078651685</v>
      </c>
      <c r="M410">
        <v>0.04009837995080767</v>
      </c>
      <c r="N410">
        <v>-0.07099999999999999</v>
      </c>
      <c r="O410">
        <v>0.09944412614837339</v>
      </c>
      <c r="P410" t="s">
        <v>446</v>
      </c>
      <c r="Q410" t="s">
        <v>637</v>
      </c>
      <c r="R410">
        <v>3</v>
      </c>
      <c r="S410">
        <v>0.9461538461538461</v>
      </c>
      <c r="T410">
        <v>6.5</v>
      </c>
      <c r="U410">
        <v>0.8215384615384616</v>
      </c>
      <c r="V410">
        <v>-1.4897</v>
      </c>
      <c r="W410">
        <v>1.3</v>
      </c>
      <c r="X410">
        <v>1.23</v>
      </c>
      <c r="Y410">
        <v>-0.280323</v>
      </c>
      <c r="Z410">
        <v>0.9884488448844884</v>
      </c>
      <c r="AA410">
        <v>0.3402889245585874</v>
      </c>
      <c r="AB410">
        <v>0.004815409309791333</v>
      </c>
      <c r="AC410">
        <v>0.7720706260032102</v>
      </c>
      <c r="AD410">
        <v>0.6581059390048154</v>
      </c>
    </row>
    <row r="411" spans="1:30">
      <c r="A411" s="1" t="s">
        <v>418</v>
      </c>
      <c r="B411">
        <f>HYPERLINK("https://www.suredividend.com/sure-analysis-HTA/","Healthcare Trust of America, Inc.")</f>
        <v>0</v>
      </c>
      <c r="C411">
        <v>25.51</v>
      </c>
      <c r="D411">
        <v>11240.426377</v>
      </c>
      <c r="E411" t="s">
        <v>668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44066</v>
      </c>
      <c r="L411">
        <v>0.049392395139161</v>
      </c>
      <c r="M411">
        <v>0.02597672321528366</v>
      </c>
      <c r="N411">
        <v>0.03</v>
      </c>
      <c r="O411">
        <v>0.09531100900296252</v>
      </c>
      <c r="P411" t="s">
        <v>446</v>
      </c>
      <c r="Q411" t="s">
        <v>372</v>
      </c>
      <c r="R411">
        <v>8</v>
      </c>
      <c r="S411">
        <v>0.7544910179640719</v>
      </c>
      <c r="T411">
        <v>29</v>
      </c>
      <c r="U411">
        <v>0.8796551724137932</v>
      </c>
      <c r="V411">
        <v>0.1461</v>
      </c>
      <c r="W411">
        <v>1.67</v>
      </c>
      <c r="X411">
        <v>1.26</v>
      </c>
      <c r="Y411">
        <v>-0.136133</v>
      </c>
      <c r="Z411">
        <v>0.6501650165016502</v>
      </c>
      <c r="AA411">
        <v>0.5168539325842696</v>
      </c>
      <c r="AB411">
        <v>0.2680577849117175</v>
      </c>
      <c r="AC411">
        <v>0.6837881219903692</v>
      </c>
      <c r="AD411">
        <v>0.6404494382022472</v>
      </c>
    </row>
    <row r="412" spans="1:30">
      <c r="A412" s="1" t="s">
        <v>419</v>
      </c>
      <c r="B412">
        <f>HYPERLINK("https://www.suredividend.com/sure-analysis-GNL/","Global Net Lease, Inc.")</f>
        <v>0</v>
      </c>
      <c r="C412">
        <v>15.4</v>
      </c>
      <c r="D412">
        <v>1378.03204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44006</v>
      </c>
      <c r="L412">
        <v>0.121103896103896</v>
      </c>
      <c r="M412">
        <v>-0.01888150427373569</v>
      </c>
      <c r="N412">
        <v>0.015</v>
      </c>
      <c r="O412">
        <v>0.09125907058736571</v>
      </c>
      <c r="P412" t="s">
        <v>446</v>
      </c>
      <c r="Q412" t="s">
        <v>637</v>
      </c>
      <c r="R412">
        <v>0</v>
      </c>
      <c r="S412">
        <v>0.9325</v>
      </c>
      <c r="T412">
        <v>14</v>
      </c>
      <c r="U412">
        <v>1.1</v>
      </c>
      <c r="V412">
        <v>0.2444</v>
      </c>
      <c r="W412">
        <v>2</v>
      </c>
      <c r="X412">
        <v>1.865</v>
      </c>
      <c r="Y412">
        <v>-0.215087</v>
      </c>
      <c r="Z412">
        <v>0.9191419141914191</v>
      </c>
      <c r="AA412">
        <v>0.3980738362760834</v>
      </c>
      <c r="AB412">
        <v>0.1163723916532905</v>
      </c>
      <c r="AC412">
        <v>0.4494382022471911</v>
      </c>
      <c r="AD412">
        <v>0.6099518459069021</v>
      </c>
    </row>
    <row r="413" spans="1:30">
      <c r="A413" s="1" t="s">
        <v>420</v>
      </c>
      <c r="B413">
        <f>HYPERLINK("https://www.suredividend.com/sure-analysis-STX/","Seagate Technology Plc")</f>
        <v>0</v>
      </c>
      <c r="C413">
        <v>48.22</v>
      </c>
      <c r="D413">
        <v>12370.21414</v>
      </c>
      <c r="E413" t="s">
        <v>664</v>
      </c>
      <c r="F413" t="s">
        <v>632</v>
      </c>
      <c r="G413" t="s">
        <v>674</v>
      </c>
      <c r="H413" t="s">
        <v>701</v>
      </c>
      <c r="I413" t="s">
        <v>1113</v>
      </c>
      <c r="J413" t="s">
        <v>1320</v>
      </c>
      <c r="K413">
        <v>44052</v>
      </c>
      <c r="L413">
        <v>0.05350476980506001</v>
      </c>
      <c r="M413">
        <v>0.003214440340289393</v>
      </c>
      <c r="N413">
        <v>0.04</v>
      </c>
      <c r="O413">
        <v>0.08831063923247773</v>
      </c>
      <c r="P413" t="s">
        <v>446</v>
      </c>
      <c r="Q413" t="s">
        <v>372</v>
      </c>
      <c r="R413">
        <v>1</v>
      </c>
      <c r="S413">
        <v>0.5265306122448979</v>
      </c>
      <c r="T413">
        <v>49</v>
      </c>
      <c r="U413">
        <v>0.9840816326530613</v>
      </c>
      <c r="V413">
        <v>3.8376</v>
      </c>
      <c r="W413">
        <v>4.9</v>
      </c>
      <c r="X413">
        <v>2.58</v>
      </c>
      <c r="Y413">
        <v>-0.101379</v>
      </c>
      <c r="Z413">
        <v>0.693069306930693</v>
      </c>
      <c r="AA413">
        <v>0.5553772070626003</v>
      </c>
      <c r="AB413">
        <v>0.4012841091492777</v>
      </c>
      <c r="AC413">
        <v>0.5762439807383628</v>
      </c>
      <c r="AD413">
        <v>0.5826645264847512</v>
      </c>
    </row>
    <row r="414" spans="1:30">
      <c r="A414" s="1" t="s">
        <v>421</v>
      </c>
      <c r="B414">
        <f>HYPERLINK("https://www.suredividend.com/sure-analysis-HTGC/","Hercules Capital, Inc.")</f>
        <v>0</v>
      </c>
      <c r="C414">
        <v>11.27</v>
      </c>
      <c r="D414">
        <v>1287.36083</v>
      </c>
      <c r="E414" t="s">
        <v>669</v>
      </c>
      <c r="F414" t="s">
        <v>634</v>
      </c>
      <c r="G414" t="s">
        <v>671</v>
      </c>
      <c r="H414" t="s">
        <v>700</v>
      </c>
      <c r="I414" t="s">
        <v>1114</v>
      </c>
      <c r="J414" t="s">
        <v>1313</v>
      </c>
      <c r="K414">
        <v>44015</v>
      </c>
      <c r="L414">
        <v>0.11357586512866</v>
      </c>
      <c r="M414">
        <v>-0.004838069705819348</v>
      </c>
      <c r="N414">
        <v>0</v>
      </c>
      <c r="O414">
        <v>0.08769772460176939</v>
      </c>
      <c r="P414" t="s">
        <v>446</v>
      </c>
      <c r="Q414" t="s">
        <v>637</v>
      </c>
      <c r="R414">
        <v>2</v>
      </c>
      <c r="S414">
        <v>0.9552238805970149</v>
      </c>
      <c r="T414">
        <v>11</v>
      </c>
      <c r="U414">
        <v>1.024545454545454</v>
      </c>
      <c r="V414">
        <v>0.8887</v>
      </c>
      <c r="W414">
        <v>1.34</v>
      </c>
      <c r="X414">
        <v>1.28</v>
      </c>
      <c r="Y414">
        <v>-0.158955</v>
      </c>
      <c r="Z414">
        <v>0.9042904290429042</v>
      </c>
      <c r="AA414">
        <v>0.4831460674157304</v>
      </c>
      <c r="AB414">
        <v>0.04895666131621188</v>
      </c>
      <c r="AC414">
        <v>0.536115569823435</v>
      </c>
      <c r="AD414">
        <v>0.579454253611557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26.82</v>
      </c>
      <c r="D415">
        <v>6797.36808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44012</v>
      </c>
      <c r="L415">
        <v>0.052199850857568</v>
      </c>
      <c r="M415">
        <v>0.00864851059432814</v>
      </c>
      <c r="N415">
        <v>0.035</v>
      </c>
      <c r="O415">
        <v>0.08742597304304445</v>
      </c>
      <c r="P415" t="s">
        <v>446</v>
      </c>
      <c r="Q415" t="s">
        <v>372</v>
      </c>
      <c r="R415">
        <v>5</v>
      </c>
      <c r="S415">
        <v>0.7567567567567567</v>
      </c>
      <c r="T415">
        <v>28</v>
      </c>
      <c r="U415">
        <v>0.9578571428571429</v>
      </c>
      <c r="V415">
        <v>1.1525</v>
      </c>
      <c r="W415">
        <v>1.85</v>
      </c>
      <c r="X415">
        <v>1.4</v>
      </c>
      <c r="Y415">
        <v>-0.294396</v>
      </c>
      <c r="Z415">
        <v>0.6798679867986799</v>
      </c>
      <c r="AA415">
        <v>0.3194221508828251</v>
      </c>
      <c r="AB415">
        <v>0.3362760834670947</v>
      </c>
      <c r="AC415">
        <v>0.6099518459069021</v>
      </c>
      <c r="AD415">
        <v>0.5762439807383628</v>
      </c>
    </row>
    <row r="416" spans="1:30">
      <c r="A416" s="1" t="s">
        <v>423</v>
      </c>
      <c r="B416">
        <f>HYPERLINK("https://www.suredividend.com/sure-analysis-AGNC/","AGNC Investment Corp.")</f>
        <v>0</v>
      </c>
      <c r="C416">
        <v>14</v>
      </c>
      <c r="D416">
        <v>7777.238</v>
      </c>
      <c r="E416" t="s">
        <v>669</v>
      </c>
      <c r="F416" t="s">
        <v>634</v>
      </c>
      <c r="G416" t="s">
        <v>671</v>
      </c>
      <c r="H416" t="s">
        <v>701</v>
      </c>
      <c r="I416" t="s">
        <v>1116</v>
      </c>
      <c r="J416" t="s">
        <v>1323</v>
      </c>
      <c r="K416">
        <v>44056</v>
      </c>
      <c r="L416">
        <v>0.128571428571428</v>
      </c>
      <c r="M416">
        <v>0.02706608708935176</v>
      </c>
      <c r="N416">
        <v>-0.03</v>
      </c>
      <c r="O416">
        <v>0.08569564357261328</v>
      </c>
      <c r="P416" t="s">
        <v>446</v>
      </c>
      <c r="Q416" t="s">
        <v>637</v>
      </c>
      <c r="R416">
        <v>0</v>
      </c>
      <c r="S416">
        <v>0.8910891089108911</v>
      </c>
      <c r="T416">
        <v>16</v>
      </c>
      <c r="U416">
        <v>0.875</v>
      </c>
      <c r="V416">
        <v>-1.686</v>
      </c>
      <c r="W416">
        <v>2.02</v>
      </c>
      <c r="X416">
        <v>1.8</v>
      </c>
      <c r="Y416">
        <v>-0.136336</v>
      </c>
      <c r="Z416">
        <v>0.9339933993399341</v>
      </c>
      <c r="AA416">
        <v>0.5152487961476726</v>
      </c>
      <c r="AB416">
        <v>0.01364365971107544</v>
      </c>
      <c r="AC416">
        <v>0.6910112359550561</v>
      </c>
      <c r="AD416">
        <v>0.5714285714285715</v>
      </c>
    </row>
    <row r="417" spans="1:30">
      <c r="A417" s="1" t="s">
        <v>424</v>
      </c>
      <c r="B417">
        <f>HYPERLINK("https://www.suredividend.com/sure-analysis-APAM/","Artisan Partners Asset Management, Inc.")</f>
        <v>0</v>
      </c>
      <c r="C417">
        <v>37.17</v>
      </c>
      <c r="D417">
        <v>2920.634832</v>
      </c>
      <c r="E417" t="s">
        <v>666</v>
      </c>
      <c r="F417" t="s">
        <v>632</v>
      </c>
      <c r="G417" t="s">
        <v>671</v>
      </c>
      <c r="H417" t="s">
        <v>700</v>
      </c>
      <c r="I417" t="s">
        <v>1117</v>
      </c>
      <c r="J417" t="s">
        <v>1313</v>
      </c>
      <c r="K417">
        <v>44041</v>
      </c>
      <c r="L417">
        <v>0.06833467850417001</v>
      </c>
      <c r="M417">
        <v>-0.006376194417760717</v>
      </c>
      <c r="N417">
        <v>0.03</v>
      </c>
      <c r="O417">
        <v>0.08527870123037018</v>
      </c>
      <c r="P417" t="s">
        <v>446</v>
      </c>
      <c r="Q417" t="s">
        <v>372</v>
      </c>
      <c r="R417">
        <v>0</v>
      </c>
      <c r="S417">
        <v>0.8466666666666667</v>
      </c>
      <c r="T417">
        <v>36</v>
      </c>
      <c r="U417">
        <v>1.0325</v>
      </c>
      <c r="V417">
        <v>2.7296</v>
      </c>
      <c r="W417">
        <v>3</v>
      </c>
      <c r="X417">
        <v>2.54</v>
      </c>
      <c r="Y417">
        <v>0.301471</v>
      </c>
      <c r="Z417">
        <v>0.7970297029702971</v>
      </c>
      <c r="AA417">
        <v>0.9101123595505618</v>
      </c>
      <c r="AB417">
        <v>0.2680577849117175</v>
      </c>
      <c r="AC417">
        <v>0.5248796147672552</v>
      </c>
      <c r="AD417">
        <v>0.5666131621187801</v>
      </c>
    </row>
    <row r="418" spans="1:30">
      <c r="A418" s="1" t="s">
        <v>425</v>
      </c>
      <c r="B418">
        <f>HYPERLINK("https://www.suredividend.com/sure-analysis-CAE/","CAE, Inc.")</f>
        <v>0</v>
      </c>
      <c r="C418">
        <v>14.15</v>
      </c>
      <c r="D418">
        <v>3760.74455</v>
      </c>
      <c r="E418" t="s">
        <v>661</v>
      </c>
      <c r="F418" t="s">
        <v>632</v>
      </c>
      <c r="G418" t="s">
        <v>673</v>
      </c>
      <c r="H418" t="s">
        <v>700</v>
      </c>
      <c r="I418" t="s">
        <v>1118</v>
      </c>
      <c r="J418" t="s">
        <v>1319</v>
      </c>
      <c r="K418">
        <v>44069</v>
      </c>
      <c r="L418">
        <v>0.015547703180212</v>
      </c>
      <c r="M418">
        <v>0.01173544165838569</v>
      </c>
      <c r="N418">
        <v>0.07000000000000001</v>
      </c>
      <c r="O418">
        <v>0.08255692257447267</v>
      </c>
      <c r="P418" t="s">
        <v>446</v>
      </c>
      <c r="Q418" t="s">
        <v>586</v>
      </c>
      <c r="R418">
        <v>0</v>
      </c>
      <c r="S418">
        <v>0.7333333333333334</v>
      </c>
      <c r="T418">
        <v>15</v>
      </c>
      <c r="U418">
        <v>0.9433333333333334</v>
      </c>
      <c r="V418">
        <v>0.407</v>
      </c>
      <c r="W418">
        <v>0.3</v>
      </c>
      <c r="X418">
        <v>0.22</v>
      </c>
      <c r="Y418">
        <v>-0.448128</v>
      </c>
      <c r="Z418">
        <v>0.1551155115511551</v>
      </c>
      <c r="AA418">
        <v>0.14446227929374</v>
      </c>
      <c r="AB418">
        <v>0.7504012841091493</v>
      </c>
      <c r="AC418">
        <v>0.6276083467094703</v>
      </c>
      <c r="AD418">
        <v>0.5473515248796148</v>
      </c>
    </row>
    <row r="419" spans="1:30">
      <c r="A419" s="1" t="s">
        <v>426</v>
      </c>
      <c r="B419">
        <f>HYPERLINK("https://www.suredividend.com/sure-analysis-STAG/","STAG Industrial, Inc.")</f>
        <v>0</v>
      </c>
      <c r="C419">
        <v>30.06</v>
      </c>
      <c r="D419">
        <v>4590.460436</v>
      </c>
      <c r="E419" t="s">
        <v>661</v>
      </c>
      <c r="F419" t="s">
        <v>634</v>
      </c>
      <c r="G419" t="s">
        <v>671</v>
      </c>
      <c r="H419" t="s">
        <v>700</v>
      </c>
      <c r="I419" t="s">
        <v>1119</v>
      </c>
      <c r="J419" t="s">
        <v>1323</v>
      </c>
      <c r="K419">
        <v>44067</v>
      </c>
      <c r="L419">
        <v>0.04779441117764401</v>
      </c>
      <c r="M419">
        <v>-0.007154196885807096</v>
      </c>
      <c r="N419">
        <v>0.05</v>
      </c>
      <c r="O419">
        <v>0.08123364400737576</v>
      </c>
      <c r="P419" t="s">
        <v>446</v>
      </c>
      <c r="Q419" t="s">
        <v>372</v>
      </c>
      <c r="R419">
        <v>10</v>
      </c>
      <c r="S419">
        <v>0.7561578947368421</v>
      </c>
      <c r="T419">
        <v>29</v>
      </c>
      <c r="U419">
        <v>1.036551724137931</v>
      </c>
      <c r="V419">
        <v>0.7335</v>
      </c>
      <c r="W419">
        <v>1.9</v>
      </c>
      <c r="X419">
        <v>1.4367</v>
      </c>
      <c r="Y419">
        <v>0.006024</v>
      </c>
      <c r="Z419">
        <v>0.6287128712871287</v>
      </c>
      <c r="AA419">
        <v>0.7062600321027287</v>
      </c>
      <c r="AB419">
        <v>0.5296950240770465</v>
      </c>
      <c r="AC419">
        <v>0.5120385232744783</v>
      </c>
      <c r="AD419">
        <v>0.536115569823435</v>
      </c>
    </row>
    <row r="420" spans="1:30">
      <c r="A420" s="1" t="s">
        <v>427</v>
      </c>
      <c r="B420">
        <f>HYPERLINK("https://www.suredividend.com/sure-analysis-EQR/","Equity Residential")</f>
        <v>0</v>
      </c>
      <c r="C420">
        <v>51.57</v>
      </c>
      <c r="D420">
        <v>19910.658773</v>
      </c>
      <c r="E420" t="s">
        <v>669</v>
      </c>
      <c r="F420" t="s">
        <v>634</v>
      </c>
      <c r="G420" t="s">
        <v>671</v>
      </c>
      <c r="H420" t="s">
        <v>700</v>
      </c>
      <c r="I420" t="s">
        <v>1120</v>
      </c>
      <c r="J420" t="s">
        <v>1323</v>
      </c>
      <c r="K420">
        <v>44075</v>
      </c>
      <c r="L420">
        <v>0.045375218150087</v>
      </c>
      <c r="M420">
        <v>0.02022402134848544</v>
      </c>
      <c r="N420">
        <v>0.023</v>
      </c>
      <c r="O420">
        <v>0.08116332380149438</v>
      </c>
      <c r="P420" t="s">
        <v>446</v>
      </c>
      <c r="Q420" t="s">
        <v>372</v>
      </c>
      <c r="R420">
        <v>10</v>
      </c>
      <c r="S420">
        <v>0.698507462686567</v>
      </c>
      <c r="T420">
        <v>57</v>
      </c>
      <c r="U420">
        <v>0.9047368421052632</v>
      </c>
      <c r="V420">
        <v>3.0467</v>
      </c>
      <c r="W420">
        <v>3.35</v>
      </c>
      <c r="X420">
        <v>2.34</v>
      </c>
      <c r="Y420">
        <v>-0.405602</v>
      </c>
      <c r="Z420">
        <v>0.6056105610561056</v>
      </c>
      <c r="AA420">
        <v>0.1781701444622793</v>
      </c>
      <c r="AB420">
        <v>0.1998394863563403</v>
      </c>
      <c r="AC420">
        <v>0.6645264847512038</v>
      </c>
      <c r="AD420">
        <v>0.5345104333868379</v>
      </c>
    </row>
    <row r="421" spans="1:30">
      <c r="A421" s="1" t="s">
        <v>428</v>
      </c>
      <c r="B421">
        <f>HYPERLINK("https://www.suredividend.com/sure-analysis-BCE/","BCE, Inc.")</f>
        <v>0</v>
      </c>
      <c r="C421">
        <v>41.43</v>
      </c>
      <c r="D421">
        <v>37466.30904</v>
      </c>
      <c r="E421" t="s">
        <v>670</v>
      </c>
      <c r="F421" t="s">
        <v>632</v>
      </c>
      <c r="G421" t="s">
        <v>673</v>
      </c>
      <c r="H421" t="s">
        <v>700</v>
      </c>
      <c r="I421" t="s">
        <v>1121</v>
      </c>
      <c r="J421" t="s">
        <v>1314</v>
      </c>
      <c r="K421">
        <v>44074</v>
      </c>
      <c r="L421">
        <v>0.05841906009161101</v>
      </c>
      <c r="M421">
        <v>-0.002084462361619632</v>
      </c>
      <c r="N421">
        <v>0.03</v>
      </c>
      <c r="O421">
        <v>0.07973618585025477</v>
      </c>
      <c r="P421" t="s">
        <v>446</v>
      </c>
      <c r="Q421" t="s">
        <v>372</v>
      </c>
      <c r="R421">
        <v>12</v>
      </c>
      <c r="S421">
        <v>1.02122432894324</v>
      </c>
      <c r="T421">
        <v>41</v>
      </c>
      <c r="U421">
        <v>1.010487804878049</v>
      </c>
      <c r="V421">
        <v>2.04</v>
      </c>
      <c r="W421">
        <v>2.37</v>
      </c>
      <c r="X421">
        <v>2.42030165959548</v>
      </c>
      <c r="Y421">
        <v>-0.143477</v>
      </c>
      <c r="Z421">
        <v>0.7293729372937294</v>
      </c>
      <c r="AA421">
        <v>0.5008025682182986</v>
      </c>
      <c r="AB421">
        <v>0.2680577849117175</v>
      </c>
      <c r="AC421">
        <v>0.5473515248796148</v>
      </c>
      <c r="AD421">
        <v>0.5264847512038524</v>
      </c>
    </row>
    <row r="422" spans="1:30">
      <c r="A422" s="1" t="s">
        <v>429</v>
      </c>
      <c r="B422">
        <f>HYPERLINK("https://www.suredividend.com/sure-analysis-WPP/","WPP Plc")</f>
        <v>0</v>
      </c>
      <c r="C422">
        <v>37.77</v>
      </c>
      <c r="D422">
        <v>9144.185031000001</v>
      </c>
      <c r="E422" t="s">
        <v>666</v>
      </c>
      <c r="F422" t="s">
        <v>632</v>
      </c>
      <c r="G422" t="s">
        <v>677</v>
      </c>
      <c r="H422" t="s">
        <v>700</v>
      </c>
      <c r="I422" t="s">
        <v>1122</v>
      </c>
      <c r="J422" t="s">
        <v>1314</v>
      </c>
      <c r="K422">
        <v>44079</v>
      </c>
      <c r="L422">
        <v>0.081016679904686</v>
      </c>
      <c r="M422">
        <v>0.01654679251320079</v>
      </c>
      <c r="N422">
        <v>0.03</v>
      </c>
      <c r="O422">
        <v>0.07973127615421682</v>
      </c>
      <c r="P422" t="s">
        <v>446</v>
      </c>
      <c r="Q422" t="s">
        <v>372</v>
      </c>
      <c r="R422">
        <v>0</v>
      </c>
      <c r="S422">
        <v>0.8742857142857143</v>
      </c>
      <c r="T422">
        <v>41</v>
      </c>
      <c r="U422">
        <v>0.921219512195122</v>
      </c>
      <c r="V422">
        <v>-11.518</v>
      </c>
      <c r="W422">
        <v>3.5</v>
      </c>
      <c r="X422">
        <v>3.06</v>
      </c>
      <c r="Y422">
        <v>-0.3824400000000001</v>
      </c>
      <c r="Z422">
        <v>0.8448844884488449</v>
      </c>
      <c r="AA422">
        <v>0.2118780096308186</v>
      </c>
      <c r="AB422">
        <v>0.2680577849117175</v>
      </c>
      <c r="AC422">
        <v>0.6468699839486356</v>
      </c>
      <c r="AD422">
        <v>0.5248796147672552</v>
      </c>
    </row>
    <row r="423" spans="1:30">
      <c r="A423" s="1" t="s">
        <v>430</v>
      </c>
      <c r="B423">
        <f>HYPERLINK("https://www.suredividend.com/sure-analysis-PHG/","Koninklijke Philips NV")</f>
        <v>0</v>
      </c>
      <c r="C423">
        <v>45.08</v>
      </c>
      <c r="D423">
        <v>40994.890296</v>
      </c>
      <c r="E423" t="s">
        <v>661</v>
      </c>
      <c r="F423" t="s">
        <v>632</v>
      </c>
      <c r="G423" t="s">
        <v>683</v>
      </c>
      <c r="H423" t="s">
        <v>700</v>
      </c>
      <c r="I423" t="s">
        <v>1123</v>
      </c>
      <c r="J423" t="s">
        <v>1315</v>
      </c>
      <c r="K423">
        <v>44061</v>
      </c>
      <c r="L423">
        <v>0.02075421472937</v>
      </c>
      <c r="M423">
        <v>-0.04398717442098121</v>
      </c>
      <c r="N423">
        <v>0.11</v>
      </c>
      <c r="O423">
        <v>0.07947178097548147</v>
      </c>
      <c r="P423" t="s">
        <v>446</v>
      </c>
      <c r="Q423" t="s">
        <v>446</v>
      </c>
      <c r="R423">
        <v>0</v>
      </c>
      <c r="S423">
        <v>0.4678</v>
      </c>
      <c r="T423">
        <v>36</v>
      </c>
      <c r="U423">
        <v>1.252222222222222</v>
      </c>
      <c r="V423">
        <v>1.2172</v>
      </c>
      <c r="W423">
        <v>2</v>
      </c>
      <c r="X423">
        <v>0.9356000000000001</v>
      </c>
      <c r="Y423">
        <v>-0.044105</v>
      </c>
      <c r="Z423">
        <v>0.2755775577557756</v>
      </c>
      <c r="AA423">
        <v>0.6276083467094703</v>
      </c>
      <c r="AB423">
        <v>0.9414125200642054</v>
      </c>
      <c r="AC423">
        <v>0.2985553772070626</v>
      </c>
      <c r="AD423">
        <v>0.5232744783306581</v>
      </c>
    </row>
    <row r="424" spans="1:30">
      <c r="A424" s="1" t="s">
        <v>431</v>
      </c>
      <c r="B424">
        <f>HYPERLINK("https://www.suredividend.com/sure-analysis-VER/","VEREIT, Inc.")</f>
        <v>0</v>
      </c>
      <c r="C424">
        <v>6.33</v>
      </c>
      <c r="D424">
        <v>6823.3602</v>
      </c>
      <c r="E424" t="s">
        <v>669</v>
      </c>
      <c r="F424" t="s">
        <v>632</v>
      </c>
      <c r="G424" t="s">
        <v>671</v>
      </c>
      <c r="H424" t="s">
        <v>700</v>
      </c>
      <c r="I424" t="s">
        <v>1124</v>
      </c>
      <c r="J424" t="s">
        <v>1323</v>
      </c>
      <c r="K424">
        <v>43992</v>
      </c>
      <c r="L424">
        <v>0.077330173775671</v>
      </c>
      <c r="M424">
        <v>0.008388873621460791</v>
      </c>
      <c r="N424">
        <v>0.021</v>
      </c>
      <c r="O424">
        <v>0.07932700319936381</v>
      </c>
      <c r="P424" t="s">
        <v>446</v>
      </c>
      <c r="Q424" t="s">
        <v>372</v>
      </c>
      <c r="R424">
        <v>0</v>
      </c>
      <c r="S424">
        <v>0.89</v>
      </c>
      <c r="T424">
        <v>6.6</v>
      </c>
      <c r="U424">
        <v>0.9590909090909091</v>
      </c>
      <c r="V424">
        <v>-0.6007</v>
      </c>
      <c r="W424">
        <v>0.55</v>
      </c>
      <c r="X424">
        <v>0.4895</v>
      </c>
      <c r="Y424">
        <v>-0.361895</v>
      </c>
      <c r="Z424">
        <v>0.8316831683168318</v>
      </c>
      <c r="AA424">
        <v>0.2391653290529695</v>
      </c>
      <c r="AB424">
        <v>0.1966292134831461</v>
      </c>
      <c r="AC424">
        <v>0.6051364365971108</v>
      </c>
      <c r="AD424">
        <v>0.521669341894061</v>
      </c>
    </row>
    <row r="425" spans="1:30">
      <c r="A425" s="1" t="s">
        <v>432</v>
      </c>
      <c r="B425">
        <f>HYPERLINK("https://www.suredividend.com/sure-analysis-CPT/","Camden Property Trust")</f>
        <v>0</v>
      </c>
      <c r="C425">
        <v>90.34</v>
      </c>
      <c r="D425">
        <v>8798.745606</v>
      </c>
      <c r="E425" t="s">
        <v>660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44073</v>
      </c>
      <c r="L425">
        <v>0.036085897719725</v>
      </c>
      <c r="M425">
        <v>-0.005234952775004076</v>
      </c>
      <c r="N425">
        <v>0.05</v>
      </c>
      <c r="O425">
        <v>0.07811191578163679</v>
      </c>
      <c r="P425" t="s">
        <v>446</v>
      </c>
      <c r="Q425" t="s">
        <v>446</v>
      </c>
      <c r="R425">
        <v>10</v>
      </c>
      <c r="S425">
        <v>0.6653061224489795</v>
      </c>
      <c r="T425">
        <v>88</v>
      </c>
      <c r="U425">
        <v>1.026590909090909</v>
      </c>
      <c r="V425">
        <v>1.9966</v>
      </c>
      <c r="W425">
        <v>4.9</v>
      </c>
      <c r="X425">
        <v>3.26</v>
      </c>
      <c r="Y425">
        <v>-0.191805</v>
      </c>
      <c r="Z425">
        <v>0.4983498349834983</v>
      </c>
      <c r="AA425">
        <v>0.434991974317817</v>
      </c>
      <c r="AB425">
        <v>0.5296950240770465</v>
      </c>
      <c r="AC425">
        <v>0.5345104333868379</v>
      </c>
      <c r="AD425">
        <v>0.5120385232744783</v>
      </c>
    </row>
    <row r="426" spans="1:30">
      <c r="A426" s="1" t="s">
        <v>433</v>
      </c>
      <c r="B426">
        <f>HYPERLINK("https://www.suredividend.com/sure-analysis-MIC/","Macquarie Infrastructure Corp.")</f>
        <v>0</v>
      </c>
      <c r="C426">
        <v>25.85</v>
      </c>
      <c r="D426">
        <v>2249.50836</v>
      </c>
      <c r="E426" t="s">
        <v>664</v>
      </c>
      <c r="F426" t="s">
        <v>632</v>
      </c>
      <c r="G426" t="s">
        <v>671</v>
      </c>
      <c r="H426" t="s">
        <v>700</v>
      </c>
      <c r="I426" t="s">
        <v>1126</v>
      </c>
      <c r="J426" t="s">
        <v>1319</v>
      </c>
      <c r="K426">
        <v>44061</v>
      </c>
      <c r="L426">
        <v>0.077369439071566</v>
      </c>
      <c r="M426">
        <v>0.05633987490022307</v>
      </c>
      <c r="N426">
        <v>0.02</v>
      </c>
      <c r="O426">
        <v>0.07746667239822735</v>
      </c>
      <c r="P426" t="s">
        <v>446</v>
      </c>
      <c r="Q426" t="s">
        <v>637</v>
      </c>
      <c r="R426">
        <v>0</v>
      </c>
      <c r="S426">
        <v>0.5263157894736842</v>
      </c>
      <c r="T426">
        <v>34</v>
      </c>
      <c r="U426">
        <v>0.7602941176470589</v>
      </c>
      <c r="V426">
        <v>0.9037000000000001</v>
      </c>
      <c r="W426">
        <v>3.8</v>
      </c>
      <c r="X426">
        <v>2</v>
      </c>
      <c r="Y426">
        <v>-0.333935</v>
      </c>
      <c r="Z426">
        <v>0.8333333333333333</v>
      </c>
      <c r="AA426">
        <v>0.2808988764044943</v>
      </c>
      <c r="AB426">
        <v>0.1613162118780096</v>
      </c>
      <c r="AC426">
        <v>0.8507223113964687</v>
      </c>
      <c r="AD426">
        <v>0.507223113964687</v>
      </c>
    </row>
    <row r="427" spans="1:30">
      <c r="A427" s="1" t="s">
        <v>434</v>
      </c>
      <c r="B427">
        <f>HYPERLINK("https://www.suredividend.com/sure-analysis-ARCC/","Ares Capital Corp.")</f>
        <v>0</v>
      </c>
      <c r="C427">
        <v>13.7</v>
      </c>
      <c r="D427">
        <v>5789.9214</v>
      </c>
      <c r="E427" t="s">
        <v>669</v>
      </c>
      <c r="F427" t="s">
        <v>635</v>
      </c>
      <c r="G427" t="s">
        <v>671</v>
      </c>
      <c r="H427" t="s">
        <v>701</v>
      </c>
      <c r="I427" t="s">
        <v>1127</v>
      </c>
      <c r="J427" t="s">
        <v>1313</v>
      </c>
      <c r="K427">
        <v>44061</v>
      </c>
      <c r="L427">
        <v>0.116788321167883</v>
      </c>
      <c r="M427">
        <v>-0.06102098471980433</v>
      </c>
      <c r="N427">
        <v>0.033</v>
      </c>
      <c r="O427">
        <v>0.07668179615303083</v>
      </c>
      <c r="P427" t="s">
        <v>446</v>
      </c>
      <c r="Q427" t="s">
        <v>637</v>
      </c>
      <c r="R427">
        <v>2</v>
      </c>
      <c r="S427">
        <v>0.9937888198757764</v>
      </c>
      <c r="T427">
        <v>10</v>
      </c>
      <c r="U427">
        <v>1.37</v>
      </c>
      <c r="V427">
        <v>0.117</v>
      </c>
      <c r="W427">
        <v>1.61</v>
      </c>
      <c r="X427">
        <v>1.6</v>
      </c>
      <c r="Y427">
        <v>-0.277426</v>
      </c>
      <c r="Z427">
        <v>0.9092409240924093</v>
      </c>
      <c r="AA427">
        <v>0.3451043338683788</v>
      </c>
      <c r="AB427">
        <v>0.3258426966292135</v>
      </c>
      <c r="AC427">
        <v>0.2006420545746389</v>
      </c>
      <c r="AD427">
        <v>0.5024077046548957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66.61</v>
      </c>
      <c r="D428">
        <v>6714.94644</v>
      </c>
      <c r="E428" t="s">
        <v>669</v>
      </c>
      <c r="F428" t="s">
        <v>634</v>
      </c>
      <c r="G428" t="s">
        <v>671</v>
      </c>
      <c r="H428" t="s">
        <v>701</v>
      </c>
      <c r="I428" t="s">
        <v>1128</v>
      </c>
      <c r="J428" t="s">
        <v>1323</v>
      </c>
      <c r="K428">
        <v>43978</v>
      </c>
      <c r="L428">
        <v>0.051343642095781</v>
      </c>
      <c r="M428">
        <v>-0.02068509747230673</v>
      </c>
      <c r="N428">
        <v>0.046</v>
      </c>
      <c r="O428">
        <v>0.07319483561646511</v>
      </c>
      <c r="P428" t="s">
        <v>446</v>
      </c>
      <c r="Q428" t="s">
        <v>372</v>
      </c>
      <c r="R428">
        <v>4</v>
      </c>
      <c r="S428">
        <v>0.6839999999999999</v>
      </c>
      <c r="T428">
        <v>60</v>
      </c>
      <c r="U428">
        <v>1.110166666666667</v>
      </c>
      <c r="V428">
        <v>2.7275</v>
      </c>
      <c r="W428">
        <v>5</v>
      </c>
      <c r="X428">
        <v>3.42</v>
      </c>
      <c r="Y428">
        <v>-0.181092</v>
      </c>
      <c r="Z428">
        <v>0.665016501650165</v>
      </c>
      <c r="AA428">
        <v>0.4574638844301766</v>
      </c>
      <c r="AB428">
        <v>0.4614767255216693</v>
      </c>
      <c r="AC428">
        <v>0.4382022471910113</v>
      </c>
      <c r="AD428">
        <v>0.4831460674157304</v>
      </c>
    </row>
    <row r="429" spans="1:30">
      <c r="A429" s="1" t="s">
        <v>436</v>
      </c>
      <c r="B429">
        <f>HYPERLINK("https://www.suredividend.com/sure-analysis-JCI/","Johnson Controls International Plc")</f>
        <v>0</v>
      </c>
      <c r="C429">
        <v>40.49</v>
      </c>
      <c r="D429">
        <v>30126.50352</v>
      </c>
      <c r="E429" t="s">
        <v>660</v>
      </c>
      <c r="F429" t="s">
        <v>632</v>
      </c>
      <c r="G429" t="s">
        <v>674</v>
      </c>
      <c r="H429" t="s">
        <v>700</v>
      </c>
      <c r="I429" t="s">
        <v>1129</v>
      </c>
      <c r="J429" t="s">
        <v>1319</v>
      </c>
      <c r="K429">
        <v>44049</v>
      </c>
      <c r="L429">
        <v>0.025685354408495</v>
      </c>
      <c r="M429">
        <v>-0.02872087800225631</v>
      </c>
      <c r="N429">
        <v>0.08</v>
      </c>
      <c r="O429">
        <v>0.0728594031460672</v>
      </c>
      <c r="P429" t="s">
        <v>446</v>
      </c>
      <c r="Q429" t="s">
        <v>446</v>
      </c>
      <c r="R429">
        <v>0</v>
      </c>
      <c r="S429">
        <v>0.4770642201834862</v>
      </c>
      <c r="T429">
        <v>35</v>
      </c>
      <c r="U429">
        <v>1.156857142857143</v>
      </c>
      <c r="V429">
        <v>1.0241</v>
      </c>
      <c r="W429">
        <v>2.18</v>
      </c>
      <c r="X429">
        <v>1.04</v>
      </c>
      <c r="Y429">
        <v>-0.071117</v>
      </c>
      <c r="Z429">
        <v>0.3415841584158416</v>
      </c>
      <c r="AA429">
        <v>0.5890850722311396</v>
      </c>
      <c r="AB429">
        <v>0.8274478330658106</v>
      </c>
      <c r="AC429">
        <v>0.3932584269662922</v>
      </c>
      <c r="AD429">
        <v>0.4799357945425362</v>
      </c>
    </row>
    <row r="430" spans="1:30">
      <c r="A430" s="1" t="s">
        <v>437</v>
      </c>
      <c r="B430">
        <f>HYPERLINK("https://www.suredividend.com/sure-analysis-DIN/","Dine Brands Global, Inc.")</f>
        <v>0</v>
      </c>
      <c r="C430">
        <v>55.23</v>
      </c>
      <c r="D430">
        <v>906.826893</v>
      </c>
      <c r="E430" t="s">
        <v>664</v>
      </c>
      <c r="F430" t="s">
        <v>632</v>
      </c>
      <c r="G430" t="s">
        <v>671</v>
      </c>
      <c r="H430" t="s">
        <v>700</v>
      </c>
      <c r="I430" t="s">
        <v>1130</v>
      </c>
      <c r="J430" t="s">
        <v>1318</v>
      </c>
      <c r="K430">
        <v>44052</v>
      </c>
      <c r="L430">
        <v>0.026253847546623</v>
      </c>
      <c r="M430">
        <v>0.03627203521520705</v>
      </c>
      <c r="N430">
        <v>0.035</v>
      </c>
      <c r="O430">
        <v>0.07254155644773919</v>
      </c>
      <c r="P430" t="s">
        <v>446</v>
      </c>
      <c r="Q430" t="s">
        <v>446</v>
      </c>
      <c r="R430">
        <v>0</v>
      </c>
      <c r="S430">
        <v>0.4833333333333333</v>
      </c>
      <c r="T430">
        <v>66</v>
      </c>
      <c r="U430">
        <v>0.8368181818181818</v>
      </c>
      <c r="V430">
        <v>-3.7206</v>
      </c>
      <c r="W430">
        <v>3</v>
      </c>
      <c r="X430">
        <v>1.45</v>
      </c>
      <c r="Y430">
        <v>-0.243321</v>
      </c>
      <c r="Z430">
        <v>0.3514851485148515</v>
      </c>
      <c r="AA430">
        <v>0.3756019261637239</v>
      </c>
      <c r="AB430">
        <v>0.3362760834670947</v>
      </c>
      <c r="AC430">
        <v>0.7431781701444623</v>
      </c>
      <c r="AD430">
        <v>0.4767255216693419</v>
      </c>
    </row>
    <row r="431" spans="1:30">
      <c r="A431" s="1" t="s">
        <v>438</v>
      </c>
      <c r="B431">
        <f>HYPERLINK("https://www.suredividend.com/sure-analysis-AQN/","Algonquin Power &amp; Utilities Corp.")</f>
        <v>0</v>
      </c>
      <c r="C431">
        <v>14.2</v>
      </c>
      <c r="D431">
        <v>8320.5326</v>
      </c>
      <c r="E431" t="s">
        <v>670</v>
      </c>
      <c r="F431" t="s">
        <v>632</v>
      </c>
      <c r="G431" t="s">
        <v>673</v>
      </c>
      <c r="H431" t="s">
        <v>700</v>
      </c>
      <c r="I431" t="s">
        <v>1131</v>
      </c>
      <c r="J431" t="s">
        <v>1316</v>
      </c>
      <c r="K431">
        <v>44021</v>
      </c>
      <c r="L431">
        <v>0.041029087056449</v>
      </c>
      <c r="M431">
        <v>-0.03310663433375005</v>
      </c>
      <c r="N431">
        <v>0.065</v>
      </c>
      <c r="O431">
        <v>0.07222300496153822</v>
      </c>
      <c r="P431" t="s">
        <v>446</v>
      </c>
      <c r="Q431" t="s">
        <v>446</v>
      </c>
      <c r="R431">
        <v>9</v>
      </c>
      <c r="S431">
        <v>0.8695716958232597</v>
      </c>
      <c r="T431">
        <v>12</v>
      </c>
      <c r="U431">
        <v>1.183333333333333</v>
      </c>
      <c r="V431">
        <v>0.9675</v>
      </c>
      <c r="W431">
        <v>0.67</v>
      </c>
      <c r="X431">
        <v>0.582613036201584</v>
      </c>
      <c r="Y431">
        <v>0.026012</v>
      </c>
      <c r="Z431">
        <v>0.5643564356435643</v>
      </c>
      <c r="AA431">
        <v>0.7207062600321028</v>
      </c>
      <c r="AB431">
        <v>0.7134831460674157</v>
      </c>
      <c r="AC431">
        <v>0.3739967897271268</v>
      </c>
      <c r="AD431">
        <v>0.4703049759229534</v>
      </c>
    </row>
    <row r="432" spans="1:30">
      <c r="A432" s="1" t="s">
        <v>439</v>
      </c>
      <c r="B432">
        <f>HYPERLINK("https://www.suredividend.com/sure-analysis-CF/","CF Industries Holdings, Inc.")</f>
        <v>0</v>
      </c>
      <c r="C432">
        <v>30.42</v>
      </c>
      <c r="D432">
        <v>6506.2296</v>
      </c>
      <c r="E432" t="s">
        <v>666</v>
      </c>
      <c r="F432" t="s">
        <v>632</v>
      </c>
      <c r="G432" t="s">
        <v>671</v>
      </c>
      <c r="H432" t="s">
        <v>700</v>
      </c>
      <c r="I432" t="s">
        <v>1132</v>
      </c>
      <c r="J432" t="s">
        <v>1322</v>
      </c>
      <c r="K432">
        <v>44066</v>
      </c>
      <c r="L432">
        <v>0.039447731755424</v>
      </c>
      <c r="M432">
        <v>0.03994052619031763</v>
      </c>
      <c r="N432">
        <v>0</v>
      </c>
      <c r="O432">
        <v>0.07167191436434739</v>
      </c>
      <c r="P432" t="s">
        <v>446</v>
      </c>
      <c r="Q432" t="s">
        <v>446</v>
      </c>
      <c r="R432">
        <v>0</v>
      </c>
      <c r="S432">
        <v>0.7272727272727273</v>
      </c>
      <c r="T432">
        <v>37</v>
      </c>
      <c r="U432">
        <v>0.8221621621621622</v>
      </c>
      <c r="V432">
        <v>1.7503</v>
      </c>
      <c r="W432">
        <v>1.65</v>
      </c>
      <c r="X432">
        <v>1.2</v>
      </c>
      <c r="Y432">
        <v>-0.381959</v>
      </c>
      <c r="Z432">
        <v>0.5445544554455446</v>
      </c>
      <c r="AA432">
        <v>0.2134831460674158</v>
      </c>
      <c r="AB432">
        <v>0.04895666131621188</v>
      </c>
      <c r="AC432">
        <v>0.7656500802568219</v>
      </c>
      <c r="AD432">
        <v>0.4670947030497593</v>
      </c>
    </row>
    <row r="433" spans="1:30">
      <c r="A433" s="1" t="s">
        <v>440</v>
      </c>
      <c r="B433">
        <f>HYPERLINK("https://www.suredividend.com/sure-analysis-DHC/","Diversified Healthcare Trust")</f>
        <v>0</v>
      </c>
      <c r="C433">
        <v>3.31</v>
      </c>
      <c r="D433">
        <v>787.61781</v>
      </c>
      <c r="E433" t="s">
        <v>667</v>
      </c>
      <c r="F433" t="s">
        <v>634</v>
      </c>
      <c r="G433" t="s">
        <v>671</v>
      </c>
      <c r="H433" t="s">
        <v>701</v>
      </c>
      <c r="I433" t="s">
        <v>1133</v>
      </c>
      <c r="J433" t="s">
        <v>1323</v>
      </c>
      <c r="K433">
        <v>44067</v>
      </c>
      <c r="L433">
        <v>0.138972809667673</v>
      </c>
      <c r="M433">
        <v>0.07263996185041832</v>
      </c>
      <c r="N433">
        <v>-0.01</v>
      </c>
      <c r="O433">
        <v>0.07125121502050624</v>
      </c>
      <c r="P433" t="s">
        <v>446</v>
      </c>
      <c r="Q433" t="s">
        <v>637</v>
      </c>
      <c r="R433">
        <v>0</v>
      </c>
      <c r="S433">
        <v>0.5897435897435898</v>
      </c>
      <c r="T433">
        <v>4.7</v>
      </c>
      <c r="U433">
        <v>0.7042553191489361</v>
      </c>
      <c r="V433">
        <v>-0.4099</v>
      </c>
      <c r="W433">
        <v>0.78</v>
      </c>
      <c r="X433">
        <v>0.46</v>
      </c>
      <c r="Y433">
        <v>-0.632765</v>
      </c>
      <c r="Z433">
        <v>0.9422442244224422</v>
      </c>
      <c r="AA433">
        <v>0.03691813804173355</v>
      </c>
      <c r="AB433">
        <v>0.0232744783306581</v>
      </c>
      <c r="AC433">
        <v>0.913322632423756</v>
      </c>
      <c r="AD433">
        <v>0.463884430176565</v>
      </c>
    </row>
    <row r="434" spans="1:30">
      <c r="A434" s="1" t="s">
        <v>441</v>
      </c>
      <c r="B434">
        <f>HYPERLINK("https://www.suredividend.com/sure-analysis-GOOD/","Gladstone Commercial Corp.")</f>
        <v>0</v>
      </c>
      <c r="C434">
        <v>16.68</v>
      </c>
      <c r="D434">
        <v>588.903813</v>
      </c>
      <c r="E434" t="s">
        <v>666</v>
      </c>
      <c r="F434" t="s">
        <v>634</v>
      </c>
      <c r="G434" t="s">
        <v>671</v>
      </c>
      <c r="H434" t="s">
        <v>701</v>
      </c>
      <c r="I434" t="s">
        <v>1134</v>
      </c>
      <c r="J434" t="s">
        <v>1323</v>
      </c>
      <c r="K434">
        <v>44046</v>
      </c>
      <c r="L434">
        <v>0.09001199040767301</v>
      </c>
      <c r="M434">
        <v>-0.008289783600853085</v>
      </c>
      <c r="N434">
        <v>0</v>
      </c>
      <c r="O434">
        <v>0.07096274417615533</v>
      </c>
      <c r="P434" t="s">
        <v>446</v>
      </c>
      <c r="Q434" t="s">
        <v>372</v>
      </c>
      <c r="R434">
        <v>0</v>
      </c>
      <c r="S434">
        <v>0.9502531645569621</v>
      </c>
      <c r="T434">
        <v>16</v>
      </c>
      <c r="U434">
        <v>1.0425</v>
      </c>
      <c r="V434">
        <v>-0.2459</v>
      </c>
      <c r="W434">
        <v>1.58</v>
      </c>
      <c r="X434">
        <v>1.5014</v>
      </c>
      <c r="Y434">
        <v>-0.283197</v>
      </c>
      <c r="Z434">
        <v>0.8679867986798679</v>
      </c>
      <c r="AA434">
        <v>0.3386837881219904</v>
      </c>
      <c r="AB434">
        <v>0.04895666131621188</v>
      </c>
      <c r="AC434">
        <v>0.5040128410914928</v>
      </c>
      <c r="AD434">
        <v>0.4606741573033708</v>
      </c>
    </row>
    <row r="435" spans="1:30">
      <c r="A435" s="1" t="s">
        <v>442</v>
      </c>
      <c r="B435">
        <f>HYPERLINK("https://www.suredividend.com/sure-analysis-DRETF/","Dream Office Real Estate Investment Trust")</f>
        <v>0</v>
      </c>
      <c r="C435">
        <v>13.96</v>
      </c>
      <c r="D435">
        <v>840.766449</v>
      </c>
      <c r="E435" t="s">
        <v>669</v>
      </c>
      <c r="F435" t="s">
        <v>632</v>
      </c>
      <c r="G435" t="s">
        <v>673</v>
      </c>
      <c r="H435" t="s">
        <v>702</v>
      </c>
      <c r="I435" t="s">
        <v>1135</v>
      </c>
      <c r="J435" t="s">
        <v>1313</v>
      </c>
      <c r="K435">
        <v>44012</v>
      </c>
      <c r="L435">
        <v>0.053365558184183</v>
      </c>
      <c r="M435">
        <v>-0.006678878857254267</v>
      </c>
      <c r="N435">
        <v>0.031</v>
      </c>
      <c r="O435">
        <v>0.06958874716094932</v>
      </c>
      <c r="P435" t="s">
        <v>446</v>
      </c>
      <c r="Q435" t="s">
        <v>372</v>
      </c>
      <c r="R435">
        <v>0</v>
      </c>
      <c r="S435">
        <v>0.4966554615008054</v>
      </c>
      <c r="T435">
        <v>13.5</v>
      </c>
      <c r="U435">
        <v>1.034074074074074</v>
      </c>
      <c r="V435">
        <v>2.1962</v>
      </c>
      <c r="W435">
        <v>1.5</v>
      </c>
      <c r="X435">
        <v>0.744983192251208</v>
      </c>
      <c r="Y435">
        <v>-0.372907</v>
      </c>
      <c r="Z435">
        <v>0.6864686468646864</v>
      </c>
      <c r="AA435">
        <v>0.2247191011235955</v>
      </c>
      <c r="AB435">
        <v>0.3194221508828251</v>
      </c>
      <c r="AC435">
        <v>0.5184590690208668</v>
      </c>
      <c r="AD435">
        <v>0.4542536115569824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10.82</v>
      </c>
      <c r="D436">
        <v>16970.9536</v>
      </c>
      <c r="E436" t="s">
        <v>668</v>
      </c>
      <c r="F436" t="s">
        <v>632</v>
      </c>
      <c r="G436" t="s">
        <v>677</v>
      </c>
      <c r="H436" t="s">
        <v>700</v>
      </c>
      <c r="I436" t="s">
        <v>1136</v>
      </c>
      <c r="J436" t="s">
        <v>1318</v>
      </c>
      <c r="K436">
        <v>44089</v>
      </c>
      <c r="L436">
        <v>0.042975970425138</v>
      </c>
      <c r="M436">
        <v>-0.01563866216071053</v>
      </c>
      <c r="N436">
        <v>0.05</v>
      </c>
      <c r="O436">
        <v>0.06840467547852724</v>
      </c>
      <c r="P436" t="s">
        <v>446</v>
      </c>
      <c r="Q436" t="s">
        <v>446</v>
      </c>
      <c r="R436">
        <v>0</v>
      </c>
      <c r="S436">
        <v>0.6642857142857144</v>
      </c>
      <c r="T436">
        <v>10</v>
      </c>
      <c r="U436">
        <v>1.082</v>
      </c>
      <c r="V436">
        <v>0.3841</v>
      </c>
      <c r="W436">
        <v>0.7</v>
      </c>
      <c r="X436">
        <v>0.465</v>
      </c>
      <c r="Y436">
        <v>0.125911</v>
      </c>
      <c r="Z436">
        <v>0.5907590759075907</v>
      </c>
      <c r="AA436">
        <v>0.8009630818619583</v>
      </c>
      <c r="AB436">
        <v>0.5296950240770465</v>
      </c>
      <c r="AC436">
        <v>0.4686998394863564</v>
      </c>
      <c r="AD436">
        <v>0.4510433386837881</v>
      </c>
    </row>
    <row r="437" spans="1:30">
      <c r="A437" s="1" t="s">
        <v>444</v>
      </c>
      <c r="B437">
        <f>HYPERLINK("https://www.suredividend.com/sure-analysis-XRX/","Xerox Holdings Corp.")</f>
        <v>0</v>
      </c>
      <c r="C437">
        <v>17.98</v>
      </c>
      <c r="D437">
        <v>3829.99172</v>
      </c>
      <c r="E437" t="s">
        <v>666</v>
      </c>
      <c r="F437" t="s">
        <v>632</v>
      </c>
      <c r="G437" t="s">
        <v>671</v>
      </c>
      <c r="H437" t="s">
        <v>700</v>
      </c>
      <c r="I437" t="s">
        <v>1137</v>
      </c>
      <c r="J437" t="s">
        <v>1320</v>
      </c>
      <c r="K437">
        <v>44041</v>
      </c>
      <c r="L437">
        <v>0.05561735261401501</v>
      </c>
      <c r="M437">
        <v>0.02152279362383802</v>
      </c>
      <c r="N437">
        <v>0</v>
      </c>
      <c r="O437">
        <v>0.06814463688661743</v>
      </c>
      <c r="P437" t="s">
        <v>446</v>
      </c>
      <c r="Q437" t="s">
        <v>372</v>
      </c>
      <c r="R437">
        <v>0</v>
      </c>
      <c r="S437">
        <v>0.7692307692307692</v>
      </c>
      <c r="T437">
        <v>20</v>
      </c>
      <c r="U437">
        <v>0.899</v>
      </c>
      <c r="V437">
        <v>1.9328</v>
      </c>
      <c r="W437">
        <v>1.3</v>
      </c>
      <c r="X437">
        <v>1</v>
      </c>
      <c r="Y437">
        <v>-0.408358</v>
      </c>
      <c r="Z437">
        <v>0.7128712871287129</v>
      </c>
      <c r="AA437">
        <v>0.1749598715890851</v>
      </c>
      <c r="AB437">
        <v>0.04895666131621188</v>
      </c>
      <c r="AC437">
        <v>0.6677367576243981</v>
      </c>
      <c r="AD437">
        <v>0.4478330658105939</v>
      </c>
    </row>
    <row r="438" spans="1:30">
      <c r="A438" s="1" t="s">
        <v>445</v>
      </c>
      <c r="B438">
        <f>HYPERLINK("https://www.suredividend.com/sure-analysis-LAND/","Gladstone Land Corp.")</f>
        <v>0</v>
      </c>
      <c r="C438">
        <v>14.9</v>
      </c>
      <c r="D438">
        <v>328.13972</v>
      </c>
      <c r="E438" t="s">
        <v>666</v>
      </c>
      <c r="F438" t="s">
        <v>634</v>
      </c>
      <c r="G438" t="s">
        <v>671</v>
      </c>
      <c r="H438" t="s">
        <v>701</v>
      </c>
      <c r="I438" t="s">
        <v>1134</v>
      </c>
      <c r="J438" t="s">
        <v>1323</v>
      </c>
      <c r="K438">
        <v>44064</v>
      </c>
      <c r="L438">
        <v>0.035993288590604</v>
      </c>
      <c r="M438">
        <v>-0.01238346265372525</v>
      </c>
      <c r="N438">
        <v>0.05</v>
      </c>
      <c r="O438">
        <v>0.06721691750869074</v>
      </c>
      <c r="P438" t="s">
        <v>446</v>
      </c>
      <c r="Q438" t="s">
        <v>446</v>
      </c>
      <c r="R438">
        <v>6</v>
      </c>
      <c r="S438">
        <v>0.7886764705882352</v>
      </c>
      <c r="T438">
        <v>14</v>
      </c>
      <c r="U438">
        <v>1.064285714285714</v>
      </c>
      <c r="V438">
        <v>-0.1146</v>
      </c>
      <c r="W438">
        <v>0.68</v>
      </c>
      <c r="X438">
        <v>0.5363</v>
      </c>
      <c r="Y438">
        <v>0.244779</v>
      </c>
      <c r="Z438">
        <v>0.4933993399339934</v>
      </c>
      <c r="AA438">
        <v>0.8812199036918138</v>
      </c>
      <c r="AB438">
        <v>0.5296950240770465</v>
      </c>
      <c r="AC438">
        <v>0.4847512038523274</v>
      </c>
      <c r="AD438">
        <v>0.4446227929373997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77.05</v>
      </c>
      <c r="D439">
        <v>64732.4788</v>
      </c>
      <c r="E439" t="s">
        <v>670</v>
      </c>
      <c r="F439" t="s">
        <v>632</v>
      </c>
      <c r="G439" t="s">
        <v>671</v>
      </c>
      <c r="H439" t="s">
        <v>700</v>
      </c>
      <c r="I439" t="s">
        <v>1138</v>
      </c>
      <c r="J439" t="s">
        <v>1316</v>
      </c>
      <c r="K439">
        <v>44065</v>
      </c>
      <c r="L439">
        <v>0.048215444516547</v>
      </c>
      <c r="M439">
        <v>-0.0394641441552479</v>
      </c>
      <c r="N439">
        <v>0.07199999999999999</v>
      </c>
      <c r="O439">
        <v>0.06627561482095601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1.223015873015873</v>
      </c>
      <c r="V439">
        <v>0.6571</v>
      </c>
      <c r="W439">
        <v>3.5</v>
      </c>
      <c r="X439">
        <v>3.715</v>
      </c>
      <c r="Y439">
        <v>-0.045939</v>
      </c>
      <c r="Z439">
        <v>0.6303630363036303</v>
      </c>
      <c r="AA439">
        <v>0.6260032102728732</v>
      </c>
      <c r="AB439">
        <v>0.781701444622793</v>
      </c>
      <c r="AC439">
        <v>0.3226324237560192</v>
      </c>
      <c r="AD439">
        <v>0.4382022471910113</v>
      </c>
    </row>
    <row r="440" spans="1:30">
      <c r="A440" s="1" t="s">
        <v>447</v>
      </c>
      <c r="B440">
        <f>HYPERLINK("https://www.suredividend.com/sure-analysis-QSR/","Restaurant Brands International, Inc.")</f>
        <v>0</v>
      </c>
      <c r="C440">
        <v>56.64</v>
      </c>
      <c r="D440">
        <v>17168.320377</v>
      </c>
      <c r="E440" t="s">
        <v>661</v>
      </c>
      <c r="F440" t="s">
        <v>632</v>
      </c>
      <c r="G440" t="s">
        <v>673</v>
      </c>
      <c r="H440" t="s">
        <v>700</v>
      </c>
      <c r="I440" t="s">
        <v>1139</v>
      </c>
      <c r="J440" t="s">
        <v>1318</v>
      </c>
      <c r="K440">
        <v>44053</v>
      </c>
      <c r="L440">
        <v>0.03622435629448401</v>
      </c>
      <c r="M440">
        <v>-0.08665290620787802</v>
      </c>
      <c r="N440">
        <v>0.13</v>
      </c>
      <c r="O440">
        <v>0.0661290220226407</v>
      </c>
      <c r="P440" t="s">
        <v>446</v>
      </c>
      <c r="Q440" t="s">
        <v>446</v>
      </c>
      <c r="R440">
        <v>8</v>
      </c>
      <c r="S440">
        <v>1.02587377025981</v>
      </c>
      <c r="T440">
        <v>36</v>
      </c>
      <c r="U440">
        <v>1.573333333333333</v>
      </c>
      <c r="V440">
        <v>2.1403</v>
      </c>
      <c r="W440">
        <v>2</v>
      </c>
      <c r="X440">
        <v>2.05174754051962</v>
      </c>
      <c r="Y440">
        <v>-0.203376</v>
      </c>
      <c r="Z440">
        <v>0.5033003300330033</v>
      </c>
      <c r="AA440">
        <v>0.4125200642054574</v>
      </c>
      <c r="AB440">
        <v>0.9646869983948636</v>
      </c>
      <c r="AC440">
        <v>0.1099518459069021</v>
      </c>
      <c r="AD440">
        <v>0.4365971107544142</v>
      </c>
    </row>
    <row r="441" spans="1:30">
      <c r="A441" s="1" t="s">
        <v>448</v>
      </c>
      <c r="B441">
        <f>HYPERLINK("https://www.suredividend.com/sure-analysis-BGS/","B&amp;G Foods, Inc.")</f>
        <v>0</v>
      </c>
      <c r="C441">
        <v>27.94</v>
      </c>
      <c r="D441">
        <v>1792.761718</v>
      </c>
      <c r="E441" t="s">
        <v>660</v>
      </c>
      <c r="F441" t="s">
        <v>632</v>
      </c>
      <c r="G441" t="s">
        <v>671</v>
      </c>
      <c r="H441" t="s">
        <v>700</v>
      </c>
      <c r="I441" t="s">
        <v>1140</v>
      </c>
      <c r="J441" t="s">
        <v>1321</v>
      </c>
      <c r="K441">
        <v>44049</v>
      </c>
      <c r="L441">
        <v>0.06800286327845301</v>
      </c>
      <c r="M441">
        <v>-0.0219912926754563</v>
      </c>
      <c r="N441">
        <v>0.03</v>
      </c>
      <c r="O441">
        <v>0.06611956229020044</v>
      </c>
      <c r="P441" t="s">
        <v>446</v>
      </c>
      <c r="Q441" t="s">
        <v>372</v>
      </c>
      <c r="R441">
        <v>9</v>
      </c>
      <c r="S441">
        <v>0.9047619047619047</v>
      </c>
      <c r="T441">
        <v>25</v>
      </c>
      <c r="U441">
        <v>1.1176</v>
      </c>
      <c r="V441">
        <v>1.7768</v>
      </c>
      <c r="W441">
        <v>2.1</v>
      </c>
      <c r="X441">
        <v>1.9</v>
      </c>
      <c r="Y441">
        <v>0.4061400000000001</v>
      </c>
      <c r="Z441">
        <v>0.7904290429042905</v>
      </c>
      <c r="AA441">
        <v>0.9486356340288924</v>
      </c>
      <c r="AB441">
        <v>0.2680577849117175</v>
      </c>
      <c r="AC441">
        <v>0.4237560192616373</v>
      </c>
      <c r="AD441">
        <v>0.434991974317817</v>
      </c>
    </row>
    <row r="442" spans="1:30">
      <c r="A442" s="1" t="s">
        <v>449</v>
      </c>
      <c r="B442">
        <f>HYPERLINK("https://www.suredividend.com/sure-analysis-LYB/","LyondellBasell Industries NV")</f>
        <v>0</v>
      </c>
      <c r="C442">
        <v>69.62</v>
      </c>
      <c r="D442">
        <v>23241.87118</v>
      </c>
      <c r="E442" t="s">
        <v>660</v>
      </c>
      <c r="F442" t="s">
        <v>632</v>
      </c>
      <c r="G442" t="s">
        <v>677</v>
      </c>
      <c r="H442" t="s">
        <v>700</v>
      </c>
      <c r="I442" t="s">
        <v>1141</v>
      </c>
      <c r="J442" t="s">
        <v>1322</v>
      </c>
      <c r="K442">
        <v>44049</v>
      </c>
      <c r="L442">
        <v>0.06032749209997101</v>
      </c>
      <c r="M442">
        <v>-0.08357759385587027</v>
      </c>
      <c r="N442">
        <v>0.1</v>
      </c>
      <c r="O442">
        <v>0.06512918388177447</v>
      </c>
      <c r="P442" t="s">
        <v>446</v>
      </c>
      <c r="Q442" t="s">
        <v>372</v>
      </c>
      <c r="R442">
        <v>9</v>
      </c>
      <c r="S442">
        <v>0.8400000000000001</v>
      </c>
      <c r="T442">
        <v>45</v>
      </c>
      <c r="U442">
        <v>1.547111111111111</v>
      </c>
      <c r="V442">
        <v>6.0371</v>
      </c>
      <c r="W442">
        <v>5</v>
      </c>
      <c r="X442">
        <v>4.2</v>
      </c>
      <c r="Y442">
        <v>-0.204343</v>
      </c>
      <c r="Z442">
        <v>0.7376237623762377</v>
      </c>
      <c r="AA442">
        <v>0.4109149277688603</v>
      </c>
      <c r="AB442">
        <v>0.9165329052969503</v>
      </c>
      <c r="AC442">
        <v>0.1268057784911718</v>
      </c>
      <c r="AD442">
        <v>0.4285714285714285</v>
      </c>
    </row>
    <row r="443" spans="1:30">
      <c r="A443" s="1" t="s">
        <v>450</v>
      </c>
      <c r="B443">
        <f>HYPERLINK("https://www.suredividend.com/sure-analysis-BMWYY/","Bayerische Motoren Werke AG")</f>
        <v>0</v>
      </c>
      <c r="C443">
        <v>23.07</v>
      </c>
      <c r="D443">
        <v>42084.923182</v>
      </c>
      <c r="E443" t="s">
        <v>661</v>
      </c>
      <c r="F443" t="s">
        <v>632</v>
      </c>
      <c r="G443" t="s">
        <v>675</v>
      </c>
      <c r="H443" t="s">
        <v>702</v>
      </c>
      <c r="I443" t="s">
        <v>1142</v>
      </c>
      <c r="J443" t="s">
        <v>1318</v>
      </c>
      <c r="K443">
        <v>44075</v>
      </c>
      <c r="L443">
        <v>0.039419159081057</v>
      </c>
      <c r="M443">
        <v>-0.2012649660691215</v>
      </c>
      <c r="N443">
        <v>0.285</v>
      </c>
      <c r="O443">
        <v>0.06347784515948773</v>
      </c>
      <c r="P443" t="s">
        <v>446</v>
      </c>
      <c r="Q443" t="s">
        <v>446</v>
      </c>
      <c r="R443">
        <v>0</v>
      </c>
      <c r="S443">
        <v>0.9094000000000001</v>
      </c>
      <c r="T443">
        <v>7.5</v>
      </c>
      <c r="U443">
        <v>3.076</v>
      </c>
      <c r="V443">
        <v>1.7915</v>
      </c>
      <c r="W443">
        <v>1</v>
      </c>
      <c r="X443">
        <v>0.9094000000000001</v>
      </c>
      <c r="Y443">
        <v>0.003043</v>
      </c>
      <c r="Z443">
        <v>0.542904290429043</v>
      </c>
      <c r="AA443">
        <v>0.6982343499197432</v>
      </c>
      <c r="AB443">
        <v>1</v>
      </c>
      <c r="AC443">
        <v>0.006420545746388443</v>
      </c>
      <c r="AD443">
        <v>0.4109149277688603</v>
      </c>
    </row>
    <row r="444" spans="1:30">
      <c r="A444" s="1" t="s">
        <v>451</v>
      </c>
      <c r="B444">
        <f>HYPERLINK("https://www.suredividend.com/sure-analysis-CNP/","CenterPoint Energy, Inc.")</f>
        <v>0</v>
      </c>
      <c r="C444">
        <v>18.99</v>
      </c>
      <c r="D444">
        <v>10346.11281</v>
      </c>
      <c r="E444" t="s">
        <v>669</v>
      </c>
      <c r="F444" t="s">
        <v>632</v>
      </c>
      <c r="G444" t="s">
        <v>671</v>
      </c>
      <c r="H444" t="s">
        <v>700</v>
      </c>
      <c r="I444" t="s">
        <v>1143</v>
      </c>
      <c r="J444" t="s">
        <v>1316</v>
      </c>
      <c r="K444">
        <v>44001</v>
      </c>
      <c r="L444">
        <v>0.05344918378093701</v>
      </c>
      <c r="M444">
        <v>-0.03368437145922665</v>
      </c>
      <c r="N444">
        <v>0.04</v>
      </c>
      <c r="O444">
        <v>0.06273587957673787</v>
      </c>
      <c r="P444" t="s">
        <v>446</v>
      </c>
      <c r="Q444" t="s">
        <v>372</v>
      </c>
      <c r="R444">
        <v>14</v>
      </c>
      <c r="S444">
        <v>0.7518518518518518</v>
      </c>
      <c r="T444">
        <v>16</v>
      </c>
      <c r="U444">
        <v>1.186875</v>
      </c>
      <c r="V444">
        <v>-1.5979</v>
      </c>
      <c r="W444">
        <v>1.35</v>
      </c>
      <c r="X444">
        <v>1.015</v>
      </c>
      <c r="Y444">
        <v>-0.369522</v>
      </c>
      <c r="Z444">
        <v>0.6897689768976898</v>
      </c>
      <c r="AA444">
        <v>0.2295345104333869</v>
      </c>
      <c r="AB444">
        <v>0.4012841091492777</v>
      </c>
      <c r="AC444">
        <v>0.3691813804173355</v>
      </c>
      <c r="AD444">
        <v>0.4093097913322633</v>
      </c>
    </row>
    <row r="445" spans="1:30">
      <c r="A445" s="1" t="s">
        <v>452</v>
      </c>
      <c r="B445">
        <f>HYPERLINK("https://www.suredividend.com/sure-analysis-AVGO/","Broadcom, Inc.")</f>
        <v>0</v>
      </c>
      <c r="C445">
        <v>356.8</v>
      </c>
      <c r="D445">
        <v>144325.9568</v>
      </c>
      <c r="E445" t="s">
        <v>664</v>
      </c>
      <c r="F445" t="s">
        <v>632</v>
      </c>
      <c r="G445" t="s">
        <v>671</v>
      </c>
      <c r="H445" t="s">
        <v>701</v>
      </c>
      <c r="I445" t="s">
        <v>1144</v>
      </c>
      <c r="J445" t="s">
        <v>1320</v>
      </c>
      <c r="K445">
        <v>44084</v>
      </c>
      <c r="L445">
        <v>0.034753363228699</v>
      </c>
      <c r="M445">
        <v>-0.0507478933628589</v>
      </c>
      <c r="N445">
        <v>0.075</v>
      </c>
      <c r="O445">
        <v>0.05985913313550828</v>
      </c>
      <c r="P445" t="s">
        <v>446</v>
      </c>
      <c r="Q445" t="s">
        <v>446</v>
      </c>
      <c r="R445">
        <v>9</v>
      </c>
      <c r="S445">
        <v>0.5636363636363636</v>
      </c>
      <c r="T445">
        <v>275</v>
      </c>
      <c r="U445">
        <v>1.297454545454545</v>
      </c>
      <c r="V445">
        <v>5.5824</v>
      </c>
      <c r="W445">
        <v>22</v>
      </c>
      <c r="X445">
        <v>12.4</v>
      </c>
      <c r="Y445">
        <v>0.288505</v>
      </c>
      <c r="Z445">
        <v>0.4768976897689769</v>
      </c>
      <c r="AA445">
        <v>0.8988764044943821</v>
      </c>
      <c r="AB445">
        <v>0.7889245585874799</v>
      </c>
      <c r="AC445">
        <v>0.2439807383627608</v>
      </c>
      <c r="AD445">
        <v>0.3948635634028892</v>
      </c>
    </row>
    <row r="446" spans="1:30">
      <c r="A446" s="1" t="s">
        <v>453</v>
      </c>
      <c r="B446">
        <f>HYPERLINK("https://www.suredividend.com/sure-analysis-RIO/","Rio Tinto Plc")</f>
        <v>0</v>
      </c>
      <c r="C446">
        <v>60.36</v>
      </c>
      <c r="D446">
        <v>75201.220888</v>
      </c>
      <c r="E446" t="s">
        <v>661</v>
      </c>
      <c r="F446" t="s">
        <v>632</v>
      </c>
      <c r="G446" t="s">
        <v>677</v>
      </c>
      <c r="H446" t="s">
        <v>700</v>
      </c>
      <c r="I446" t="s">
        <v>1145</v>
      </c>
      <c r="J446" t="s">
        <v>1322</v>
      </c>
      <c r="K446">
        <v>44071</v>
      </c>
      <c r="L446">
        <v>0.063949635520212</v>
      </c>
      <c r="M446">
        <v>-0.007944995024677382</v>
      </c>
      <c r="N446">
        <v>0.01</v>
      </c>
      <c r="O446">
        <v>0.05864036990484944</v>
      </c>
      <c r="P446" t="s">
        <v>446</v>
      </c>
      <c r="Q446" t="s">
        <v>637</v>
      </c>
      <c r="R446">
        <v>4</v>
      </c>
      <c r="S446">
        <v>0.6031249999999999</v>
      </c>
      <c r="T446">
        <v>58</v>
      </c>
      <c r="U446">
        <v>1.040689655172414</v>
      </c>
      <c r="V446">
        <v>4.4607</v>
      </c>
      <c r="W446">
        <v>6.4</v>
      </c>
      <c r="X446">
        <v>3.86</v>
      </c>
      <c r="Y446">
        <v>0.173862</v>
      </c>
      <c r="Z446">
        <v>0.7673267326732673</v>
      </c>
      <c r="AA446">
        <v>0.8282504012841092</v>
      </c>
      <c r="AB446">
        <v>0.08828250401284109</v>
      </c>
      <c r="AC446">
        <v>0.5088282504012841</v>
      </c>
      <c r="AD446">
        <v>0.3916532905296951</v>
      </c>
    </row>
    <row r="447" spans="1:30">
      <c r="A447" s="1" t="s">
        <v>454</v>
      </c>
      <c r="B447">
        <f>HYPERLINK("https://www.suredividend.com/sure-analysis-PEAK/","Healthpeak Properties, Inc.")</f>
        <v>0</v>
      </c>
      <c r="C447">
        <v>26.73</v>
      </c>
      <c r="D447">
        <v>14389.26687</v>
      </c>
      <c r="E447" t="s">
        <v>661</v>
      </c>
      <c r="F447" t="s">
        <v>634</v>
      </c>
      <c r="G447" t="s">
        <v>671</v>
      </c>
      <c r="H447" t="s">
        <v>700</v>
      </c>
      <c r="I447" t="s">
        <v>1146</v>
      </c>
      <c r="J447" t="s">
        <v>1323</v>
      </c>
      <c r="K447">
        <v>44074</v>
      </c>
      <c r="L447">
        <v>0.05536849981294401</v>
      </c>
      <c r="M447">
        <v>-0.02131607150221693</v>
      </c>
      <c r="N447">
        <v>0.03</v>
      </c>
      <c r="O447">
        <v>0.05815708102057604</v>
      </c>
      <c r="P447" t="s">
        <v>446</v>
      </c>
      <c r="Q447" t="s">
        <v>446</v>
      </c>
      <c r="R447">
        <v>0</v>
      </c>
      <c r="S447">
        <v>0.896969696969697</v>
      </c>
      <c r="T447">
        <v>24</v>
      </c>
      <c r="U447">
        <v>1.11375</v>
      </c>
      <c r="V447">
        <v>0.6356000000000001</v>
      </c>
      <c r="W447">
        <v>1.65</v>
      </c>
      <c r="X447">
        <v>1.48</v>
      </c>
      <c r="Y447">
        <v>-0.244488</v>
      </c>
      <c r="Z447">
        <v>0.7112211221122112</v>
      </c>
      <c r="AA447">
        <v>0.3723916532905296</v>
      </c>
      <c r="AB447">
        <v>0.2680577849117175</v>
      </c>
      <c r="AC447">
        <v>0.4317817014446228</v>
      </c>
      <c r="AD447">
        <v>0.3884430176565008</v>
      </c>
    </row>
    <row r="448" spans="1:30">
      <c r="A448" s="1" t="s">
        <v>455</v>
      </c>
      <c r="B448">
        <f>HYPERLINK("https://www.suredividend.com/sure-analysis-BRMK/","Broadmark Realty Capital, Inc.")</f>
        <v>0</v>
      </c>
      <c r="C448">
        <v>9.84</v>
      </c>
      <c r="D448">
        <v>1301.15304</v>
      </c>
      <c r="E448" t="s">
        <v>663</v>
      </c>
      <c r="F448" t="s">
        <v>632</v>
      </c>
      <c r="G448" t="s">
        <v>671</v>
      </c>
      <c r="H448" t="s">
        <v>700</v>
      </c>
      <c r="I448" t="s">
        <v>1147</v>
      </c>
      <c r="J448" t="s">
        <v>1323</v>
      </c>
      <c r="K448">
        <v>44085</v>
      </c>
      <c r="L448">
        <v>0.05487804878048701</v>
      </c>
      <c r="M448">
        <v>-0.03817074134753962</v>
      </c>
      <c r="N448">
        <v>0.03</v>
      </c>
      <c r="O448">
        <v>0.05711835323975789</v>
      </c>
      <c r="P448" t="s">
        <v>446</v>
      </c>
      <c r="Q448" t="s">
        <v>372</v>
      </c>
      <c r="R448">
        <v>0</v>
      </c>
      <c r="S448">
        <v>0.6666666666666666</v>
      </c>
      <c r="T448">
        <v>8.1</v>
      </c>
      <c r="U448">
        <v>1.214814814814815</v>
      </c>
      <c r="V448">
        <v>0.2662</v>
      </c>
      <c r="W448">
        <v>0.8100000000000001</v>
      </c>
      <c r="X448">
        <v>0.54</v>
      </c>
      <c r="Y448">
        <v>-0.05702</v>
      </c>
      <c r="Z448">
        <v>0.7062706270627062</v>
      </c>
      <c r="AA448">
        <v>0.6131621187800963</v>
      </c>
      <c r="AB448">
        <v>0.2680577849117175</v>
      </c>
      <c r="AC448">
        <v>0.3338683788121991</v>
      </c>
      <c r="AD448">
        <v>0.3852327447833065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44.72</v>
      </c>
      <c r="D449">
        <v>18066.469023</v>
      </c>
      <c r="E449" t="s">
        <v>666</v>
      </c>
      <c r="F449" t="s">
        <v>632</v>
      </c>
      <c r="G449" t="s">
        <v>671</v>
      </c>
      <c r="H449" t="s">
        <v>700</v>
      </c>
      <c r="I449" t="s">
        <v>1148</v>
      </c>
      <c r="J449" t="s">
        <v>1313</v>
      </c>
      <c r="K449">
        <v>44051</v>
      </c>
      <c r="L449">
        <v>0.05165474060822801</v>
      </c>
      <c r="M449">
        <v>-0.05897225333956979</v>
      </c>
      <c r="N449">
        <v>0.08</v>
      </c>
      <c r="O449">
        <v>0.05655785221016529</v>
      </c>
      <c r="P449" t="s">
        <v>446</v>
      </c>
      <c r="Q449" t="s">
        <v>446</v>
      </c>
      <c r="R449">
        <v>0</v>
      </c>
      <c r="S449">
        <v>0.77</v>
      </c>
      <c r="T449">
        <v>33</v>
      </c>
      <c r="U449">
        <v>1.355151515151515</v>
      </c>
      <c r="V449">
        <v>-0.3011</v>
      </c>
      <c r="W449">
        <v>3</v>
      </c>
      <c r="X449">
        <v>2.31</v>
      </c>
      <c r="Y449">
        <v>0.102836</v>
      </c>
      <c r="Z449">
        <v>0.6716171617161716</v>
      </c>
      <c r="AA449">
        <v>0.7736757624398074</v>
      </c>
      <c r="AB449">
        <v>0.8274478330658106</v>
      </c>
      <c r="AC449">
        <v>0.2150882825040128</v>
      </c>
      <c r="AD449">
        <v>0.3820224719101124</v>
      </c>
    </row>
    <row r="450" spans="1:30">
      <c r="A450" s="1" t="s">
        <v>457</v>
      </c>
      <c r="B450">
        <f>HYPERLINK("https://www.suredividend.com/sure-analysis-IDEXY/","Industria de Diseño Textil SA")</f>
        <v>0</v>
      </c>
      <c r="C450">
        <v>13.75</v>
      </c>
      <c r="D450">
        <v>85649.42694</v>
      </c>
      <c r="E450" t="s">
        <v>662</v>
      </c>
      <c r="F450" t="s">
        <v>632</v>
      </c>
      <c r="G450" t="s">
        <v>679</v>
      </c>
      <c r="H450" t="s">
        <v>702</v>
      </c>
      <c r="I450" t="s">
        <v>1149</v>
      </c>
      <c r="J450" t="s">
        <v>1318</v>
      </c>
      <c r="K450">
        <v>44091</v>
      </c>
      <c r="L450">
        <v>0.017825454545454</v>
      </c>
      <c r="M450">
        <v>-0.03933943162756326</v>
      </c>
      <c r="N450">
        <v>0.08</v>
      </c>
      <c r="O450">
        <v>0.05455442484632922</v>
      </c>
      <c r="P450" t="s">
        <v>446</v>
      </c>
      <c r="Q450" t="s">
        <v>586</v>
      </c>
      <c r="R450">
        <v>0</v>
      </c>
      <c r="S450">
        <v>0.9804</v>
      </c>
      <c r="T450">
        <v>11.25</v>
      </c>
      <c r="U450">
        <v>1.222222222222222</v>
      </c>
      <c r="V450">
        <v>0.3383</v>
      </c>
      <c r="W450">
        <v>0.25</v>
      </c>
      <c r="X450">
        <v>0.2451</v>
      </c>
      <c r="Y450">
        <v>-0.094203</v>
      </c>
      <c r="Z450">
        <v>0.2095709570957096</v>
      </c>
      <c r="AA450">
        <v>0.5666131621187801</v>
      </c>
      <c r="AB450">
        <v>0.8274478330658106</v>
      </c>
      <c r="AC450">
        <v>0.3242375601926164</v>
      </c>
      <c r="AD450">
        <v>0.3707865168539326</v>
      </c>
    </row>
    <row r="451" spans="1:30">
      <c r="A451" s="1" t="s">
        <v>458</v>
      </c>
      <c r="B451">
        <f>HYPERLINK("https://www.suredividend.com/sure-analysis-DREUF/","Dream Industrial Real Estate Investment Trust")</f>
        <v>0</v>
      </c>
      <c r="C451">
        <v>8.130000000000001</v>
      </c>
      <c r="D451">
        <v>1392.090591</v>
      </c>
      <c r="E451" t="s">
        <v>669</v>
      </c>
      <c r="F451" t="s">
        <v>634</v>
      </c>
      <c r="G451" t="s">
        <v>673</v>
      </c>
      <c r="H451" t="s">
        <v>702</v>
      </c>
      <c r="I451" t="s">
        <v>1150</v>
      </c>
      <c r="J451" t="s">
        <v>1313</v>
      </c>
      <c r="K451">
        <v>44006</v>
      </c>
      <c r="L451">
        <v>0.06414259463959701</v>
      </c>
      <c r="M451">
        <v>-0.05895120926801756</v>
      </c>
      <c r="N451">
        <v>0.052</v>
      </c>
      <c r="O451">
        <v>0.05424115222326975</v>
      </c>
      <c r="P451" t="s">
        <v>446</v>
      </c>
      <c r="Q451" t="s">
        <v>372</v>
      </c>
      <c r="R451">
        <v>0</v>
      </c>
      <c r="S451">
        <v>0.7449704205999015</v>
      </c>
      <c r="T451">
        <v>6</v>
      </c>
      <c r="U451">
        <v>1.355</v>
      </c>
      <c r="V451">
        <v>0.7539</v>
      </c>
      <c r="W451">
        <v>0.7</v>
      </c>
      <c r="X451">
        <v>0.521479294419931</v>
      </c>
      <c r="Y451">
        <v>-0.162572</v>
      </c>
      <c r="Z451">
        <v>0.7706270627062706</v>
      </c>
      <c r="AA451">
        <v>0.4751203852327447</v>
      </c>
      <c r="AB451">
        <v>0.593900481540931</v>
      </c>
      <c r="AC451">
        <v>0.2166934189406099</v>
      </c>
      <c r="AD451">
        <v>0.3675762439807383</v>
      </c>
    </row>
    <row r="452" spans="1:30">
      <c r="A452" s="1" t="s">
        <v>459</v>
      </c>
      <c r="B452">
        <f>HYPERLINK("https://www.suredividend.com/sure-analysis-GRMN/","Garmin Ltd.")</f>
        <v>0</v>
      </c>
      <c r="C452">
        <v>93.55</v>
      </c>
      <c r="D452">
        <v>17890.22135</v>
      </c>
      <c r="E452" t="s">
        <v>666</v>
      </c>
      <c r="F452" t="s">
        <v>632</v>
      </c>
      <c r="G452" t="s">
        <v>676</v>
      </c>
      <c r="H452" t="s">
        <v>701</v>
      </c>
      <c r="I452" t="s">
        <v>1151</v>
      </c>
      <c r="J452" t="s">
        <v>1320</v>
      </c>
      <c r="K452">
        <v>44045</v>
      </c>
      <c r="L452">
        <v>0.024799572421165</v>
      </c>
      <c r="M452">
        <v>-0.04839697558296818</v>
      </c>
      <c r="N452">
        <v>0.08</v>
      </c>
      <c r="O452">
        <v>0.05351146520450478</v>
      </c>
      <c r="P452" t="s">
        <v>446</v>
      </c>
      <c r="Q452" t="s">
        <v>446</v>
      </c>
      <c r="R452">
        <v>2</v>
      </c>
      <c r="S452">
        <v>0.5756823821339949</v>
      </c>
      <c r="T452">
        <v>73</v>
      </c>
      <c r="U452">
        <v>1.281506849315069</v>
      </c>
      <c r="V452">
        <v>4.9048</v>
      </c>
      <c r="W452">
        <v>4.03</v>
      </c>
      <c r="X452">
        <v>2.32</v>
      </c>
      <c r="Y452">
        <v>0.108938</v>
      </c>
      <c r="Z452">
        <v>0.3267326732673267</v>
      </c>
      <c r="AA452">
        <v>0.781701444622793</v>
      </c>
      <c r="AB452">
        <v>0.8274478330658106</v>
      </c>
      <c r="AC452">
        <v>0.2664526484751204</v>
      </c>
      <c r="AD452">
        <v>0.3643659711075442</v>
      </c>
    </row>
    <row r="453" spans="1:30">
      <c r="A453" s="1" t="s">
        <v>460</v>
      </c>
      <c r="B453">
        <f>HYPERLINK("https://www.suredividend.com/sure-analysis-BHP/","BHP Group Ltd.")</f>
        <v>0</v>
      </c>
      <c r="C453">
        <v>52.39</v>
      </c>
      <c r="D453">
        <v>77160.50565799999</v>
      </c>
      <c r="E453" t="s">
        <v>661</v>
      </c>
      <c r="F453" t="s">
        <v>632</v>
      </c>
      <c r="G453" t="s">
        <v>696</v>
      </c>
      <c r="H453" t="s">
        <v>700</v>
      </c>
      <c r="I453" t="s">
        <v>1152</v>
      </c>
      <c r="J453" t="s">
        <v>1322</v>
      </c>
      <c r="K453">
        <v>44077</v>
      </c>
      <c r="L453">
        <v>0.045810269135331</v>
      </c>
      <c r="M453">
        <v>-0.01735065775257993</v>
      </c>
      <c r="N453">
        <v>0.03</v>
      </c>
      <c r="O453">
        <v>0.05117138574769076</v>
      </c>
      <c r="P453" t="s">
        <v>446</v>
      </c>
      <c r="Q453" t="s">
        <v>446</v>
      </c>
      <c r="R453">
        <v>0</v>
      </c>
      <c r="S453">
        <v>0.7058823529411765</v>
      </c>
      <c r="T453">
        <v>48</v>
      </c>
      <c r="U453">
        <v>1.091458333333333</v>
      </c>
      <c r="V453">
        <v>3.1441</v>
      </c>
      <c r="W453">
        <v>3.4</v>
      </c>
      <c r="X453">
        <v>2.4</v>
      </c>
      <c r="Y453">
        <v>0.058812</v>
      </c>
      <c r="Z453">
        <v>0.6105610561056105</v>
      </c>
      <c r="AA453">
        <v>0.7463884430176564</v>
      </c>
      <c r="AB453">
        <v>0.2680577849117175</v>
      </c>
      <c r="AC453">
        <v>0.4590690208667737</v>
      </c>
      <c r="AD453">
        <v>0.3531300160513643</v>
      </c>
    </row>
    <row r="454" spans="1:30">
      <c r="A454" s="1" t="s">
        <v>461</v>
      </c>
      <c r="B454">
        <f>HYPERLINK("https://www.suredividend.com/sure-analysis-TJX/","The TJX Cos., Inc.")</f>
        <v>0</v>
      </c>
      <c r="C454">
        <v>53.18</v>
      </c>
      <c r="D454">
        <v>63766.0108</v>
      </c>
      <c r="E454" t="s">
        <v>670</v>
      </c>
      <c r="F454" t="s">
        <v>632</v>
      </c>
      <c r="G454" t="s">
        <v>671</v>
      </c>
      <c r="H454" t="s">
        <v>700</v>
      </c>
      <c r="I454" t="s">
        <v>1153</v>
      </c>
      <c r="J454" t="s">
        <v>1318</v>
      </c>
      <c r="K454">
        <v>44021</v>
      </c>
      <c r="L454">
        <v>0.008649868371568</v>
      </c>
      <c r="M454">
        <v>-0.02028765408556477</v>
      </c>
      <c r="N454">
        <v>0.059</v>
      </c>
      <c r="O454">
        <v>0.05107457254049819</v>
      </c>
      <c r="P454" t="s">
        <v>446</v>
      </c>
      <c r="Q454" t="s">
        <v>586</v>
      </c>
      <c r="R454">
        <v>0</v>
      </c>
      <c r="S454">
        <v>0.8679245283018868</v>
      </c>
      <c r="T454">
        <v>48</v>
      </c>
      <c r="U454">
        <v>1.107916666666667</v>
      </c>
      <c r="V454">
        <v>0.5869</v>
      </c>
      <c r="W454">
        <v>0.53</v>
      </c>
      <c r="X454">
        <v>0.46</v>
      </c>
      <c r="Y454">
        <v>-0.036943</v>
      </c>
      <c r="Z454">
        <v>0.066006600660066</v>
      </c>
      <c r="AA454">
        <v>0.637239165329053</v>
      </c>
      <c r="AB454">
        <v>0.6131621187800963</v>
      </c>
      <c r="AC454">
        <v>0.4430176565008025</v>
      </c>
      <c r="AD454">
        <v>0.3515248796147672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87.93000000000001</v>
      </c>
      <c r="D455">
        <v>31303.60758</v>
      </c>
      <c r="E455" t="s">
        <v>661</v>
      </c>
      <c r="F455" t="s">
        <v>632</v>
      </c>
      <c r="G455" t="s">
        <v>671</v>
      </c>
      <c r="H455" t="s">
        <v>701</v>
      </c>
      <c r="I455" t="s">
        <v>1154</v>
      </c>
      <c r="J455" t="s">
        <v>1318</v>
      </c>
      <c r="K455">
        <v>44071</v>
      </c>
      <c r="L455">
        <v>0.006141248720573001</v>
      </c>
      <c r="M455">
        <v>-0.07359085089359974</v>
      </c>
      <c r="N455">
        <v>0.13</v>
      </c>
      <c r="O455">
        <v>0.04966796387077199</v>
      </c>
      <c r="P455" t="s">
        <v>446</v>
      </c>
      <c r="Q455" t="s">
        <v>586</v>
      </c>
      <c r="R455">
        <v>0</v>
      </c>
      <c r="S455">
        <v>0.675</v>
      </c>
      <c r="T455">
        <v>60</v>
      </c>
      <c r="U455">
        <v>1.4655</v>
      </c>
      <c r="V455">
        <v>1.5218</v>
      </c>
      <c r="W455">
        <v>0.8</v>
      </c>
      <c r="X455">
        <v>0.54</v>
      </c>
      <c r="Y455">
        <v>-0.184701</v>
      </c>
      <c r="Z455">
        <v>0.02475247524752475</v>
      </c>
      <c r="AA455">
        <v>0.4510433386837881</v>
      </c>
      <c r="AB455">
        <v>0.9646869983948636</v>
      </c>
      <c r="AC455">
        <v>0.1524879614767255</v>
      </c>
      <c r="AD455">
        <v>0.3418940609951846</v>
      </c>
    </row>
    <row r="456" spans="1:30">
      <c r="A456" s="1" t="s">
        <v>463</v>
      </c>
      <c r="B456">
        <f>HYPERLINK("https://www.suredividend.com/sure-analysis-ARE/","Alexandria Real Estate Equities, Inc.")</f>
        <v>0</v>
      </c>
      <c r="C456">
        <v>158.5</v>
      </c>
      <c r="D456">
        <v>19989.2275</v>
      </c>
      <c r="E456" t="s">
        <v>660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44075</v>
      </c>
      <c r="L456">
        <v>0.025993690851735</v>
      </c>
      <c r="M456">
        <v>-0.03739435136009728</v>
      </c>
      <c r="N456">
        <v>0.06</v>
      </c>
      <c r="O456">
        <v>0.04835920988224074</v>
      </c>
      <c r="P456" t="s">
        <v>446</v>
      </c>
      <c r="Q456" t="s">
        <v>446</v>
      </c>
      <c r="R456">
        <v>10</v>
      </c>
      <c r="S456">
        <v>0.5643835616438356</v>
      </c>
      <c r="T456">
        <v>131</v>
      </c>
      <c r="U456">
        <v>1.209923664122137</v>
      </c>
      <c r="V456">
        <v>3.2656</v>
      </c>
      <c r="W456">
        <v>7.3</v>
      </c>
      <c r="X456">
        <v>4.12</v>
      </c>
      <c r="Y456">
        <v>0.021066</v>
      </c>
      <c r="Z456">
        <v>0.3481848184818482</v>
      </c>
      <c r="AA456">
        <v>0.7174959871589085</v>
      </c>
      <c r="AB456">
        <v>0.6597110754414125</v>
      </c>
      <c r="AC456">
        <v>0.3418940609951846</v>
      </c>
      <c r="AD456">
        <v>0.3354735152487962</v>
      </c>
    </row>
    <row r="457" spans="1:30">
      <c r="A457" s="1" t="s">
        <v>464</v>
      </c>
      <c r="B457">
        <f>HYPERLINK("https://www.suredividend.com/sure-analysis-NWL/","Newell Brands, Inc.")</f>
        <v>0</v>
      </c>
      <c r="C457">
        <v>16.74</v>
      </c>
      <c r="D457">
        <v>7102.782</v>
      </c>
      <c r="E457" t="s">
        <v>666</v>
      </c>
      <c r="F457" t="s">
        <v>632</v>
      </c>
      <c r="G457" t="s">
        <v>671</v>
      </c>
      <c r="H457" t="s">
        <v>701</v>
      </c>
      <c r="I457" t="s">
        <v>1156</v>
      </c>
      <c r="J457" t="s">
        <v>1321</v>
      </c>
      <c r="K457">
        <v>44051</v>
      </c>
      <c r="L457">
        <v>0.05495818399044201</v>
      </c>
      <c r="M457">
        <v>-0.04931294645204587</v>
      </c>
      <c r="N457">
        <v>0.045</v>
      </c>
      <c r="O457">
        <v>0.04439095333456455</v>
      </c>
      <c r="P457" t="s">
        <v>446</v>
      </c>
      <c r="Q457" t="s">
        <v>372</v>
      </c>
      <c r="R457">
        <v>0</v>
      </c>
      <c r="S457">
        <v>0.736</v>
      </c>
      <c r="T457">
        <v>13</v>
      </c>
      <c r="U457">
        <v>1.287692307692307</v>
      </c>
      <c r="V457">
        <v>-2.4373</v>
      </c>
      <c r="W457">
        <v>1.25</v>
      </c>
      <c r="X457">
        <v>0.92</v>
      </c>
      <c r="Y457">
        <v>-0.085745</v>
      </c>
      <c r="Z457">
        <v>0.7095709570957095</v>
      </c>
      <c r="AA457">
        <v>0.5778491171749599</v>
      </c>
      <c r="AB457">
        <v>0.4542536115569824</v>
      </c>
      <c r="AC457">
        <v>0.2568218298555378</v>
      </c>
      <c r="AD457">
        <v>0.3194221508828251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41.16</v>
      </c>
      <c r="D458">
        <v>16179.70788</v>
      </c>
      <c r="E458" t="s">
        <v>661</v>
      </c>
      <c r="F458" t="s">
        <v>632</v>
      </c>
      <c r="G458" t="s">
        <v>671</v>
      </c>
      <c r="H458" t="s">
        <v>700</v>
      </c>
      <c r="I458" t="s">
        <v>1157</v>
      </c>
      <c r="J458" t="s">
        <v>1318</v>
      </c>
      <c r="K458">
        <v>44071</v>
      </c>
      <c r="L458">
        <v>0.04980563654033</v>
      </c>
      <c r="M458">
        <v>-0.09490757843439812</v>
      </c>
      <c r="N458">
        <v>0.1</v>
      </c>
      <c r="O458">
        <v>0.04302858361199124</v>
      </c>
      <c r="P458" t="s">
        <v>446</v>
      </c>
      <c r="Q458" t="s">
        <v>372</v>
      </c>
      <c r="R458">
        <v>10</v>
      </c>
      <c r="S458">
        <v>0.82</v>
      </c>
      <c r="T458">
        <v>25</v>
      </c>
      <c r="U458">
        <v>1.6464</v>
      </c>
      <c r="V458">
        <v>1.6183</v>
      </c>
      <c r="W458">
        <v>2.5</v>
      </c>
      <c r="X458">
        <v>2.05</v>
      </c>
      <c r="Y458">
        <v>-0.003872</v>
      </c>
      <c r="Z458">
        <v>0.6551155115511551</v>
      </c>
      <c r="AA458">
        <v>0.6869983948635634</v>
      </c>
      <c r="AB458">
        <v>0.9165329052969503</v>
      </c>
      <c r="AC458">
        <v>0.08667736757624399</v>
      </c>
      <c r="AD458">
        <v>0.3130016051364366</v>
      </c>
    </row>
    <row r="459" spans="1:30">
      <c r="A459" s="1" t="s">
        <v>466</v>
      </c>
      <c r="B459">
        <f>HYPERLINK("https://www.suredividend.com/sure-analysis-DDAIF/","Daimler AG")</f>
        <v>0</v>
      </c>
      <c r="C459">
        <v>51.99</v>
      </c>
      <c r="D459">
        <v>55620.9816</v>
      </c>
      <c r="E459" t="s">
        <v>664</v>
      </c>
      <c r="F459" t="s">
        <v>632</v>
      </c>
      <c r="G459" t="s">
        <v>675</v>
      </c>
      <c r="H459" t="s">
        <v>702</v>
      </c>
      <c r="I459" t="s">
        <v>1158</v>
      </c>
      <c r="J459" t="s">
        <v>1318</v>
      </c>
      <c r="K459">
        <v>44042</v>
      </c>
      <c r="L459">
        <v>0.017311021350259</v>
      </c>
      <c r="M459">
        <v>0.003855517690591448</v>
      </c>
      <c r="N459">
        <v>0.02</v>
      </c>
      <c r="O459">
        <v>0.0408933527939388</v>
      </c>
      <c r="P459" t="s">
        <v>446</v>
      </c>
      <c r="Q459" t="s">
        <v>586</v>
      </c>
      <c r="R459">
        <v>0</v>
      </c>
      <c r="S459">
        <v>0.6</v>
      </c>
      <c r="T459">
        <v>53</v>
      </c>
      <c r="U459">
        <v>0.9809433962264151</v>
      </c>
      <c r="V459">
        <v>-0.2893</v>
      </c>
      <c r="W459">
        <v>1.5</v>
      </c>
      <c r="X459">
        <v>0.9</v>
      </c>
      <c r="Y459">
        <v>0.055635</v>
      </c>
      <c r="Z459">
        <v>0.1996699669966997</v>
      </c>
      <c r="AA459">
        <v>0.7447833065810593</v>
      </c>
      <c r="AB459">
        <v>0.1613162118780096</v>
      </c>
      <c r="AC459">
        <v>0.5810593900481541</v>
      </c>
      <c r="AD459">
        <v>0.3017656500802569</v>
      </c>
    </row>
    <row r="460" spans="1:30">
      <c r="A460" s="1" t="s">
        <v>467</v>
      </c>
      <c r="B460">
        <f>HYPERLINK("https://www.suredividend.com/sure-analysis-WRK/","WestRock Co.")</f>
        <v>0</v>
      </c>
      <c r="C460">
        <v>35.81</v>
      </c>
      <c r="D460">
        <v>9297.56516</v>
      </c>
      <c r="E460" t="s">
        <v>661</v>
      </c>
      <c r="F460" t="s">
        <v>632</v>
      </c>
      <c r="G460" t="s">
        <v>671</v>
      </c>
      <c r="H460" t="s">
        <v>700</v>
      </c>
      <c r="I460" t="s">
        <v>1159</v>
      </c>
      <c r="J460" t="s">
        <v>1318</v>
      </c>
      <c r="K460">
        <v>44068</v>
      </c>
      <c r="L460">
        <v>0.04426137950293201</v>
      </c>
      <c r="M460">
        <v>-0.04130881223938587</v>
      </c>
      <c r="N460">
        <v>0.06</v>
      </c>
      <c r="O460">
        <v>0.04022257850013422</v>
      </c>
      <c r="P460" t="s">
        <v>446</v>
      </c>
      <c r="Q460" t="s">
        <v>446</v>
      </c>
      <c r="R460">
        <v>0</v>
      </c>
      <c r="S460">
        <v>0.6096153846153846</v>
      </c>
      <c r="T460">
        <v>29</v>
      </c>
      <c r="U460">
        <v>1.234827586206897</v>
      </c>
      <c r="V460">
        <v>3.0016</v>
      </c>
      <c r="W460">
        <v>2.6</v>
      </c>
      <c r="X460">
        <v>1.585</v>
      </c>
      <c r="Y460">
        <v>-0.014313</v>
      </c>
      <c r="Z460">
        <v>0.5973597359735974</v>
      </c>
      <c r="AA460">
        <v>0.6725521669341894</v>
      </c>
      <c r="AB460">
        <v>0.6597110754414125</v>
      </c>
      <c r="AC460">
        <v>0.3065810593900481</v>
      </c>
      <c r="AD460">
        <v>0.2953451043338684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51.15</v>
      </c>
      <c r="D461">
        <v>34324.258752</v>
      </c>
      <c r="E461" t="s">
        <v>660</v>
      </c>
      <c r="F461" t="s">
        <v>632</v>
      </c>
      <c r="G461" t="s">
        <v>671</v>
      </c>
      <c r="H461" t="s">
        <v>700</v>
      </c>
      <c r="I461" t="s">
        <v>1160</v>
      </c>
      <c r="J461" t="s">
        <v>1313</v>
      </c>
      <c r="K461">
        <v>44042</v>
      </c>
      <c r="L461">
        <v>0.038514173998044</v>
      </c>
      <c r="M461">
        <v>-0.08954000476582702</v>
      </c>
      <c r="N461">
        <v>0.1</v>
      </c>
      <c r="O461">
        <v>0.04019028927344381</v>
      </c>
      <c r="P461" t="s">
        <v>446</v>
      </c>
      <c r="Q461" t="s">
        <v>446</v>
      </c>
      <c r="R461">
        <v>0</v>
      </c>
      <c r="S461">
        <v>0.8565217391304348</v>
      </c>
      <c r="T461">
        <v>32</v>
      </c>
      <c r="U461">
        <v>1.5984375</v>
      </c>
      <c r="V461">
        <v>1.1008</v>
      </c>
      <c r="W461">
        <v>2.3</v>
      </c>
      <c r="X461">
        <v>1.97</v>
      </c>
      <c r="Y461">
        <v>-0.028121</v>
      </c>
      <c r="Z461">
        <v>0.5297029702970297</v>
      </c>
      <c r="AA461">
        <v>0.6436597110754414</v>
      </c>
      <c r="AB461">
        <v>0.9165329052969503</v>
      </c>
      <c r="AC461">
        <v>0.1043338683788122</v>
      </c>
      <c r="AD461">
        <v>0.2921348314606741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69.12</v>
      </c>
      <c r="D462">
        <v>6036.374016</v>
      </c>
      <c r="E462" t="s">
        <v>666</v>
      </c>
      <c r="F462" t="s">
        <v>632</v>
      </c>
      <c r="G462" t="s">
        <v>688</v>
      </c>
      <c r="H462" t="s">
        <v>700</v>
      </c>
      <c r="I462" t="s">
        <v>1161</v>
      </c>
      <c r="J462" t="s">
        <v>1318</v>
      </c>
      <c r="K462">
        <v>44039</v>
      </c>
      <c r="L462">
        <v>0.017939814814814</v>
      </c>
      <c r="M462">
        <v>-0.02790322085323071</v>
      </c>
      <c r="N462">
        <v>0.05</v>
      </c>
      <c r="O462">
        <v>0.03942083254602435</v>
      </c>
      <c r="P462" t="s">
        <v>446</v>
      </c>
      <c r="Q462" t="s">
        <v>586</v>
      </c>
      <c r="R462">
        <v>0</v>
      </c>
      <c r="S462">
        <v>0.5767441860465117</v>
      </c>
      <c r="T462">
        <v>60</v>
      </c>
      <c r="U462">
        <v>1.152</v>
      </c>
      <c r="V462">
        <v>1.6194</v>
      </c>
      <c r="W462">
        <v>2.15</v>
      </c>
      <c r="X462">
        <v>1.24</v>
      </c>
      <c r="Y462">
        <v>-0.119378</v>
      </c>
      <c r="Z462">
        <v>0.2145214521452145</v>
      </c>
      <c r="AA462">
        <v>0.5329052969502408</v>
      </c>
      <c r="AB462">
        <v>0.5296950240770465</v>
      </c>
      <c r="AC462">
        <v>0.3980738362760834</v>
      </c>
      <c r="AD462">
        <v>0.2857142857142858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41.67</v>
      </c>
      <c r="D463">
        <v>15546.57696</v>
      </c>
      <c r="E463" t="s">
        <v>661</v>
      </c>
      <c r="F463" t="s">
        <v>634</v>
      </c>
      <c r="G463" t="s">
        <v>671</v>
      </c>
      <c r="H463" t="s">
        <v>700</v>
      </c>
      <c r="I463" t="s">
        <v>1162</v>
      </c>
      <c r="J463" t="s">
        <v>1323</v>
      </c>
      <c r="K463">
        <v>44063</v>
      </c>
      <c r="L463">
        <v>0.067854571634269</v>
      </c>
      <c r="M463">
        <v>-0.02349236168227364</v>
      </c>
      <c r="N463">
        <v>0.02</v>
      </c>
      <c r="O463">
        <v>0.03895019292443025</v>
      </c>
      <c r="P463" t="s">
        <v>446</v>
      </c>
      <c r="Q463" t="s">
        <v>372</v>
      </c>
      <c r="R463">
        <v>0</v>
      </c>
      <c r="S463">
        <v>0.9120967741935484</v>
      </c>
      <c r="T463">
        <v>37</v>
      </c>
      <c r="U463">
        <v>1.126216216216216</v>
      </c>
      <c r="V463">
        <v>1.1072</v>
      </c>
      <c r="W463">
        <v>3.1</v>
      </c>
      <c r="X463">
        <v>2.8275</v>
      </c>
      <c r="Y463">
        <v>-0.43483</v>
      </c>
      <c r="Z463">
        <v>0.7871287128712871</v>
      </c>
      <c r="AA463">
        <v>0.1556982343499198</v>
      </c>
      <c r="AB463">
        <v>0.1613162118780096</v>
      </c>
      <c r="AC463">
        <v>0.4141252006420546</v>
      </c>
      <c r="AD463">
        <v>0.2808988764044943</v>
      </c>
    </row>
    <row r="464" spans="1:30">
      <c r="A464" s="1" t="s">
        <v>471</v>
      </c>
      <c r="B464">
        <f>HYPERLINK("https://www.suredividend.com/sure-analysis-ABR/","Arbor Realty Trust, Inc.")</f>
        <v>0</v>
      </c>
      <c r="C464">
        <v>11.62</v>
      </c>
      <c r="D464">
        <v>1308.7025</v>
      </c>
      <c r="E464" t="s">
        <v>669</v>
      </c>
      <c r="F464" t="s">
        <v>634</v>
      </c>
      <c r="G464" t="s">
        <v>671</v>
      </c>
      <c r="H464" t="s">
        <v>700</v>
      </c>
      <c r="I464" t="s">
        <v>1163</v>
      </c>
      <c r="J464" t="s">
        <v>1323</v>
      </c>
      <c r="K464">
        <v>43998</v>
      </c>
      <c r="L464">
        <v>0.102409638554216</v>
      </c>
      <c r="M464">
        <v>-0.1469182816488666</v>
      </c>
      <c r="N464">
        <v>0.095</v>
      </c>
      <c r="O464">
        <v>0.03818766933642004</v>
      </c>
      <c r="P464" t="s">
        <v>446</v>
      </c>
      <c r="Q464" t="s">
        <v>372</v>
      </c>
      <c r="R464">
        <v>7</v>
      </c>
      <c r="S464">
        <v>1.034782608695652</v>
      </c>
      <c r="T464">
        <v>5.25</v>
      </c>
      <c r="U464">
        <v>2.213333333333333</v>
      </c>
      <c r="V464">
        <v>0.5720000000000001</v>
      </c>
      <c r="W464">
        <v>1.15</v>
      </c>
      <c r="X464">
        <v>1.19</v>
      </c>
      <c r="Y464">
        <v>-0.114329</v>
      </c>
      <c r="Z464">
        <v>0.8927392739273927</v>
      </c>
      <c r="AA464">
        <v>0.5441412520064205</v>
      </c>
      <c r="AB464">
        <v>0.8948635634028892</v>
      </c>
      <c r="AC464">
        <v>0.01765650080256822</v>
      </c>
      <c r="AD464">
        <v>0.2712680577849117</v>
      </c>
    </row>
    <row r="465" spans="1:30">
      <c r="A465" s="1" t="s">
        <v>472</v>
      </c>
      <c r="B465">
        <f>HYPERLINK("https://www.suredividend.com/sure-analysis-FL/","Foot Locker, Inc.")</f>
        <v>0</v>
      </c>
      <c r="C465">
        <v>32.8</v>
      </c>
      <c r="D465">
        <v>3424.0248</v>
      </c>
      <c r="E465" t="s">
        <v>666</v>
      </c>
      <c r="F465" t="s">
        <v>632</v>
      </c>
      <c r="G465" t="s">
        <v>671</v>
      </c>
      <c r="H465" t="s">
        <v>700</v>
      </c>
      <c r="I465" t="s">
        <v>1164</v>
      </c>
      <c r="J465" t="s">
        <v>1318</v>
      </c>
      <c r="K465">
        <v>44072</v>
      </c>
      <c r="L465">
        <v>0.03536585365853601</v>
      </c>
      <c r="M465">
        <v>0.01879248178299053</v>
      </c>
      <c r="N465">
        <v>0</v>
      </c>
      <c r="O465">
        <v>0.03678837262822943</v>
      </c>
      <c r="P465" t="s">
        <v>446</v>
      </c>
      <c r="Q465" t="s">
        <v>446</v>
      </c>
      <c r="R465">
        <v>0</v>
      </c>
      <c r="S465">
        <v>0.6823529411764706</v>
      </c>
      <c r="T465">
        <v>36</v>
      </c>
      <c r="U465">
        <v>0.911111111111111</v>
      </c>
      <c r="V465">
        <v>1.8986</v>
      </c>
      <c r="W465">
        <v>1.7</v>
      </c>
      <c r="X465">
        <v>1.16</v>
      </c>
      <c r="Y465">
        <v>-0.204848</v>
      </c>
      <c r="Z465">
        <v>0.4867986798679867</v>
      </c>
      <c r="AA465">
        <v>0.4093097913322633</v>
      </c>
      <c r="AB465">
        <v>0.04895666131621188</v>
      </c>
      <c r="AC465">
        <v>0.6597110754414125</v>
      </c>
      <c r="AD465">
        <v>0.2648475120385232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70.54000000000001</v>
      </c>
      <c r="D466">
        <v>27485.84046</v>
      </c>
      <c r="E466" t="s">
        <v>660</v>
      </c>
      <c r="F466" t="s">
        <v>632</v>
      </c>
      <c r="G466" t="s">
        <v>671</v>
      </c>
      <c r="H466" t="s">
        <v>700</v>
      </c>
      <c r="I466" t="s">
        <v>1165</v>
      </c>
      <c r="J466" t="s">
        <v>1318</v>
      </c>
      <c r="K466">
        <v>44049</v>
      </c>
      <c r="L466">
        <v>0.02650978168415</v>
      </c>
      <c r="M466">
        <v>-0.08598060423849729</v>
      </c>
      <c r="N466">
        <v>0.1</v>
      </c>
      <c r="O466">
        <v>0.03310001557666742</v>
      </c>
      <c r="P466" t="s">
        <v>446</v>
      </c>
      <c r="Q466" t="s">
        <v>586</v>
      </c>
      <c r="R466">
        <v>47</v>
      </c>
      <c r="S466">
        <v>1.7</v>
      </c>
      <c r="T466">
        <v>45</v>
      </c>
      <c r="U466">
        <v>1.567555555555556</v>
      </c>
      <c r="V466">
        <v>0.8347</v>
      </c>
      <c r="W466">
        <v>1.1</v>
      </c>
      <c r="X466">
        <v>1.87</v>
      </c>
      <c r="Y466">
        <v>-0.199046</v>
      </c>
      <c r="Z466">
        <v>0.3564356435643565</v>
      </c>
      <c r="AA466">
        <v>0.4285714285714285</v>
      </c>
      <c r="AB466">
        <v>0.9165329052969503</v>
      </c>
      <c r="AC466">
        <v>0.1139646869983949</v>
      </c>
      <c r="AD466">
        <v>0.2375601926163724</v>
      </c>
    </row>
    <row r="467" spans="1:30">
      <c r="A467" s="1" t="s">
        <v>474</v>
      </c>
      <c r="B467">
        <f>HYPERLINK("https://www.suredividend.com/sure-analysis-FLR/","Fluor Corp.")</f>
        <v>0</v>
      </c>
      <c r="C467">
        <v>9.59</v>
      </c>
      <c r="D467">
        <v>1344.26866</v>
      </c>
      <c r="E467" t="s">
        <v>666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43890</v>
      </c>
      <c r="L467">
        <v>0.076120959332638</v>
      </c>
      <c r="M467">
        <v>-0.01261896693693487</v>
      </c>
      <c r="N467">
        <v>0.02</v>
      </c>
      <c r="O467">
        <v>0.03035716407844169</v>
      </c>
      <c r="P467" t="s">
        <v>446</v>
      </c>
      <c r="Q467" t="s">
        <v>637</v>
      </c>
      <c r="R467">
        <v>0</v>
      </c>
      <c r="S467">
        <v>0.4866666666666666</v>
      </c>
      <c r="T467">
        <v>9</v>
      </c>
      <c r="U467">
        <v>1.065555555555556</v>
      </c>
      <c r="V467">
        <v>-10.8616</v>
      </c>
      <c r="W467">
        <v>1.5</v>
      </c>
      <c r="X467">
        <v>0.73</v>
      </c>
      <c r="Y467">
        <v>-0.47567</v>
      </c>
      <c r="Z467">
        <v>0.8283828382838284</v>
      </c>
      <c r="AA467">
        <v>0.1203852327447833</v>
      </c>
      <c r="AB467">
        <v>0.1613162118780096</v>
      </c>
      <c r="AC467">
        <v>0.4831460674157304</v>
      </c>
      <c r="AD467">
        <v>0.2263242375601926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19.6</v>
      </c>
      <c r="D468">
        <v>3219.104</v>
      </c>
      <c r="E468" t="s">
        <v>663</v>
      </c>
      <c r="F468" t="s">
        <v>632</v>
      </c>
      <c r="G468" t="s">
        <v>671</v>
      </c>
      <c r="H468" t="s">
        <v>700</v>
      </c>
      <c r="I468" t="s">
        <v>1167</v>
      </c>
      <c r="J468" t="s">
        <v>1322</v>
      </c>
      <c r="K468">
        <v>44043</v>
      </c>
      <c r="L468">
        <v>0.051020408163265</v>
      </c>
      <c r="M468">
        <v>-0.04832848173141857</v>
      </c>
      <c r="N468">
        <v>0.03</v>
      </c>
      <c r="O468">
        <v>0.03013705780113951</v>
      </c>
      <c r="P468" t="s">
        <v>446</v>
      </c>
      <c r="Q468" t="s">
        <v>372</v>
      </c>
      <c r="R468">
        <v>0</v>
      </c>
      <c r="S468">
        <v>0.6535947712418301</v>
      </c>
      <c r="T468">
        <v>15.3</v>
      </c>
      <c r="U468">
        <v>1.281045751633987</v>
      </c>
      <c r="V468">
        <v>-0.7201000000000001</v>
      </c>
      <c r="W468">
        <v>1.53</v>
      </c>
      <c r="X468">
        <v>1</v>
      </c>
      <c r="Y468">
        <v>0.361111</v>
      </c>
      <c r="Z468">
        <v>0.6633663366336634</v>
      </c>
      <c r="AA468">
        <v>0.9341894060995185</v>
      </c>
      <c r="AB468">
        <v>0.2680577849117175</v>
      </c>
      <c r="AC468">
        <v>0.2680577849117175</v>
      </c>
      <c r="AD468">
        <v>0.2247191011235955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31.2</v>
      </c>
      <c r="D469">
        <v>23741.5776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1320</v>
      </c>
      <c r="K469">
        <v>44042</v>
      </c>
      <c r="L469">
        <v>0.026923076923076</v>
      </c>
      <c r="M469">
        <v>-0.05916243681239541</v>
      </c>
      <c r="N469">
        <v>0.06</v>
      </c>
      <c r="O469">
        <v>0.02928530218058056</v>
      </c>
      <c r="P469" t="s">
        <v>446</v>
      </c>
      <c r="Q469" t="s">
        <v>586</v>
      </c>
      <c r="R469">
        <v>10</v>
      </c>
      <c r="S469">
        <v>0.84</v>
      </c>
      <c r="T469">
        <v>23</v>
      </c>
      <c r="U469">
        <v>1.356521739130435</v>
      </c>
      <c r="V469">
        <v>0.13</v>
      </c>
      <c r="W469">
        <v>1</v>
      </c>
      <c r="X469">
        <v>0.84</v>
      </c>
      <c r="Y469">
        <v>0.105207</v>
      </c>
      <c r="Z469">
        <v>0.3646864686468647</v>
      </c>
      <c r="AA469">
        <v>0.7768860353130016</v>
      </c>
      <c r="AB469">
        <v>0.6597110754414125</v>
      </c>
      <c r="AC469">
        <v>0.2134831460674158</v>
      </c>
      <c r="AD469">
        <v>0.2215088282504013</v>
      </c>
    </row>
    <row r="470" spans="1:30">
      <c r="A470" s="1" t="s">
        <v>477</v>
      </c>
      <c r="B470">
        <f>HYPERLINK("https://www.suredividend.com/sure-analysis-PKX/","POSCO")</f>
        <v>0</v>
      </c>
      <c r="C470">
        <v>41.77</v>
      </c>
      <c r="D470">
        <v>13325.741583</v>
      </c>
      <c r="E470" t="s">
        <v>662</v>
      </c>
      <c r="F470" t="s">
        <v>632</v>
      </c>
      <c r="G470" t="s">
        <v>689</v>
      </c>
      <c r="H470" t="s">
        <v>700</v>
      </c>
      <c r="I470" t="s">
        <v>1169</v>
      </c>
      <c r="J470" t="s">
        <v>1322</v>
      </c>
      <c r="K470">
        <v>44041</v>
      </c>
      <c r="L470">
        <v>0.042256428058415</v>
      </c>
      <c r="M470">
        <v>-0.03474799185913036</v>
      </c>
      <c r="N470">
        <v>0.02</v>
      </c>
      <c r="O470">
        <v>0.02340701636949638</v>
      </c>
      <c r="P470" t="s">
        <v>446</v>
      </c>
      <c r="Q470" t="s">
        <v>372</v>
      </c>
      <c r="R470">
        <v>0</v>
      </c>
      <c r="S470">
        <v>0.4706802666666666</v>
      </c>
      <c r="T470">
        <v>35</v>
      </c>
      <c r="U470">
        <v>1.193428571428572</v>
      </c>
      <c r="V470">
        <v>2.3791</v>
      </c>
      <c r="W470">
        <v>3.75</v>
      </c>
      <c r="X470">
        <v>1.765051</v>
      </c>
      <c r="Y470">
        <v>-0.125236</v>
      </c>
      <c r="Z470">
        <v>0.5808580858085809</v>
      </c>
      <c r="AA470">
        <v>0.5264847512038524</v>
      </c>
      <c r="AB470">
        <v>0.1613162118780096</v>
      </c>
      <c r="AC470">
        <v>0.3579454253611557</v>
      </c>
      <c r="AD470">
        <v>0.2006420545746389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21.34</v>
      </c>
      <c r="D471">
        <v>4776.27612</v>
      </c>
      <c r="E471" t="s">
        <v>665</v>
      </c>
      <c r="F471" t="s">
        <v>632</v>
      </c>
      <c r="G471" t="s">
        <v>671</v>
      </c>
      <c r="H471" t="s">
        <v>701</v>
      </c>
      <c r="I471" t="s">
        <v>1170</v>
      </c>
      <c r="J471" t="s">
        <v>1318</v>
      </c>
      <c r="K471">
        <v>44056</v>
      </c>
      <c r="L471">
        <v>0.018275538894095</v>
      </c>
      <c r="M471">
        <v>-0.06316035433986533</v>
      </c>
      <c r="N471">
        <v>0.07000000000000001</v>
      </c>
      <c r="O471">
        <v>0.01859817824611265</v>
      </c>
      <c r="P471" t="s">
        <v>446</v>
      </c>
      <c r="Q471" t="s">
        <v>586</v>
      </c>
      <c r="R471">
        <v>0</v>
      </c>
      <c r="S471">
        <v>0.7090909090909091</v>
      </c>
      <c r="T471">
        <v>15.4</v>
      </c>
      <c r="U471">
        <v>1.385714285714286</v>
      </c>
      <c r="V471">
        <v>0.4928</v>
      </c>
      <c r="W471">
        <v>0.55</v>
      </c>
      <c r="X471">
        <v>0.39</v>
      </c>
      <c r="Y471">
        <v>0.065402</v>
      </c>
      <c r="Z471">
        <v>0.2211221122112211</v>
      </c>
      <c r="AA471">
        <v>0.7495987158908507</v>
      </c>
      <c r="AB471">
        <v>0.7504012841091493</v>
      </c>
      <c r="AC471">
        <v>0.1894060995184591</v>
      </c>
      <c r="AD471">
        <v>0.1829855537720706</v>
      </c>
    </row>
    <row r="472" spans="1:30">
      <c r="A472" s="1" t="s">
        <v>479</v>
      </c>
      <c r="B472">
        <f>HYPERLINK("https://www.suredividend.com/sure-analysis-WDR/","Waddell &amp; Reed Financial, Inc.")</f>
        <v>0</v>
      </c>
      <c r="C472">
        <v>14.26</v>
      </c>
      <c r="D472">
        <v>929.234362</v>
      </c>
      <c r="E472" t="s">
        <v>667</v>
      </c>
      <c r="F472" t="s">
        <v>632</v>
      </c>
      <c r="G472" t="s">
        <v>671</v>
      </c>
      <c r="H472" t="s">
        <v>700</v>
      </c>
      <c r="I472" t="s">
        <v>1171</v>
      </c>
      <c r="J472" t="s">
        <v>1313</v>
      </c>
      <c r="K472">
        <v>44083</v>
      </c>
      <c r="L472">
        <v>0.070126227208976</v>
      </c>
      <c r="M472">
        <v>-0.05058818518714692</v>
      </c>
      <c r="N472">
        <v>-0.01</v>
      </c>
      <c r="O472">
        <v>0.01630250500532981</v>
      </c>
      <c r="P472" t="s">
        <v>446</v>
      </c>
      <c r="Q472" t="s">
        <v>372</v>
      </c>
      <c r="R472">
        <v>0</v>
      </c>
      <c r="S472">
        <v>0.9174311926605504</v>
      </c>
      <c r="T472">
        <v>11</v>
      </c>
      <c r="U472">
        <v>1.296363636363636</v>
      </c>
      <c r="V472">
        <v>1.3886</v>
      </c>
      <c r="W472">
        <v>1.09</v>
      </c>
      <c r="X472">
        <v>1</v>
      </c>
      <c r="Y472">
        <v>-0.181401</v>
      </c>
      <c r="Z472">
        <v>0.8036303630363036</v>
      </c>
      <c r="AA472">
        <v>0.4558587479935794</v>
      </c>
      <c r="AB472">
        <v>0.0232744783306581</v>
      </c>
      <c r="AC472">
        <v>0.245585874799358</v>
      </c>
      <c r="AD472">
        <v>0.1717495987158908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9.17</v>
      </c>
      <c r="D473">
        <v>6574.00769</v>
      </c>
      <c r="E473" t="s">
        <v>669</v>
      </c>
      <c r="F473" t="s">
        <v>634</v>
      </c>
      <c r="G473" t="s">
        <v>673</v>
      </c>
      <c r="H473" t="s">
        <v>702</v>
      </c>
      <c r="I473" t="s">
        <v>1172</v>
      </c>
      <c r="J473" t="s">
        <v>1313</v>
      </c>
      <c r="K473">
        <v>44041</v>
      </c>
      <c r="L473">
        <v>0.060121329847595</v>
      </c>
      <c r="M473">
        <v>-0.07529230687541721</v>
      </c>
      <c r="N473">
        <v>0.025</v>
      </c>
      <c r="O473">
        <v>0.01612632686937343</v>
      </c>
      <c r="P473" t="s">
        <v>446</v>
      </c>
      <c r="Q473" t="s">
        <v>372</v>
      </c>
      <c r="R473">
        <v>0</v>
      </c>
      <c r="S473">
        <v>0.8892138624233065</v>
      </c>
      <c r="T473">
        <v>6.2</v>
      </c>
      <c r="U473">
        <v>1.479032258064516</v>
      </c>
      <c r="V473">
        <v>0.3438</v>
      </c>
      <c r="W473">
        <v>0.62</v>
      </c>
      <c r="X473">
        <v>0.55131259470245</v>
      </c>
      <c r="Y473">
        <v>-0.15941</v>
      </c>
      <c r="Z473">
        <v>0.7326732673267327</v>
      </c>
      <c r="AA473">
        <v>0.4815409309791333</v>
      </c>
      <c r="AB473">
        <v>0.2054574638844302</v>
      </c>
      <c r="AC473">
        <v>0.1460674157303371</v>
      </c>
      <c r="AD473">
        <v>0.1701444622792937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115.65</v>
      </c>
      <c r="D474">
        <v>14036.32485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1318</v>
      </c>
      <c r="K474">
        <v>44071</v>
      </c>
      <c r="L474">
        <v>0.020060527453523</v>
      </c>
      <c r="M474">
        <v>-0.07105742030290241</v>
      </c>
      <c r="N474">
        <v>0.06</v>
      </c>
      <c r="O474">
        <v>0.007611792698204445</v>
      </c>
      <c r="P474" t="s">
        <v>446</v>
      </c>
      <c r="Q474" t="s">
        <v>446</v>
      </c>
      <c r="R474">
        <v>17</v>
      </c>
      <c r="S474">
        <v>1.16</v>
      </c>
      <c r="T474">
        <v>80</v>
      </c>
      <c r="U474">
        <v>1.445625</v>
      </c>
      <c r="V474">
        <v>2.0526</v>
      </c>
      <c r="W474">
        <v>2</v>
      </c>
      <c r="X474">
        <v>2.32</v>
      </c>
      <c r="Y474">
        <v>0.273258</v>
      </c>
      <c r="Z474">
        <v>0.268976897689769</v>
      </c>
      <c r="AA474">
        <v>0.897271268057785</v>
      </c>
      <c r="AB474">
        <v>0.6597110754414125</v>
      </c>
      <c r="AC474">
        <v>0.1605136436597111</v>
      </c>
      <c r="AD474">
        <v>0.1460674157303371</v>
      </c>
    </row>
    <row r="475" spans="1:30">
      <c r="A475" s="1" t="s">
        <v>482</v>
      </c>
      <c r="B475">
        <f>HYPERLINK("https://www.suredividend.com/sure-analysis-GLPI/","Gaming &amp; Leisure Properties, Inc.")</f>
        <v>0</v>
      </c>
      <c r="C475">
        <v>37.88</v>
      </c>
      <c r="D475">
        <v>8251.4004</v>
      </c>
      <c r="E475" t="s">
        <v>669</v>
      </c>
      <c r="F475" t="s">
        <v>634</v>
      </c>
      <c r="G475" t="s">
        <v>671</v>
      </c>
      <c r="H475" t="s">
        <v>701</v>
      </c>
      <c r="I475" t="s">
        <v>1174</v>
      </c>
      <c r="J475" t="s">
        <v>1323</v>
      </c>
      <c r="K475">
        <v>44077</v>
      </c>
      <c r="L475">
        <v>0.070749736008447</v>
      </c>
      <c r="M475">
        <v>-0.02138067110202058</v>
      </c>
      <c r="N475">
        <v>-0.021</v>
      </c>
      <c r="O475">
        <v>0.006318941320587301</v>
      </c>
      <c r="P475" t="s">
        <v>446</v>
      </c>
      <c r="Q475" t="s">
        <v>372</v>
      </c>
      <c r="R475">
        <v>0</v>
      </c>
      <c r="S475">
        <v>0.8758169934640523</v>
      </c>
      <c r="T475">
        <v>34</v>
      </c>
      <c r="U475">
        <v>1.114117647058824</v>
      </c>
      <c r="V475">
        <v>1.9245</v>
      </c>
      <c r="W475">
        <v>3.06</v>
      </c>
      <c r="X475">
        <v>2.68</v>
      </c>
      <c r="Y475">
        <v>-0.020176</v>
      </c>
      <c r="Z475">
        <v>0.806930693069307</v>
      </c>
      <c r="AA475">
        <v>0.6581059390048154</v>
      </c>
      <c r="AB475">
        <v>0.01605136436597111</v>
      </c>
      <c r="AC475">
        <v>0.4301765650080256</v>
      </c>
      <c r="AD475">
        <v>0.1380417335473515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124</v>
      </c>
      <c r="D476">
        <v>224075.44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1314</v>
      </c>
      <c r="K476">
        <v>44012</v>
      </c>
      <c r="L476">
        <v>0.014193548387096</v>
      </c>
      <c r="M476">
        <v>-0.04989870601803115</v>
      </c>
      <c r="N476">
        <v>0.036</v>
      </c>
      <c r="O476">
        <v>0.001047034770377264</v>
      </c>
      <c r="P476" t="s">
        <v>446</v>
      </c>
      <c r="Q476" t="s">
        <v>586</v>
      </c>
      <c r="R476">
        <v>10</v>
      </c>
      <c r="S476">
        <v>0.5866666666666667</v>
      </c>
      <c r="T476">
        <v>96</v>
      </c>
      <c r="U476">
        <v>1.291666666666667</v>
      </c>
      <c r="V476">
        <v>-0.6037</v>
      </c>
      <c r="W476">
        <v>3</v>
      </c>
      <c r="X476">
        <v>1.76</v>
      </c>
      <c r="Y476">
        <v>-0.055382</v>
      </c>
      <c r="Z476">
        <v>0.1402640264026403</v>
      </c>
      <c r="AA476">
        <v>0.6179775280898876</v>
      </c>
      <c r="AB476">
        <v>0.3443017656500802</v>
      </c>
      <c r="AC476">
        <v>0.2552166934189406</v>
      </c>
      <c r="AD476">
        <v>0.1171749598715891</v>
      </c>
    </row>
    <row r="477" spans="1:30">
      <c r="A477" s="1" t="s">
        <v>484</v>
      </c>
      <c r="B477">
        <f>HYPERLINK("https://www.suredividend.com/sure-analysis-DRI/","Darden Restaurants, Inc.")</f>
        <v>0</v>
      </c>
      <c r="C477">
        <v>97.17</v>
      </c>
      <c r="D477">
        <v>12639.97077</v>
      </c>
      <c r="E477" t="s">
        <v>668</v>
      </c>
      <c r="F477" t="s">
        <v>632</v>
      </c>
      <c r="G477" t="s">
        <v>671</v>
      </c>
      <c r="H477" t="s">
        <v>700</v>
      </c>
      <c r="I477" t="s">
        <v>1176</v>
      </c>
      <c r="J477" t="s">
        <v>1318</v>
      </c>
      <c r="K477">
        <v>44021</v>
      </c>
      <c r="L477">
        <v>0.018112586189153</v>
      </c>
      <c r="M477">
        <v>-0.1175416269661915</v>
      </c>
      <c r="N477">
        <v>0.13</v>
      </c>
      <c r="O477">
        <v>-0.002822038471796517</v>
      </c>
      <c r="P477" t="s">
        <v>446</v>
      </c>
      <c r="Q477" t="s">
        <v>586</v>
      </c>
      <c r="R477">
        <v>0</v>
      </c>
      <c r="S477">
        <v>0.5866666666666667</v>
      </c>
      <c r="T477">
        <v>52</v>
      </c>
      <c r="U477">
        <v>1.868653846153846</v>
      </c>
      <c r="V477">
        <v>-1.4605</v>
      </c>
      <c r="W477">
        <v>3</v>
      </c>
      <c r="X477">
        <v>1.76</v>
      </c>
      <c r="Y477">
        <v>-0.165493</v>
      </c>
      <c r="Z477">
        <v>0.2194719471947195</v>
      </c>
      <c r="AA477">
        <v>0.4703049759229534</v>
      </c>
      <c r="AB477">
        <v>0.9646869983948636</v>
      </c>
      <c r="AC477">
        <v>0.03852327447833066</v>
      </c>
      <c r="AD477">
        <v>0.1043338683788122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132.97</v>
      </c>
      <c r="D478">
        <v>185889.72631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1318</v>
      </c>
      <c r="K478">
        <v>44063</v>
      </c>
      <c r="L478">
        <v>0.030495600511393</v>
      </c>
      <c r="M478">
        <v>-0.05164857611310858</v>
      </c>
      <c r="N478">
        <v>0.04</v>
      </c>
      <c r="O478">
        <v>-0.01371451915763289</v>
      </c>
      <c r="P478" t="s">
        <v>446</v>
      </c>
      <c r="Q478" t="s">
        <v>446</v>
      </c>
      <c r="R478">
        <v>0</v>
      </c>
      <c r="S478">
        <v>0.7798076923076922</v>
      </c>
      <c r="T478">
        <v>102</v>
      </c>
      <c r="U478">
        <v>1.303627450980392</v>
      </c>
      <c r="V478">
        <v>10.1967</v>
      </c>
      <c r="W478">
        <v>5.2</v>
      </c>
      <c r="X478">
        <v>4.055</v>
      </c>
      <c r="Y478">
        <v>-0.038678</v>
      </c>
      <c r="Z478">
        <v>0.4207920792079208</v>
      </c>
      <c r="AA478">
        <v>0.6356340288924559</v>
      </c>
      <c r="AB478">
        <v>0.4012841091492777</v>
      </c>
      <c r="AC478">
        <v>0.2407704654895666</v>
      </c>
      <c r="AD478">
        <v>0.08346709470304976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29</v>
      </c>
      <c r="D479">
        <v>41501.9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1318</v>
      </c>
      <c r="K479">
        <v>44069</v>
      </c>
      <c r="L479">
        <v>0.039310344827586</v>
      </c>
      <c r="M479">
        <v>-0.1121401913093391</v>
      </c>
      <c r="N479">
        <v>0.03</v>
      </c>
      <c r="O479">
        <v>-0.02048886992859</v>
      </c>
      <c r="P479" t="s">
        <v>446</v>
      </c>
      <c r="Q479" t="s">
        <v>446</v>
      </c>
      <c r="R479">
        <v>0</v>
      </c>
      <c r="S479">
        <v>0.4560000000000001</v>
      </c>
      <c r="T479">
        <v>16</v>
      </c>
      <c r="U479">
        <v>1.8125</v>
      </c>
      <c r="V479">
        <v>1.0669</v>
      </c>
      <c r="W479">
        <v>2.5</v>
      </c>
      <c r="X479">
        <v>1.14</v>
      </c>
      <c r="Y479">
        <v>-0.228928</v>
      </c>
      <c r="Z479">
        <v>0.5396039603960396</v>
      </c>
      <c r="AA479">
        <v>0.3852327447833065</v>
      </c>
      <c r="AB479">
        <v>0.2680577849117175</v>
      </c>
      <c r="AC479">
        <v>0.05136436597110754</v>
      </c>
      <c r="AD479">
        <v>0.06902086677367576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15.3</v>
      </c>
      <c r="D480">
        <v>22218.966</v>
      </c>
      <c r="E480" t="s">
        <v>666</v>
      </c>
      <c r="F480" t="s">
        <v>632</v>
      </c>
      <c r="G480" t="s">
        <v>671</v>
      </c>
      <c r="H480" t="s">
        <v>700</v>
      </c>
      <c r="I480" t="s">
        <v>1179</v>
      </c>
      <c r="J480" t="s">
        <v>1322</v>
      </c>
      <c r="K480">
        <v>44038</v>
      </c>
      <c r="L480">
        <v>0.006535947712418001</v>
      </c>
      <c r="M480">
        <v>-0.1216255163736163</v>
      </c>
      <c r="N480">
        <v>0.08500000000000001</v>
      </c>
      <c r="O480">
        <v>-0.03734412165353873</v>
      </c>
      <c r="P480" t="s">
        <v>446</v>
      </c>
      <c r="Q480" t="s">
        <v>586</v>
      </c>
      <c r="R480">
        <v>0</v>
      </c>
      <c r="S480">
        <v>0.6666666666666667</v>
      </c>
      <c r="T480">
        <v>8</v>
      </c>
      <c r="U480">
        <v>1.9125</v>
      </c>
      <c r="V480">
        <v>-0.4456</v>
      </c>
      <c r="W480">
        <v>0.15</v>
      </c>
      <c r="X480">
        <v>0.1</v>
      </c>
      <c r="Y480">
        <v>0.5612239999999999</v>
      </c>
      <c r="Z480">
        <v>0.033003300330033</v>
      </c>
      <c r="AA480">
        <v>0.971107544141252</v>
      </c>
      <c r="AB480">
        <v>0.8619582664526484</v>
      </c>
      <c r="AC480">
        <v>0.03210272873194222</v>
      </c>
      <c r="AD480">
        <v>0.04654895666131621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99.95999999999999</v>
      </c>
      <c r="D481">
        <v>39993.996</v>
      </c>
      <c r="E481" t="s">
        <v>663</v>
      </c>
      <c r="F481" t="s">
        <v>632</v>
      </c>
      <c r="G481" t="s">
        <v>674</v>
      </c>
      <c r="H481" t="s">
        <v>700</v>
      </c>
      <c r="I481" t="s">
        <v>1180</v>
      </c>
      <c r="J481" t="s">
        <v>1319</v>
      </c>
      <c r="K481">
        <v>44041</v>
      </c>
      <c r="L481">
        <v>0.028811524609843</v>
      </c>
      <c r="M481">
        <v>-0.1191744079042869</v>
      </c>
      <c r="N481">
        <v>0.04</v>
      </c>
      <c r="O481">
        <v>-0.0435562959742064</v>
      </c>
      <c r="P481" t="s">
        <v>446</v>
      </c>
      <c r="Q481" t="s">
        <v>446</v>
      </c>
      <c r="R481">
        <v>11</v>
      </c>
      <c r="S481">
        <v>0.7890410958904109</v>
      </c>
      <c r="T481">
        <v>53</v>
      </c>
      <c r="U481">
        <v>1.886037735849057</v>
      </c>
      <c r="V481">
        <v>3.733</v>
      </c>
      <c r="W481">
        <v>3.65</v>
      </c>
      <c r="X481">
        <v>2.88</v>
      </c>
      <c r="Y481">
        <v>0.211783</v>
      </c>
      <c r="Z481">
        <v>0.3976897689768977</v>
      </c>
      <c r="AA481">
        <v>0.8571428571428571</v>
      </c>
      <c r="AB481">
        <v>0.4012841091492777</v>
      </c>
      <c r="AC481">
        <v>0.03531300160513644</v>
      </c>
      <c r="AD481">
        <v>0.03531300160513644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55.51</v>
      </c>
      <c r="D482">
        <v>145690.4358</v>
      </c>
      <c r="E482" t="s">
        <v>663</v>
      </c>
      <c r="F482" t="s">
        <v>632</v>
      </c>
      <c r="G482" t="s">
        <v>677</v>
      </c>
      <c r="H482" t="s">
        <v>701</v>
      </c>
      <c r="I482" t="s">
        <v>1181</v>
      </c>
      <c r="J482" t="s">
        <v>1315</v>
      </c>
      <c r="K482">
        <v>44044</v>
      </c>
      <c r="L482">
        <v>0.024680237794991</v>
      </c>
      <c r="M482">
        <v>-0.1158010283399076</v>
      </c>
      <c r="N482">
        <v>0.04</v>
      </c>
      <c r="O482">
        <v>-0.04759255551783625</v>
      </c>
      <c r="P482" t="s">
        <v>446</v>
      </c>
      <c r="Q482" t="s">
        <v>586</v>
      </c>
      <c r="R482">
        <v>0</v>
      </c>
      <c r="S482">
        <v>0.6782178217821783</v>
      </c>
      <c r="T482">
        <v>30</v>
      </c>
      <c r="U482">
        <v>1.850333333333333</v>
      </c>
      <c r="V482">
        <v>0.8204</v>
      </c>
      <c r="W482">
        <v>2.02</v>
      </c>
      <c r="X482">
        <v>1.37</v>
      </c>
      <c r="Y482">
        <v>0.220805</v>
      </c>
      <c r="Z482">
        <v>0.3250825082508251</v>
      </c>
      <c r="AA482">
        <v>0.8683788121990369</v>
      </c>
      <c r="AB482">
        <v>0.4012841091492777</v>
      </c>
      <c r="AC482">
        <v>0.04333868378812199</v>
      </c>
      <c r="AD482">
        <v>0.03210272873194222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23.44</v>
      </c>
      <c r="D483">
        <v>40472.622697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1318</v>
      </c>
      <c r="K483">
        <v>44048</v>
      </c>
      <c r="L483">
        <v>0.037384812286689</v>
      </c>
      <c r="M483">
        <v>-0.1112141147365089</v>
      </c>
      <c r="N483">
        <v>0.029</v>
      </c>
      <c r="O483">
        <v>-0.0578167662833402</v>
      </c>
      <c r="P483" t="s">
        <v>446</v>
      </c>
      <c r="Q483" t="s">
        <v>446</v>
      </c>
      <c r="R483">
        <v>0</v>
      </c>
      <c r="S483">
        <v>0.5803311258278147</v>
      </c>
      <c r="T483">
        <v>13</v>
      </c>
      <c r="U483">
        <v>1.803076923076923</v>
      </c>
      <c r="V483">
        <v>1.0595</v>
      </c>
      <c r="W483">
        <v>1.51</v>
      </c>
      <c r="X483">
        <v>0.8763000000000001</v>
      </c>
      <c r="Y483">
        <v>-0.119128</v>
      </c>
      <c r="Z483">
        <v>0.5165016501650165</v>
      </c>
      <c r="AA483">
        <v>0.5345104333868379</v>
      </c>
      <c r="AB483">
        <v>0.2174959871589085</v>
      </c>
      <c r="AC483">
        <v>0.05617977528089888</v>
      </c>
      <c r="AD483">
        <v>0.02568218298555377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22.09</v>
      </c>
      <c r="D484">
        <v>1366.047809</v>
      </c>
      <c r="E484" t="s">
        <v>663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0.021729289271163</v>
      </c>
      <c r="M484">
        <v>-0.2053416250092218</v>
      </c>
      <c r="N484">
        <v>0.02</v>
      </c>
      <c r="O484">
        <v>-0.1419144011528822</v>
      </c>
      <c r="P484" t="s">
        <v>446</v>
      </c>
      <c r="Q484" t="s">
        <v>446</v>
      </c>
      <c r="R484">
        <v>2</v>
      </c>
      <c r="S484">
        <v>0.5393258426966292</v>
      </c>
      <c r="T484">
        <v>7</v>
      </c>
      <c r="U484">
        <v>3.155714285714286</v>
      </c>
      <c r="V484">
        <v>0.6787000000000001</v>
      </c>
      <c r="W484">
        <v>0.89</v>
      </c>
      <c r="X484">
        <v>0.48</v>
      </c>
      <c r="Y484">
        <v>-0.064776</v>
      </c>
      <c r="Z484">
        <v>0.2854785478547855</v>
      </c>
      <c r="AA484">
        <v>0.5955056179775281</v>
      </c>
      <c r="AB484">
        <v>0.1613162118780096</v>
      </c>
      <c r="AC484">
        <v>0.004815409309791333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4.57</v>
      </c>
      <c r="D485">
        <v>560.186016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0.306345733041575</v>
      </c>
      <c r="M485">
        <v>0.145157605760373</v>
      </c>
      <c r="N485">
        <v>0.03</v>
      </c>
      <c r="O485">
        <v>0.2406645707554209</v>
      </c>
      <c r="P485" t="s">
        <v>586</v>
      </c>
      <c r="Q485" t="s">
        <v>637</v>
      </c>
      <c r="R485">
        <v>0</v>
      </c>
      <c r="S485">
        <v>1.076923076923077</v>
      </c>
      <c r="T485">
        <v>9</v>
      </c>
      <c r="U485">
        <v>0.5077777777777778</v>
      </c>
      <c r="V485">
        <v>-2.7461</v>
      </c>
      <c r="W485">
        <v>1.3</v>
      </c>
      <c r="X485">
        <v>1.4</v>
      </c>
      <c r="Y485">
        <v>-0.785748</v>
      </c>
      <c r="Z485">
        <v>0.995049504950495</v>
      </c>
      <c r="AA485">
        <v>0.008025682182985555</v>
      </c>
      <c r="AB485">
        <v>0.2680577849117175</v>
      </c>
      <c r="AC485">
        <v>0.9903691813804173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7.9</v>
      </c>
      <c r="D486">
        <v>1042.6578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1319</v>
      </c>
      <c r="K486">
        <v>44056</v>
      </c>
      <c r="L486">
        <v>0.10506329113924</v>
      </c>
      <c r="M486">
        <v>0.1515918384064963</v>
      </c>
      <c r="N486">
        <v>0.05</v>
      </c>
      <c r="O486">
        <v>0.2302713098059845</v>
      </c>
      <c r="P486" t="s">
        <v>586</v>
      </c>
      <c r="Q486" t="s">
        <v>372</v>
      </c>
      <c r="R486">
        <v>0</v>
      </c>
      <c r="S486">
        <v>1.537037037037037</v>
      </c>
      <c r="T486">
        <v>16</v>
      </c>
      <c r="U486">
        <v>0.49375</v>
      </c>
      <c r="V486">
        <v>-0.1443</v>
      </c>
      <c r="W486">
        <v>0.54</v>
      </c>
      <c r="X486">
        <v>0.8300000000000001</v>
      </c>
      <c r="Y486">
        <v>-0.543616</v>
      </c>
      <c r="Z486">
        <v>0.8943894389438944</v>
      </c>
      <c r="AA486">
        <v>0.07865168539325842</v>
      </c>
      <c r="AB486">
        <v>0.5296950240770465</v>
      </c>
      <c r="AC486">
        <v>0.9935794542536115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20.15</v>
      </c>
      <c r="D487">
        <v>3264.60225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0.06848635235732001</v>
      </c>
      <c r="M487">
        <v>0.1411898789591177</v>
      </c>
      <c r="N487">
        <v>0.04</v>
      </c>
      <c r="O487">
        <v>0.2219373748901268</v>
      </c>
      <c r="P487" t="s">
        <v>586</v>
      </c>
      <c r="Q487" t="s">
        <v>446</v>
      </c>
      <c r="R487">
        <v>2</v>
      </c>
      <c r="S487">
        <v>4.6</v>
      </c>
      <c r="T487">
        <v>39</v>
      </c>
      <c r="U487">
        <v>0.5166666666666666</v>
      </c>
      <c r="V487">
        <v>-1.0005</v>
      </c>
      <c r="W487">
        <v>0.3</v>
      </c>
      <c r="X487">
        <v>1.38</v>
      </c>
      <c r="Y487">
        <v>-0.623435</v>
      </c>
      <c r="Z487">
        <v>0.7986798679867987</v>
      </c>
      <c r="AA487">
        <v>0.04494382022471911</v>
      </c>
      <c r="AB487">
        <v>0.4012841091492777</v>
      </c>
      <c r="AC487">
        <v>0.9871589085072232</v>
      </c>
      <c r="AD487">
        <v>0.9919743178170144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12.43</v>
      </c>
      <c r="D488">
        <v>18957.6145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1317</v>
      </c>
      <c r="K488">
        <v>44077</v>
      </c>
      <c r="L488">
        <v>0.09119079148874301</v>
      </c>
      <c r="M488">
        <v>0.09979508227145861</v>
      </c>
      <c r="N488">
        <v>0.08</v>
      </c>
      <c r="O488">
        <v>0.2153815756738013</v>
      </c>
      <c r="P488" t="s">
        <v>586</v>
      </c>
      <c r="Q488" t="s">
        <v>446</v>
      </c>
      <c r="R488">
        <v>0</v>
      </c>
      <c r="S488">
        <v>9.99</v>
      </c>
      <c r="T488">
        <v>20</v>
      </c>
      <c r="U488">
        <v>0.6214999999999999</v>
      </c>
      <c r="V488">
        <v>-2.6524</v>
      </c>
      <c r="W488">
        <v>-1.5</v>
      </c>
      <c r="X488">
        <v>1.13350153820508</v>
      </c>
      <c r="Y488">
        <v>-0.60677</v>
      </c>
      <c r="Z488">
        <v>0.8712871287128714</v>
      </c>
      <c r="AA488">
        <v>0.05296950240770466</v>
      </c>
      <c r="AB488">
        <v>0.8274478330658106</v>
      </c>
      <c r="AC488">
        <v>0.9614767255216694</v>
      </c>
      <c r="AD488">
        <v>0.9887640449438203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24.69</v>
      </c>
      <c r="D489">
        <v>45672.5496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0.102065613608748</v>
      </c>
      <c r="M489">
        <v>0.05973815245467806</v>
      </c>
      <c r="N489">
        <v>0.11</v>
      </c>
      <c r="O489">
        <v>0.2087708476934778</v>
      </c>
      <c r="P489" t="s">
        <v>586</v>
      </c>
      <c r="Q489" t="s">
        <v>372</v>
      </c>
      <c r="R489">
        <v>0</v>
      </c>
      <c r="S489">
        <v>1.938461538461538</v>
      </c>
      <c r="T489">
        <v>33</v>
      </c>
      <c r="U489">
        <v>0.7481818181818182</v>
      </c>
      <c r="V489">
        <v>-2.9679</v>
      </c>
      <c r="W489">
        <v>1.3</v>
      </c>
      <c r="X489">
        <v>2.52</v>
      </c>
      <c r="Y489">
        <v>-0.5809569999999999</v>
      </c>
      <c r="Z489">
        <v>0.8894389438943894</v>
      </c>
      <c r="AA489">
        <v>0.06581059390048155</v>
      </c>
      <c r="AB489">
        <v>0.9414125200642054</v>
      </c>
      <c r="AC489">
        <v>0.8603531300160513</v>
      </c>
      <c r="AD489">
        <v>0.985553772070626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12.51</v>
      </c>
      <c r="D490">
        <v>1319.0544</v>
      </c>
      <c r="E490" t="s">
        <v>661</v>
      </c>
      <c r="F490" t="s">
        <v>633</v>
      </c>
      <c r="G490" t="s">
        <v>671</v>
      </c>
      <c r="H490" t="s">
        <v>700</v>
      </c>
      <c r="I490" t="s">
        <v>1186</v>
      </c>
      <c r="J490" t="s">
        <v>1317</v>
      </c>
      <c r="K490">
        <v>44053</v>
      </c>
      <c r="L490">
        <v>0.189248601119104</v>
      </c>
      <c r="M490">
        <v>0.08717450228734003</v>
      </c>
      <c r="N490">
        <v>0.04</v>
      </c>
      <c r="O490">
        <v>0.2009178136592482</v>
      </c>
      <c r="P490" t="s">
        <v>586</v>
      </c>
      <c r="Q490" t="s">
        <v>637</v>
      </c>
      <c r="R490">
        <v>0</v>
      </c>
      <c r="S490">
        <v>1.127380952380952</v>
      </c>
      <c r="T490">
        <v>19</v>
      </c>
      <c r="U490">
        <v>0.6584210526315789</v>
      </c>
      <c r="V490">
        <v>2.1751</v>
      </c>
      <c r="W490">
        <v>2.1</v>
      </c>
      <c r="X490">
        <v>2.3675</v>
      </c>
      <c r="Y490">
        <v>-0.4996</v>
      </c>
      <c r="Z490">
        <v>0.9801980198019803</v>
      </c>
      <c r="AA490">
        <v>0.1027287319422151</v>
      </c>
      <c r="AB490">
        <v>0.4012841091492777</v>
      </c>
      <c r="AC490">
        <v>0.9373996789727127</v>
      </c>
      <c r="AD490">
        <v>0.9807383627608347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17.86</v>
      </c>
      <c r="D491">
        <v>59839.534103</v>
      </c>
      <c r="E491" t="s">
        <v>661</v>
      </c>
      <c r="F491" t="s">
        <v>632</v>
      </c>
      <c r="G491" t="s">
        <v>677</v>
      </c>
      <c r="H491" t="s">
        <v>700</v>
      </c>
      <c r="I491" t="s">
        <v>1189</v>
      </c>
      <c r="J491" t="s">
        <v>1317</v>
      </c>
      <c r="K491">
        <v>44055</v>
      </c>
      <c r="L491">
        <v>0.121500559910414</v>
      </c>
      <c r="M491">
        <v>0.06087925589129739</v>
      </c>
      <c r="N491">
        <v>0.09</v>
      </c>
      <c r="O491">
        <v>0.1965990552987413</v>
      </c>
      <c r="P491" t="s">
        <v>586</v>
      </c>
      <c r="Q491" t="s">
        <v>372</v>
      </c>
      <c r="R491">
        <v>0</v>
      </c>
      <c r="S491">
        <v>9.99</v>
      </c>
      <c r="T491">
        <v>24</v>
      </c>
      <c r="U491">
        <v>0.7441666666666666</v>
      </c>
      <c r="V491">
        <v>-6.5233</v>
      </c>
      <c r="W491">
        <v>-1</v>
      </c>
      <c r="X491">
        <v>2.17</v>
      </c>
      <c r="Y491">
        <v>-0.533072</v>
      </c>
      <c r="Z491">
        <v>0.9224422442244224</v>
      </c>
      <c r="AA491">
        <v>0.08988764044943821</v>
      </c>
      <c r="AB491">
        <v>0.8780096308186195</v>
      </c>
      <c r="AC491">
        <v>0.8667736757624398</v>
      </c>
      <c r="AD491">
        <v>0.9759229534510433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7.55</v>
      </c>
      <c r="D492">
        <v>821.9232</v>
      </c>
      <c r="E492" t="s">
        <v>669</v>
      </c>
      <c r="F492" t="s">
        <v>632</v>
      </c>
      <c r="G492" t="s">
        <v>680</v>
      </c>
      <c r="H492" t="s">
        <v>700</v>
      </c>
      <c r="I492" t="s">
        <v>1190</v>
      </c>
      <c r="J492" t="s">
        <v>1319</v>
      </c>
      <c r="K492">
        <v>44013</v>
      </c>
      <c r="L492">
        <v>0.172185430463576</v>
      </c>
      <c r="M492">
        <v>0.04257474230731795</v>
      </c>
      <c r="N492">
        <v>0.061</v>
      </c>
      <c r="O492">
        <v>0.1917971000015013</v>
      </c>
      <c r="P492" t="s">
        <v>586</v>
      </c>
      <c r="Q492" t="s">
        <v>372</v>
      </c>
      <c r="R492">
        <v>0</v>
      </c>
      <c r="S492">
        <v>1.625</v>
      </c>
      <c r="T492">
        <v>9.300000000000001</v>
      </c>
      <c r="U492">
        <v>0.8118279569892473</v>
      </c>
      <c r="V492">
        <v>-0.4662</v>
      </c>
      <c r="W492">
        <v>0.8</v>
      </c>
      <c r="X492">
        <v>1.3</v>
      </c>
      <c r="Y492">
        <v>-0.464539</v>
      </c>
      <c r="Z492">
        <v>0.9653465346534653</v>
      </c>
      <c r="AA492">
        <v>0.1284109149277689</v>
      </c>
      <c r="AB492">
        <v>0.7070626003210273</v>
      </c>
      <c r="AC492">
        <v>0.7945425361155698</v>
      </c>
      <c r="AD492">
        <v>0.9743178170144462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40.39</v>
      </c>
      <c r="D493">
        <v>10304.86226</v>
      </c>
      <c r="E493" t="s">
        <v>661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0.081519930675909</v>
      </c>
      <c r="M493">
        <v>0.09983592332381797</v>
      </c>
      <c r="N493">
        <v>0.03</v>
      </c>
      <c r="O493">
        <v>0.1916095543874818</v>
      </c>
      <c r="P493" t="s">
        <v>586</v>
      </c>
      <c r="Q493" t="s">
        <v>446</v>
      </c>
      <c r="R493">
        <v>0</v>
      </c>
      <c r="S493">
        <v>5.48765</v>
      </c>
      <c r="T493">
        <v>65</v>
      </c>
      <c r="U493">
        <v>0.6213846153846154</v>
      </c>
      <c r="V493">
        <v>0.4007</v>
      </c>
      <c r="W493">
        <v>0.6</v>
      </c>
      <c r="X493">
        <v>3.29259</v>
      </c>
      <c r="Y493">
        <v>-0.311808</v>
      </c>
      <c r="Z493">
        <v>0.8481848184818481</v>
      </c>
      <c r="AA493">
        <v>0.3097913322632423</v>
      </c>
      <c r="AB493">
        <v>0.2680577849117175</v>
      </c>
      <c r="AC493">
        <v>0.9630818619582665</v>
      </c>
      <c r="AD493">
        <v>0.9727126805778491</v>
      </c>
    </row>
    <row r="494" spans="1:30">
      <c r="A494" s="1" t="s">
        <v>501</v>
      </c>
      <c r="B494">
        <f>HYPERLINK("https://www.suredividend.com/sure-analysis-VET/","Vermilion Energy, Inc.")</f>
        <v>0</v>
      </c>
      <c r="C494">
        <v>2.38</v>
      </c>
      <c r="D494">
        <v>376.754</v>
      </c>
      <c r="E494" t="s">
        <v>669</v>
      </c>
      <c r="F494" t="s">
        <v>632</v>
      </c>
      <c r="G494" t="s">
        <v>673</v>
      </c>
      <c r="H494" t="s">
        <v>700</v>
      </c>
      <c r="J494" t="s">
        <v>1317</v>
      </c>
      <c r="K494">
        <v>43992</v>
      </c>
      <c r="L494">
        <v>0.628151260504201</v>
      </c>
      <c r="M494">
        <v>0.01783944692269146</v>
      </c>
      <c r="N494">
        <v>0.05</v>
      </c>
      <c r="O494">
        <v>0.1909770041333696</v>
      </c>
      <c r="P494" t="s">
        <v>586</v>
      </c>
      <c r="Q494" t="s">
        <v>372</v>
      </c>
      <c r="R494">
        <v>0</v>
      </c>
      <c r="S494">
        <v>2.931372549019608</v>
      </c>
      <c r="T494">
        <v>2.6</v>
      </c>
      <c r="U494">
        <v>0.9153846153846154</v>
      </c>
      <c r="V494">
        <v>-6.6292</v>
      </c>
      <c r="W494">
        <v>0.51</v>
      </c>
      <c r="X494">
        <v>1.495</v>
      </c>
      <c r="Y494">
        <v>-0.8604109999999999</v>
      </c>
      <c r="Z494">
        <v>1</v>
      </c>
      <c r="AA494">
        <v>0.003210272873194221</v>
      </c>
      <c r="AB494">
        <v>0.5296950240770465</v>
      </c>
      <c r="AC494">
        <v>0.6532905296950241</v>
      </c>
      <c r="AD494">
        <v>0.971107544141252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32.7</v>
      </c>
      <c r="D495">
        <v>85818.318245</v>
      </c>
      <c r="E495" t="s">
        <v>661</v>
      </c>
      <c r="F495" t="s">
        <v>632</v>
      </c>
      <c r="G495" t="s">
        <v>685</v>
      </c>
      <c r="H495" t="s">
        <v>700</v>
      </c>
      <c r="I495" t="s">
        <v>1192</v>
      </c>
      <c r="J495" t="s">
        <v>1317</v>
      </c>
      <c r="K495">
        <v>44054</v>
      </c>
      <c r="L495">
        <v>0.11480122324159</v>
      </c>
      <c r="M495">
        <v>0.06116027782180922</v>
      </c>
      <c r="N495">
        <v>0.07000000000000001</v>
      </c>
      <c r="O495">
        <v>0.1876286872510033</v>
      </c>
      <c r="P495" t="s">
        <v>586</v>
      </c>
      <c r="Q495" t="s">
        <v>372</v>
      </c>
      <c r="R495">
        <v>3</v>
      </c>
      <c r="S495">
        <v>2.681428571428571</v>
      </c>
      <c r="T495">
        <v>44</v>
      </c>
      <c r="U495">
        <v>0.7431818181818183</v>
      </c>
      <c r="V495">
        <v>-1.1568</v>
      </c>
      <c r="W495">
        <v>1.4</v>
      </c>
      <c r="X495">
        <v>3.754</v>
      </c>
      <c r="Y495">
        <v>-0.367382</v>
      </c>
      <c r="Z495">
        <v>0.9075907590759076</v>
      </c>
      <c r="AA495">
        <v>0.232744783306581</v>
      </c>
      <c r="AB495">
        <v>0.7504012841091493</v>
      </c>
      <c r="AC495">
        <v>0.8683788121990369</v>
      </c>
      <c r="AD495">
        <v>0.9646869983948636</v>
      </c>
    </row>
    <row r="496" spans="1:30">
      <c r="A496" s="1" t="s">
        <v>503</v>
      </c>
      <c r="B496">
        <f>HYPERLINK("https://www.suredividend.com/sure-analysis-USAC/","USA Compression Partners LP")</f>
        <v>0</v>
      </c>
      <c r="C496">
        <v>10.12</v>
      </c>
      <c r="D496">
        <v>980.203972</v>
      </c>
      <c r="E496" t="s">
        <v>665</v>
      </c>
      <c r="F496" t="s">
        <v>633</v>
      </c>
      <c r="G496" t="s">
        <v>671</v>
      </c>
      <c r="H496" t="s">
        <v>700</v>
      </c>
      <c r="I496" t="s">
        <v>1193</v>
      </c>
      <c r="J496" t="s">
        <v>1317</v>
      </c>
      <c r="K496">
        <v>44091</v>
      </c>
      <c r="L496">
        <v>0.207509881422924</v>
      </c>
      <c r="M496">
        <v>0.04646484134803996</v>
      </c>
      <c r="N496">
        <v>0.01</v>
      </c>
      <c r="O496">
        <v>0.1870080447430911</v>
      </c>
      <c r="P496" t="s">
        <v>586</v>
      </c>
      <c r="Q496" t="s">
        <v>637</v>
      </c>
      <c r="R496">
        <v>0</v>
      </c>
      <c r="S496">
        <v>0.9905660377358491</v>
      </c>
      <c r="T496">
        <v>12.7</v>
      </c>
      <c r="U496">
        <v>0.7968503937007874</v>
      </c>
      <c r="V496">
        <v>-6.4724</v>
      </c>
      <c r="W496">
        <v>2.12</v>
      </c>
      <c r="X496">
        <v>2.1</v>
      </c>
      <c r="Y496">
        <v>-0.406452</v>
      </c>
      <c r="Z496">
        <v>0.9851485148514851</v>
      </c>
      <c r="AA496">
        <v>0.1765650080256822</v>
      </c>
      <c r="AB496">
        <v>0.08828250401284109</v>
      </c>
      <c r="AC496">
        <v>0.812199036918138</v>
      </c>
      <c r="AD496">
        <v>0.9614767255216694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52.88</v>
      </c>
      <c r="D497">
        <v>23092.53736</v>
      </c>
      <c r="E497" t="s">
        <v>661</v>
      </c>
      <c r="F497" t="s">
        <v>632</v>
      </c>
      <c r="G497" t="s">
        <v>671</v>
      </c>
      <c r="H497" t="s">
        <v>700</v>
      </c>
      <c r="I497" t="s">
        <v>1194</v>
      </c>
      <c r="J497" t="s">
        <v>1317</v>
      </c>
      <c r="K497">
        <v>44047</v>
      </c>
      <c r="L497">
        <v>0.068078668683812</v>
      </c>
      <c r="M497">
        <v>0.09697711612415794</v>
      </c>
      <c r="N497">
        <v>0.04</v>
      </c>
      <c r="O497">
        <v>0.1829138393890604</v>
      </c>
      <c r="P497" t="s">
        <v>586</v>
      </c>
      <c r="Q497" t="s">
        <v>446</v>
      </c>
      <c r="R497">
        <v>7</v>
      </c>
      <c r="S497">
        <v>2.769230769230769</v>
      </c>
      <c r="T497">
        <v>84</v>
      </c>
      <c r="U497">
        <v>0.6295238095238096</v>
      </c>
      <c r="V497">
        <v>-2.7519</v>
      </c>
      <c r="W497">
        <v>1.3</v>
      </c>
      <c r="X497">
        <v>3.6</v>
      </c>
      <c r="Y497">
        <v>-0.494262</v>
      </c>
      <c r="Z497">
        <v>0.7953795379537953</v>
      </c>
      <c r="AA497">
        <v>0.1059390048154093</v>
      </c>
      <c r="AB497">
        <v>0.4012841091492777</v>
      </c>
      <c r="AC497">
        <v>0.9550561797752809</v>
      </c>
      <c r="AD497">
        <v>0.9598715890850723</v>
      </c>
    </row>
    <row r="498" spans="1:30">
      <c r="A498" s="1" t="s">
        <v>505</v>
      </c>
      <c r="B498">
        <f>HYPERLINK("https://www.suredividend.com/sure-analysis-XOM/","Exxon Mobil Corp.")</f>
        <v>0</v>
      </c>
      <c r="C498">
        <v>34.64</v>
      </c>
      <c r="D498">
        <v>146465.8872</v>
      </c>
      <c r="E498" t="s">
        <v>661</v>
      </c>
      <c r="F498" t="s">
        <v>632</v>
      </c>
      <c r="G498" t="s">
        <v>671</v>
      </c>
      <c r="H498" t="s">
        <v>700</v>
      </c>
      <c r="I498" t="s">
        <v>1195</v>
      </c>
      <c r="J498" t="s">
        <v>1317</v>
      </c>
      <c r="K498">
        <v>44050</v>
      </c>
      <c r="L498">
        <v>0.100461893764434</v>
      </c>
      <c r="M498">
        <v>0.0392840960313845</v>
      </c>
      <c r="N498">
        <v>0.08</v>
      </c>
      <c r="O498">
        <v>0.1811894521199962</v>
      </c>
      <c r="P498" t="s">
        <v>586</v>
      </c>
      <c r="Q498" t="s">
        <v>372</v>
      </c>
      <c r="R498">
        <v>37</v>
      </c>
      <c r="S498">
        <v>9.99</v>
      </c>
      <c r="T498">
        <v>42</v>
      </c>
      <c r="U498">
        <v>0.8247619047619048</v>
      </c>
      <c r="V498">
        <v>1.6793</v>
      </c>
      <c r="W498">
        <v>-0.4</v>
      </c>
      <c r="X498">
        <v>3.48</v>
      </c>
      <c r="Y498">
        <v>-0.511906</v>
      </c>
      <c r="Z498">
        <v>0.886138613861386</v>
      </c>
      <c r="AA498">
        <v>0.09951845906902086</v>
      </c>
      <c r="AB498">
        <v>0.8274478330658106</v>
      </c>
      <c r="AC498">
        <v>0.7576243980738363</v>
      </c>
      <c r="AD498">
        <v>0.9582664526484751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2.52</v>
      </c>
      <c r="D499">
        <v>951.91488</v>
      </c>
      <c r="E499" t="s">
        <v>666</v>
      </c>
      <c r="F499" t="s">
        <v>632</v>
      </c>
      <c r="G499" t="s">
        <v>671</v>
      </c>
      <c r="H499" t="s">
        <v>701</v>
      </c>
      <c r="I499" t="s">
        <v>1196</v>
      </c>
      <c r="J499" t="s">
        <v>1323</v>
      </c>
      <c r="K499">
        <v>44050</v>
      </c>
      <c r="L499">
        <v>0.178571428571428</v>
      </c>
      <c r="M499">
        <v>0.09681123419972182</v>
      </c>
      <c r="N499">
        <v>0.01</v>
      </c>
      <c r="O499">
        <v>0.1793400121119357</v>
      </c>
      <c r="P499" t="s">
        <v>586</v>
      </c>
      <c r="Q499" t="s">
        <v>372</v>
      </c>
      <c r="R499">
        <v>0</v>
      </c>
      <c r="S499">
        <v>9.99</v>
      </c>
      <c r="T499">
        <v>4</v>
      </c>
      <c r="U499">
        <v>0.63</v>
      </c>
      <c r="V499">
        <v>-1.0714</v>
      </c>
      <c r="W499">
        <v>-1.4</v>
      </c>
      <c r="X499">
        <v>0.45</v>
      </c>
      <c r="Y499">
        <v>-0.588907</v>
      </c>
      <c r="Z499">
        <v>0.9735973597359735</v>
      </c>
      <c r="AA499">
        <v>0.06260032102728733</v>
      </c>
      <c r="AB499">
        <v>0.08828250401284109</v>
      </c>
      <c r="AC499">
        <v>0.9534510433386838</v>
      </c>
      <c r="AD499">
        <v>0.956661316211878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28.63</v>
      </c>
      <c r="D500">
        <v>18629.42648</v>
      </c>
      <c r="E500" t="s">
        <v>661</v>
      </c>
      <c r="F500" t="s">
        <v>632</v>
      </c>
      <c r="G500" t="s">
        <v>671</v>
      </c>
      <c r="H500" t="s">
        <v>700</v>
      </c>
      <c r="I500" t="s">
        <v>951</v>
      </c>
      <c r="J500" t="s">
        <v>1317</v>
      </c>
      <c r="K500">
        <v>44055</v>
      </c>
      <c r="L500">
        <v>0.077541040866224</v>
      </c>
      <c r="M500">
        <v>0.1134608367611913</v>
      </c>
      <c r="N500">
        <v>0.01</v>
      </c>
      <c r="O500">
        <v>0.1738525262348904</v>
      </c>
      <c r="P500" t="s">
        <v>586</v>
      </c>
      <c r="Q500" t="s">
        <v>446</v>
      </c>
      <c r="R500">
        <v>9</v>
      </c>
      <c r="S500">
        <v>9.99</v>
      </c>
      <c r="T500">
        <v>49</v>
      </c>
      <c r="U500">
        <v>0.5842857142857143</v>
      </c>
      <c r="V500">
        <v>-11.8833</v>
      </c>
      <c r="W500">
        <v>-1.8</v>
      </c>
      <c r="X500">
        <v>2.22</v>
      </c>
      <c r="Y500">
        <v>-0.529421</v>
      </c>
      <c r="Z500">
        <v>0.834983498349835</v>
      </c>
      <c r="AA500">
        <v>0.09149277688603531</v>
      </c>
      <c r="AB500">
        <v>0.08828250401284109</v>
      </c>
      <c r="AC500">
        <v>0.9759229534510433</v>
      </c>
      <c r="AD500">
        <v>0.9486356340288924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43.92</v>
      </c>
      <c r="D501">
        <v>17908.68744</v>
      </c>
      <c r="E501" t="s">
        <v>661</v>
      </c>
      <c r="F501" t="s">
        <v>632</v>
      </c>
      <c r="G501" t="s">
        <v>671</v>
      </c>
      <c r="H501" t="s">
        <v>700</v>
      </c>
      <c r="I501" t="s">
        <v>1197</v>
      </c>
      <c r="J501" t="s">
        <v>1317</v>
      </c>
      <c r="K501">
        <v>44047</v>
      </c>
      <c r="L501">
        <v>0.08561020036429801</v>
      </c>
      <c r="M501">
        <v>0.07138576451424172</v>
      </c>
      <c r="N501">
        <v>0.04</v>
      </c>
      <c r="O501">
        <v>0.1713667978635314</v>
      </c>
      <c r="P501" t="s">
        <v>586</v>
      </c>
      <c r="Q501" t="s">
        <v>446</v>
      </c>
      <c r="R501">
        <v>10</v>
      </c>
      <c r="S501">
        <v>9.99</v>
      </c>
      <c r="T501">
        <v>62</v>
      </c>
      <c r="U501">
        <v>0.7083870967741935</v>
      </c>
      <c r="V501">
        <v>2.5948</v>
      </c>
      <c r="W501">
        <v>-1.8</v>
      </c>
      <c r="X501">
        <v>3.76</v>
      </c>
      <c r="Y501">
        <v>-0.471607</v>
      </c>
      <c r="Z501">
        <v>0.8597359735973598</v>
      </c>
      <c r="AA501">
        <v>0.1219903691813804</v>
      </c>
      <c r="AB501">
        <v>0.4012841091492777</v>
      </c>
      <c r="AC501">
        <v>0.9101123595505618</v>
      </c>
      <c r="AD501">
        <v>0.9422150882825041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95.98</v>
      </c>
      <c r="D502">
        <v>42852.6705</v>
      </c>
      <c r="E502" t="s">
        <v>661</v>
      </c>
      <c r="F502" t="s">
        <v>632</v>
      </c>
      <c r="G502" t="s">
        <v>693</v>
      </c>
      <c r="H502" t="s">
        <v>700</v>
      </c>
      <c r="I502" t="s">
        <v>1198</v>
      </c>
      <c r="J502" t="s">
        <v>1317</v>
      </c>
      <c r="K502">
        <v>44069</v>
      </c>
      <c r="L502">
        <v>0.07811637841216901</v>
      </c>
      <c r="M502">
        <v>-0.1086616288228874</v>
      </c>
      <c r="N502">
        <v>0.25</v>
      </c>
      <c r="O502">
        <v>0.1678863100190351</v>
      </c>
      <c r="P502" t="s">
        <v>586</v>
      </c>
      <c r="Q502" t="s">
        <v>372</v>
      </c>
      <c r="R502">
        <v>0</v>
      </c>
      <c r="S502">
        <v>1.249601666666667</v>
      </c>
      <c r="T502">
        <v>54</v>
      </c>
      <c r="U502">
        <v>1.777407407407408</v>
      </c>
      <c r="V502">
        <v>13.116</v>
      </c>
      <c r="W502">
        <v>6</v>
      </c>
      <c r="X502">
        <v>7.49761</v>
      </c>
      <c r="Y502">
        <v>-0.383003</v>
      </c>
      <c r="Z502">
        <v>0.8382838283828383</v>
      </c>
      <c r="AA502">
        <v>0.2086677367576244</v>
      </c>
      <c r="AB502">
        <v>0.9967897271268058</v>
      </c>
      <c r="AC502">
        <v>0.06260032102728733</v>
      </c>
      <c r="AD502">
        <v>0.9373996789727127</v>
      </c>
    </row>
    <row r="503" spans="1:30">
      <c r="A503" s="1" t="s">
        <v>510</v>
      </c>
      <c r="B503">
        <f>HYPERLINK("https://www.suredividend.com/sure-analysis-IMO/","Imperial Oil Ltd.")</f>
        <v>0</v>
      </c>
      <c r="C503">
        <v>12.29</v>
      </c>
      <c r="D503">
        <v>9021.806329999999</v>
      </c>
      <c r="E503" t="s">
        <v>661</v>
      </c>
      <c r="F503" t="s">
        <v>632</v>
      </c>
      <c r="G503" t="s">
        <v>673</v>
      </c>
      <c r="H503" t="s">
        <v>703</v>
      </c>
      <c r="I503" t="s">
        <v>1199</v>
      </c>
      <c r="J503" t="s">
        <v>1317</v>
      </c>
      <c r="K503">
        <v>44064</v>
      </c>
      <c r="L503">
        <v>0.05334511258245701</v>
      </c>
      <c r="M503">
        <v>0.1022893782972785</v>
      </c>
      <c r="N503">
        <v>0.03</v>
      </c>
      <c r="O503">
        <v>0.167685089780008</v>
      </c>
      <c r="P503" t="s">
        <v>586</v>
      </c>
      <c r="Q503" t="s">
        <v>446</v>
      </c>
      <c r="R503">
        <v>4</v>
      </c>
      <c r="S503">
        <v>9.99</v>
      </c>
      <c r="T503">
        <v>20</v>
      </c>
      <c r="U503">
        <v>0.6144999999999999</v>
      </c>
      <c r="V503">
        <v>-0.009900000000000001</v>
      </c>
      <c r="W503">
        <v>-1.3</v>
      </c>
      <c r="X503">
        <v>0.655611433638408</v>
      </c>
      <c r="Y503">
        <v>-0.5332319999999999</v>
      </c>
      <c r="Z503">
        <v>0.6848184818481848</v>
      </c>
      <c r="AA503">
        <v>0.08828250401284109</v>
      </c>
      <c r="AB503">
        <v>0.2680577849117175</v>
      </c>
      <c r="AC503">
        <v>0.9678972712680577</v>
      </c>
      <c r="AD503">
        <v>0.9341894060995185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71.83</v>
      </c>
      <c r="D504">
        <v>134129.5956</v>
      </c>
      <c r="E504" t="s">
        <v>661</v>
      </c>
      <c r="F504" t="s">
        <v>632</v>
      </c>
      <c r="G504" t="s">
        <v>671</v>
      </c>
      <c r="H504" t="s">
        <v>700</v>
      </c>
      <c r="I504" t="s">
        <v>1200</v>
      </c>
      <c r="J504" t="s">
        <v>1317</v>
      </c>
      <c r="K504">
        <v>44050</v>
      </c>
      <c r="L504">
        <v>0.06905192816371901</v>
      </c>
      <c r="M504">
        <v>-0.008006914811720667</v>
      </c>
      <c r="N504">
        <v>0.13</v>
      </c>
      <c r="O504">
        <v>0.164327747848068</v>
      </c>
      <c r="P504" t="s">
        <v>586</v>
      </c>
      <c r="Q504" t="s">
        <v>446</v>
      </c>
      <c r="R504">
        <v>33</v>
      </c>
      <c r="S504">
        <v>9.99</v>
      </c>
      <c r="T504">
        <v>69</v>
      </c>
      <c r="U504">
        <v>1.041014492753623</v>
      </c>
      <c r="V504">
        <v>-4.6882</v>
      </c>
      <c r="W504">
        <v>-0.7</v>
      </c>
      <c r="X504">
        <v>4.96</v>
      </c>
      <c r="Y504">
        <v>-0.402214</v>
      </c>
      <c r="Z504">
        <v>0.8003300330033004</v>
      </c>
      <c r="AA504">
        <v>0.1797752808988764</v>
      </c>
      <c r="AB504">
        <v>0.9646869983948636</v>
      </c>
      <c r="AC504">
        <v>0.507223113964687</v>
      </c>
      <c r="AD504">
        <v>0.92776886035313</v>
      </c>
    </row>
    <row r="505" spans="1:30">
      <c r="A505" s="1" t="s">
        <v>512</v>
      </c>
      <c r="B505">
        <f>HYPERLINK("https://www.suredividend.com/sure-analysis-CMA/","Comerica, Inc.")</f>
        <v>0</v>
      </c>
      <c r="C505">
        <v>37.3</v>
      </c>
      <c r="D505">
        <v>5186.1547</v>
      </c>
      <c r="E505" t="s">
        <v>660</v>
      </c>
      <c r="F505" t="s">
        <v>632</v>
      </c>
      <c r="G505" t="s">
        <v>671</v>
      </c>
      <c r="H505" t="s">
        <v>700</v>
      </c>
      <c r="I505" t="s">
        <v>1201</v>
      </c>
      <c r="J505" t="s">
        <v>1313</v>
      </c>
      <c r="K505">
        <v>44035</v>
      </c>
      <c r="L505">
        <v>0.072386058981233</v>
      </c>
      <c r="M505">
        <v>0.08076375495590482</v>
      </c>
      <c r="N505">
        <v>0.03</v>
      </c>
      <c r="O505">
        <v>0.1608341808031555</v>
      </c>
      <c r="P505" t="s">
        <v>586</v>
      </c>
      <c r="Q505" t="s">
        <v>446</v>
      </c>
      <c r="R505">
        <v>11</v>
      </c>
      <c r="S505">
        <v>1.8</v>
      </c>
      <c r="T505">
        <v>55</v>
      </c>
      <c r="U505">
        <v>0.6781818181818181</v>
      </c>
      <c r="V505">
        <v>4.1966</v>
      </c>
      <c r="W505">
        <v>1.5</v>
      </c>
      <c r="X505">
        <v>2.7</v>
      </c>
      <c r="Y505">
        <v>-0.425977</v>
      </c>
      <c r="Z505">
        <v>0.8102310231023102</v>
      </c>
      <c r="AA505">
        <v>0.1621187800963082</v>
      </c>
      <c r="AB505">
        <v>0.2680577849117175</v>
      </c>
      <c r="AC505">
        <v>0.92776886035313</v>
      </c>
      <c r="AD505">
        <v>0.9197431781701445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6.76</v>
      </c>
      <c r="D506">
        <v>1081.296733</v>
      </c>
      <c r="E506" t="s">
        <v>661</v>
      </c>
      <c r="F506" t="s">
        <v>634</v>
      </c>
      <c r="G506" t="s">
        <v>671</v>
      </c>
      <c r="H506" t="s">
        <v>700</v>
      </c>
      <c r="I506" t="s">
        <v>1202</v>
      </c>
      <c r="J506" t="s">
        <v>1323</v>
      </c>
      <c r="K506">
        <v>44067</v>
      </c>
      <c r="L506">
        <v>0.40680473372781</v>
      </c>
      <c r="M506">
        <v>0.1216230094657016</v>
      </c>
      <c r="N506">
        <v>-0.02</v>
      </c>
      <c r="O506">
        <v>0.1599998947690058</v>
      </c>
      <c r="P506" t="s">
        <v>586</v>
      </c>
      <c r="Q506" t="s">
        <v>637</v>
      </c>
      <c r="R506">
        <v>0</v>
      </c>
      <c r="S506">
        <v>1.145833333333333</v>
      </c>
      <c r="T506">
        <v>12</v>
      </c>
      <c r="U506">
        <v>0.5633333333333334</v>
      </c>
      <c r="V506">
        <v>0.6525000000000001</v>
      </c>
      <c r="W506">
        <v>2.4</v>
      </c>
      <c r="X506">
        <v>2.75</v>
      </c>
      <c r="Y506">
        <v>-0.790323</v>
      </c>
      <c r="Z506">
        <v>0.9966996699669967</v>
      </c>
      <c r="AA506">
        <v>0.006420545746388443</v>
      </c>
      <c r="AB506">
        <v>0.01845906902086678</v>
      </c>
      <c r="AC506">
        <v>0.9839486356340289</v>
      </c>
      <c r="AD506">
        <v>0.9181380417335474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8.82</v>
      </c>
      <c r="D507">
        <v>8972.674199999999</v>
      </c>
      <c r="E507" t="s">
        <v>660</v>
      </c>
      <c r="F507" t="s">
        <v>632</v>
      </c>
      <c r="G507" t="s">
        <v>671</v>
      </c>
      <c r="H507" t="s">
        <v>701</v>
      </c>
      <c r="I507" t="s">
        <v>1203</v>
      </c>
      <c r="J507" t="s">
        <v>1313</v>
      </c>
      <c r="K507">
        <v>44042</v>
      </c>
      <c r="L507">
        <v>0.06802721088435301</v>
      </c>
      <c r="M507">
        <v>0.06351233698603864</v>
      </c>
      <c r="N507">
        <v>0.04</v>
      </c>
      <c r="O507">
        <v>0.1527216241309621</v>
      </c>
      <c r="P507" t="s">
        <v>586</v>
      </c>
      <c r="Q507" t="s">
        <v>446</v>
      </c>
      <c r="R507">
        <v>10</v>
      </c>
      <c r="S507">
        <v>1.5</v>
      </c>
      <c r="T507">
        <v>12</v>
      </c>
      <c r="U507">
        <v>0.735</v>
      </c>
      <c r="V507">
        <v>0.7901</v>
      </c>
      <c r="W507">
        <v>0.4</v>
      </c>
      <c r="X507">
        <v>0.6000000000000001</v>
      </c>
      <c r="Y507">
        <v>-0.381053</v>
      </c>
      <c r="Z507">
        <v>0.7937293729372938</v>
      </c>
      <c r="AA507">
        <v>0.2166934189406099</v>
      </c>
      <c r="AB507">
        <v>0.4012841091492777</v>
      </c>
      <c r="AC507">
        <v>0.8828250401284109</v>
      </c>
      <c r="AD507">
        <v>0.9036918138041733</v>
      </c>
    </row>
    <row r="508" spans="1:30">
      <c r="A508" s="1" t="s">
        <v>515</v>
      </c>
      <c r="B508">
        <f>HYPERLINK("https://www.suredividend.com/sure-analysis-OXY/","Occidental Petroleum Corp.")</f>
        <v>0</v>
      </c>
      <c r="C508">
        <v>10.22</v>
      </c>
      <c r="D508">
        <v>9506.051240000001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1317</v>
      </c>
      <c r="K508">
        <v>44067</v>
      </c>
      <c r="L508">
        <v>0.232876712328767</v>
      </c>
      <c r="M508">
        <v>0.1198615197969346</v>
      </c>
      <c r="N508">
        <v>0.02</v>
      </c>
      <c r="O508">
        <v>0.1478995852988318</v>
      </c>
      <c r="P508" t="s">
        <v>586</v>
      </c>
      <c r="Q508" t="s">
        <v>372</v>
      </c>
      <c r="R508">
        <v>0</v>
      </c>
      <c r="S508">
        <v>9.99</v>
      </c>
      <c r="T508">
        <v>18</v>
      </c>
      <c r="U508">
        <v>0.5677777777777778</v>
      </c>
      <c r="V508">
        <v>-14.1866</v>
      </c>
      <c r="W508">
        <v>-4</v>
      </c>
      <c r="X508">
        <v>2.38</v>
      </c>
      <c r="Y508">
        <v>-0.7746419999999999</v>
      </c>
      <c r="Z508">
        <v>0.9900990099009901</v>
      </c>
      <c r="AA508">
        <v>0.01123595505617978</v>
      </c>
      <c r="AB508">
        <v>0.1613162118780096</v>
      </c>
      <c r="AC508">
        <v>0.9823434991974318</v>
      </c>
      <c r="AD508">
        <v>0.8940609951845907</v>
      </c>
    </row>
    <row r="509" spans="1:30">
      <c r="A509" s="1" t="s">
        <v>516</v>
      </c>
      <c r="B509">
        <f>HYPERLINK("https://www.suredividend.com/sure-analysis-APLE/","Apple Hospitality REIT, Inc.")</f>
        <v>0</v>
      </c>
      <c r="C509">
        <v>9.48</v>
      </c>
      <c r="D509">
        <v>2116.16352</v>
      </c>
      <c r="E509" t="s">
        <v>669</v>
      </c>
      <c r="F509" t="s">
        <v>634</v>
      </c>
      <c r="G509" t="s">
        <v>671</v>
      </c>
      <c r="H509" t="s">
        <v>700</v>
      </c>
      <c r="I509" t="s">
        <v>1205</v>
      </c>
      <c r="J509" t="s">
        <v>1323</v>
      </c>
      <c r="K509">
        <v>43998</v>
      </c>
      <c r="L509">
        <v>0.063291139240506</v>
      </c>
      <c r="M509">
        <v>0.06518980957996523</v>
      </c>
      <c r="N509">
        <v>0.039</v>
      </c>
      <c r="O509">
        <v>0.1438464260347037</v>
      </c>
      <c r="P509" t="s">
        <v>586</v>
      </c>
      <c r="Q509" t="s">
        <v>446</v>
      </c>
      <c r="R509">
        <v>0</v>
      </c>
      <c r="S509">
        <v>3</v>
      </c>
      <c r="T509">
        <v>13</v>
      </c>
      <c r="U509">
        <v>0.7292307692307692</v>
      </c>
      <c r="V509">
        <v>-0.0427</v>
      </c>
      <c r="W509">
        <v>0.2</v>
      </c>
      <c r="X509">
        <v>0.6000000000000001</v>
      </c>
      <c r="Y509">
        <v>-0.421599</v>
      </c>
      <c r="Z509">
        <v>0.7607260726072608</v>
      </c>
      <c r="AA509">
        <v>0.1653290529695024</v>
      </c>
      <c r="AB509">
        <v>0.3531300160513643</v>
      </c>
      <c r="AC509">
        <v>0.8892455858747994</v>
      </c>
      <c r="AD509">
        <v>0.8780096308186195</v>
      </c>
    </row>
    <row r="510" spans="1:30">
      <c r="A510" s="1" t="s">
        <v>517</v>
      </c>
      <c r="B510">
        <f>HYPERLINK("https://www.suredividend.com/sure-analysis-BKR/","Baker Hughes Co.")</f>
        <v>0</v>
      </c>
      <c r="C510">
        <v>13.13</v>
      </c>
      <c r="D510">
        <v>13573.174842</v>
      </c>
      <c r="E510" t="s">
        <v>661</v>
      </c>
      <c r="F510" t="s">
        <v>632</v>
      </c>
      <c r="G510" t="s">
        <v>671</v>
      </c>
      <c r="H510" t="s">
        <v>700</v>
      </c>
      <c r="I510" t="s">
        <v>1206</v>
      </c>
      <c r="J510" t="s">
        <v>1317</v>
      </c>
      <c r="K510">
        <v>44057</v>
      </c>
      <c r="L510">
        <v>0.05483625285605401</v>
      </c>
      <c r="M510">
        <v>-0.00198808730186284</v>
      </c>
      <c r="N510">
        <v>0.11</v>
      </c>
      <c r="O510">
        <v>0.1420225908877695</v>
      </c>
      <c r="P510" t="s">
        <v>586</v>
      </c>
      <c r="Q510" t="s">
        <v>446</v>
      </c>
      <c r="R510">
        <v>0</v>
      </c>
      <c r="S510">
        <v>3.6</v>
      </c>
      <c r="T510">
        <v>13</v>
      </c>
      <c r="U510">
        <v>1.01</v>
      </c>
      <c r="V510">
        <v>-15.7626</v>
      </c>
      <c r="W510">
        <v>0.2</v>
      </c>
      <c r="X510">
        <v>0.72</v>
      </c>
      <c r="Y510">
        <v>-0.451316</v>
      </c>
      <c r="Z510">
        <v>0.7046204620462047</v>
      </c>
      <c r="AA510">
        <v>0.1412520064205458</v>
      </c>
      <c r="AB510">
        <v>0.9414125200642054</v>
      </c>
      <c r="AC510">
        <v>0.5489566613162119</v>
      </c>
      <c r="AD510">
        <v>0.8651685393258427</v>
      </c>
    </row>
    <row r="511" spans="1:30">
      <c r="A511" s="1" t="s">
        <v>518</v>
      </c>
      <c r="B511">
        <f>HYPERLINK("https://www.suredividend.com/sure-analysis-CIM/","Chimera Investment Corp.")</f>
        <v>0</v>
      </c>
      <c r="C511">
        <v>8.76</v>
      </c>
      <c r="D511">
        <v>2032.50396</v>
      </c>
      <c r="E511" t="s">
        <v>661</v>
      </c>
      <c r="F511" t="s">
        <v>632</v>
      </c>
      <c r="G511" t="s">
        <v>671</v>
      </c>
      <c r="H511" t="s">
        <v>700</v>
      </c>
      <c r="I511" t="s">
        <v>1207</v>
      </c>
      <c r="J511" t="s">
        <v>1323</v>
      </c>
      <c r="K511">
        <v>44068</v>
      </c>
      <c r="L511">
        <v>0.205479452054794</v>
      </c>
      <c r="M511">
        <v>0.04468288168190782</v>
      </c>
      <c r="N511">
        <v>0</v>
      </c>
      <c r="O511">
        <v>0.1404507094008658</v>
      </c>
      <c r="P511" t="s">
        <v>586</v>
      </c>
      <c r="Q511" t="s">
        <v>637</v>
      </c>
      <c r="R511">
        <v>0</v>
      </c>
      <c r="S511">
        <v>1.285714285714286</v>
      </c>
      <c r="T511">
        <v>10.9</v>
      </c>
      <c r="U511">
        <v>0.8036697247706421</v>
      </c>
      <c r="V511">
        <v>-1.382</v>
      </c>
      <c r="W511">
        <v>1.4</v>
      </c>
      <c r="X511">
        <v>1.8</v>
      </c>
      <c r="Y511">
        <v>-0.5546519999999999</v>
      </c>
      <c r="Z511">
        <v>0.9834983498349835</v>
      </c>
      <c r="AA511">
        <v>0.0738362760834671</v>
      </c>
      <c r="AB511">
        <v>0.04895666131621188</v>
      </c>
      <c r="AC511">
        <v>0.8041733547351525</v>
      </c>
      <c r="AD511">
        <v>0.8603531300160513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9.050000000000001</v>
      </c>
      <c r="D512">
        <v>230.5759</v>
      </c>
      <c r="E512" t="s">
        <v>669</v>
      </c>
      <c r="F512" t="s">
        <v>633</v>
      </c>
      <c r="G512" t="s">
        <v>671</v>
      </c>
      <c r="H512" t="s">
        <v>701</v>
      </c>
      <c r="I512" t="s">
        <v>1208</v>
      </c>
      <c r="J512" t="s">
        <v>1323</v>
      </c>
      <c r="K512">
        <v>44012</v>
      </c>
      <c r="L512">
        <v>0.143922651933701</v>
      </c>
      <c r="M512">
        <v>0.03979762515132412</v>
      </c>
      <c r="N512">
        <v>0.025</v>
      </c>
      <c r="O512">
        <v>0.1402679571071284</v>
      </c>
      <c r="P512" t="s">
        <v>586</v>
      </c>
      <c r="Q512" t="s">
        <v>372</v>
      </c>
      <c r="R512">
        <v>0</v>
      </c>
      <c r="S512">
        <v>1.3025</v>
      </c>
      <c r="T512">
        <v>11</v>
      </c>
      <c r="U512">
        <v>0.8227272727272728</v>
      </c>
      <c r="V512">
        <v>-0.2439</v>
      </c>
      <c r="W512">
        <v>1</v>
      </c>
      <c r="X512">
        <v>1.3025</v>
      </c>
      <c r="Y512">
        <v>-0.476273</v>
      </c>
      <c r="Z512">
        <v>0.9504950495049505</v>
      </c>
      <c r="AA512">
        <v>0.1187800963081862</v>
      </c>
      <c r="AB512">
        <v>0.2054574638844302</v>
      </c>
      <c r="AC512">
        <v>0.7624398073836276</v>
      </c>
      <c r="AD512">
        <v>0.8571428571428571</v>
      </c>
    </row>
    <row r="513" spans="1:30">
      <c r="A513" s="1" t="s">
        <v>520</v>
      </c>
      <c r="B513">
        <f>HYPERLINK("https://www.suredividend.com/sure-analysis-CRT/","Cross Timbers Royalty Trust")</f>
        <v>0</v>
      </c>
      <c r="C513">
        <v>5.81</v>
      </c>
      <c r="D513">
        <v>34.86</v>
      </c>
      <c r="E513" t="s">
        <v>661</v>
      </c>
      <c r="F513" t="s">
        <v>632</v>
      </c>
      <c r="G513" t="s">
        <v>671</v>
      </c>
      <c r="H513" t="s">
        <v>700</v>
      </c>
      <c r="J513" t="s">
        <v>1317</v>
      </c>
      <c r="K513">
        <v>44069</v>
      </c>
      <c r="L513">
        <v>0.154101721170395</v>
      </c>
      <c r="M513">
        <v>0.01632564293957728</v>
      </c>
      <c r="N513">
        <v>0.04</v>
      </c>
      <c r="O513">
        <v>0.1396133362894019</v>
      </c>
      <c r="P513" t="s">
        <v>586</v>
      </c>
      <c r="Q513" t="s">
        <v>637</v>
      </c>
      <c r="R513">
        <v>0</v>
      </c>
      <c r="S513">
        <v>1.209906756756757</v>
      </c>
      <c r="T513">
        <v>6.3</v>
      </c>
      <c r="U513">
        <v>0.9222222222222223</v>
      </c>
      <c r="V513">
        <v>0.8953000000000001</v>
      </c>
      <c r="W513">
        <v>0.74</v>
      </c>
      <c r="X513">
        <v>0.895331</v>
      </c>
      <c r="Y513">
        <v>-0.360604</v>
      </c>
      <c r="Z513">
        <v>0.9603960396039604</v>
      </c>
      <c r="AA513">
        <v>0.2423756019261637</v>
      </c>
      <c r="AB513">
        <v>0.4012841091492777</v>
      </c>
      <c r="AC513">
        <v>0.6452648475120385</v>
      </c>
      <c r="AD513">
        <v>0.853932584269663</v>
      </c>
    </row>
    <row r="514" spans="1:30">
      <c r="A514" s="1" t="s">
        <v>521</v>
      </c>
      <c r="B514">
        <f>HYPERLINK("https://www.suredividend.com/sure-analysis-PACW/","PacWest Bancorp")</f>
        <v>0</v>
      </c>
      <c r="C514">
        <v>16.19</v>
      </c>
      <c r="D514">
        <v>1890.1825</v>
      </c>
      <c r="E514" t="s">
        <v>666</v>
      </c>
      <c r="F514" t="s">
        <v>632</v>
      </c>
      <c r="G514" t="s">
        <v>671</v>
      </c>
      <c r="H514" t="s">
        <v>701</v>
      </c>
      <c r="I514" t="s">
        <v>1209</v>
      </c>
      <c r="J514" t="s">
        <v>1313</v>
      </c>
      <c r="K514">
        <v>44034</v>
      </c>
      <c r="L514">
        <v>0.1266213712168</v>
      </c>
      <c r="M514">
        <v>0.09078368115024116</v>
      </c>
      <c r="N514">
        <v>0</v>
      </c>
      <c r="O514">
        <v>0.1373540584263522</v>
      </c>
      <c r="P514" t="s">
        <v>586</v>
      </c>
      <c r="Q514" t="s">
        <v>637</v>
      </c>
      <c r="R514">
        <v>0</v>
      </c>
      <c r="S514">
        <v>1.025</v>
      </c>
      <c r="T514">
        <v>25</v>
      </c>
      <c r="U514">
        <v>0.6476000000000001</v>
      </c>
      <c r="V514">
        <v>-10.042</v>
      </c>
      <c r="W514">
        <v>2</v>
      </c>
      <c r="X514">
        <v>2.05</v>
      </c>
      <c r="Y514">
        <v>-0.550527</v>
      </c>
      <c r="Z514">
        <v>0.9323432343234324</v>
      </c>
      <c r="AA514">
        <v>0.07544141252006421</v>
      </c>
      <c r="AB514">
        <v>0.04895666131621188</v>
      </c>
      <c r="AC514">
        <v>0.9422150882825041</v>
      </c>
      <c r="AD514">
        <v>0.8443017656500803</v>
      </c>
    </row>
    <row r="515" spans="1:30">
      <c r="A515" s="1" t="s">
        <v>522</v>
      </c>
      <c r="B515">
        <f>HYPERLINK("https://www.suredividend.com/sure-analysis-OLN/","Olin Corp.")</f>
        <v>0</v>
      </c>
      <c r="C515">
        <v>12.11</v>
      </c>
      <c r="D515">
        <v>1911.70882</v>
      </c>
      <c r="E515" t="s">
        <v>665</v>
      </c>
      <c r="F515" t="s">
        <v>632</v>
      </c>
      <c r="G515" t="s">
        <v>671</v>
      </c>
      <c r="H515" t="s">
        <v>700</v>
      </c>
      <c r="I515" t="s">
        <v>1210</v>
      </c>
      <c r="J515" t="s">
        <v>1322</v>
      </c>
      <c r="K515">
        <v>44074</v>
      </c>
      <c r="L515">
        <v>0.066061106523534</v>
      </c>
      <c r="M515">
        <v>0.07019016533866718</v>
      </c>
      <c r="N515">
        <v>0.02</v>
      </c>
      <c r="O515">
        <v>0.1345963659020675</v>
      </c>
      <c r="P515" t="s">
        <v>586</v>
      </c>
      <c r="Q515" t="s">
        <v>446</v>
      </c>
      <c r="R515">
        <v>0</v>
      </c>
      <c r="S515">
        <v>9.99</v>
      </c>
      <c r="T515">
        <v>17</v>
      </c>
      <c r="U515">
        <v>0.7123529411764705</v>
      </c>
      <c r="V515">
        <v>-1.4826</v>
      </c>
      <c r="W515">
        <v>-1.5</v>
      </c>
      <c r="X515">
        <v>0.8</v>
      </c>
      <c r="Y515">
        <v>-0.348224</v>
      </c>
      <c r="Z515">
        <v>0.7755775577557756</v>
      </c>
      <c r="AA515">
        <v>0.260032102728732</v>
      </c>
      <c r="AB515">
        <v>0.1613162118780096</v>
      </c>
      <c r="AC515">
        <v>0.9036918138041733</v>
      </c>
      <c r="AD515">
        <v>0.8330658105939005</v>
      </c>
    </row>
    <row r="516" spans="1:30">
      <c r="A516" s="1" t="s">
        <v>523</v>
      </c>
      <c r="B516">
        <f>HYPERLINK("https://www.suredividend.com/sure-analysis-INN/","Summit Hotel Properties, Inc.")</f>
        <v>0</v>
      </c>
      <c r="C516">
        <v>4.94</v>
      </c>
      <c r="D516">
        <v>523.009863</v>
      </c>
      <c r="E516" t="s">
        <v>669</v>
      </c>
      <c r="F516" t="s">
        <v>634</v>
      </c>
      <c r="G516" t="s">
        <v>671</v>
      </c>
      <c r="H516" t="s">
        <v>700</v>
      </c>
      <c r="I516" t="s">
        <v>1211</v>
      </c>
      <c r="J516" t="s">
        <v>1323</v>
      </c>
      <c r="K516">
        <v>43978</v>
      </c>
      <c r="L516">
        <v>0.072874493927125</v>
      </c>
      <c r="M516">
        <v>0.03964449980411033</v>
      </c>
      <c r="N516">
        <v>0.046</v>
      </c>
      <c r="O516">
        <v>0.1335248378528271</v>
      </c>
      <c r="P516" t="s">
        <v>586</v>
      </c>
      <c r="Q516" t="s">
        <v>446</v>
      </c>
      <c r="R516">
        <v>0</v>
      </c>
      <c r="S516">
        <v>7.199999999999999</v>
      </c>
      <c r="T516">
        <v>6</v>
      </c>
      <c r="U516">
        <v>0.8233333333333334</v>
      </c>
      <c r="V516">
        <v>-0.5755</v>
      </c>
      <c r="W516">
        <v>0.05</v>
      </c>
      <c r="X516">
        <v>0.36</v>
      </c>
      <c r="Y516">
        <v>-0.577417</v>
      </c>
      <c r="Z516">
        <v>0.8118811881188118</v>
      </c>
      <c r="AA516">
        <v>0.06902086677367576</v>
      </c>
      <c r="AB516">
        <v>0.4614767255216693</v>
      </c>
      <c r="AC516">
        <v>0.7592295345104334</v>
      </c>
      <c r="AD516">
        <v>0.8298555377207063</v>
      </c>
    </row>
    <row r="517" spans="1:30">
      <c r="A517" s="1" t="s">
        <v>524</v>
      </c>
      <c r="B517">
        <f>HYPERLINK("https://www.suredividend.com/sure-analysis-COP/","ConocoPhillips")</f>
        <v>0</v>
      </c>
      <c r="C517">
        <v>33.7</v>
      </c>
      <c r="D517">
        <v>36145.609</v>
      </c>
      <c r="E517" t="s">
        <v>661</v>
      </c>
      <c r="F517" t="s">
        <v>632</v>
      </c>
      <c r="G517" t="s">
        <v>671</v>
      </c>
      <c r="H517" t="s">
        <v>700</v>
      </c>
      <c r="I517" t="s">
        <v>1212</v>
      </c>
      <c r="J517" t="s">
        <v>1317</v>
      </c>
      <c r="K517">
        <v>44056</v>
      </c>
      <c r="L517">
        <v>0.046439169139465</v>
      </c>
      <c r="M517">
        <v>0.007598770053559356</v>
      </c>
      <c r="N517">
        <v>0.09</v>
      </c>
      <c r="O517">
        <v>0.1318808626387546</v>
      </c>
      <c r="P517" t="s">
        <v>586</v>
      </c>
      <c r="Q517" t="s">
        <v>446</v>
      </c>
      <c r="R517">
        <v>4</v>
      </c>
      <c r="S517">
        <v>9.99</v>
      </c>
      <c r="T517">
        <v>35</v>
      </c>
      <c r="U517">
        <v>0.962857142857143</v>
      </c>
      <c r="V517">
        <v>2.052</v>
      </c>
      <c r="W517">
        <v>-0.9</v>
      </c>
      <c r="X517">
        <v>1.565</v>
      </c>
      <c r="Y517">
        <v>-0.415742</v>
      </c>
      <c r="Z517">
        <v>0.6188118811881188</v>
      </c>
      <c r="AA517">
        <v>0.1701444622792937</v>
      </c>
      <c r="AB517">
        <v>0.8780096308186195</v>
      </c>
      <c r="AC517">
        <v>0.6003210272873194</v>
      </c>
      <c r="AD517">
        <v>0.8218298555377207</v>
      </c>
    </row>
    <row r="518" spans="1:30">
      <c r="A518" s="1" t="s">
        <v>525</v>
      </c>
      <c r="B518">
        <f>HYPERLINK("https://www.suredividend.com/sure-analysis-PBT/","Permian Basin Royalty Trust")</f>
        <v>0</v>
      </c>
      <c r="C518">
        <v>2.61</v>
      </c>
      <c r="D518">
        <v>121.64949</v>
      </c>
      <c r="E518" t="s">
        <v>661</v>
      </c>
      <c r="F518" t="s">
        <v>632</v>
      </c>
      <c r="G518" t="s">
        <v>671</v>
      </c>
      <c r="H518" t="s">
        <v>700</v>
      </c>
      <c r="J518" t="s">
        <v>1317</v>
      </c>
      <c r="K518">
        <v>44082</v>
      </c>
      <c r="L518">
        <v>0.153949425287356</v>
      </c>
      <c r="M518">
        <v>0.01846264619397853</v>
      </c>
      <c r="N518">
        <v>0.06</v>
      </c>
      <c r="O518">
        <v>0.131301890968879</v>
      </c>
      <c r="P518" t="s">
        <v>586</v>
      </c>
      <c r="Q518" t="s">
        <v>372</v>
      </c>
      <c r="R518">
        <v>0</v>
      </c>
      <c r="S518">
        <v>1.8264</v>
      </c>
      <c r="T518">
        <v>2.86</v>
      </c>
      <c r="U518">
        <v>0.9125874125874126</v>
      </c>
      <c r="V518">
        <v>0.4018</v>
      </c>
      <c r="W518">
        <v>0.22</v>
      </c>
      <c r="X518">
        <v>0.401808</v>
      </c>
      <c r="Y518">
        <v>-0.49904</v>
      </c>
      <c r="Z518">
        <v>0.9587458745874587</v>
      </c>
      <c r="AA518">
        <v>0.1043338683788122</v>
      </c>
      <c r="AB518">
        <v>0.6597110754414125</v>
      </c>
      <c r="AC518">
        <v>0.6565008025682182</v>
      </c>
      <c r="AD518">
        <v>0.8202247191011236</v>
      </c>
    </row>
    <row r="519" spans="1:30">
      <c r="A519" s="1" t="s">
        <v>526</v>
      </c>
      <c r="B519">
        <f>HYPERLINK("https://www.suredividend.com/sure-analysis-CNQ/","Canadian Natural Resources Ltd.")</f>
        <v>0</v>
      </c>
      <c r="C519">
        <v>16.15</v>
      </c>
      <c r="D519">
        <v>19073.796</v>
      </c>
      <c r="E519" t="s">
        <v>661</v>
      </c>
      <c r="F519" t="s">
        <v>632</v>
      </c>
      <c r="G519" t="s">
        <v>673</v>
      </c>
      <c r="H519" t="s">
        <v>700</v>
      </c>
      <c r="J519" t="s">
        <v>1317</v>
      </c>
      <c r="K519">
        <v>44075</v>
      </c>
      <c r="L519">
        <v>0.07373266747962601</v>
      </c>
      <c r="M519">
        <v>-0.01466537009636038</v>
      </c>
      <c r="N519">
        <v>0.1</v>
      </c>
      <c r="O519">
        <v>0.1289475209047322</v>
      </c>
      <c r="P519" t="s">
        <v>586</v>
      </c>
      <c r="Q519" t="s">
        <v>446</v>
      </c>
      <c r="R519">
        <v>4</v>
      </c>
      <c r="S519">
        <v>9.99</v>
      </c>
      <c r="T519">
        <v>15</v>
      </c>
      <c r="U519">
        <v>1.076666666666667</v>
      </c>
      <c r="V519">
        <v>0.0427</v>
      </c>
      <c r="W519">
        <v>-1</v>
      </c>
      <c r="X519">
        <v>1.19078257979596</v>
      </c>
      <c r="Y519">
        <v>-0.395358</v>
      </c>
      <c r="Z519">
        <v>0.8184818481848185</v>
      </c>
      <c r="AA519">
        <v>0.1878009630818619</v>
      </c>
      <c r="AB519">
        <v>0.9165329052969503</v>
      </c>
      <c r="AC519">
        <v>0.4735152487961476</v>
      </c>
      <c r="AD519">
        <v>0.8073836276083468</v>
      </c>
    </row>
    <row r="520" spans="1:30">
      <c r="A520" s="1" t="s">
        <v>527</v>
      </c>
      <c r="B520">
        <f>HYPERLINK("https://www.suredividend.com/sure-analysis-WSR/","Whitestone REIT")</f>
        <v>0</v>
      </c>
      <c r="C520">
        <v>5.89</v>
      </c>
      <c r="D520">
        <v>249.409694</v>
      </c>
      <c r="E520" t="s">
        <v>670</v>
      </c>
      <c r="F520" t="s">
        <v>634</v>
      </c>
      <c r="G520" t="s">
        <v>671</v>
      </c>
      <c r="H520" t="s">
        <v>700</v>
      </c>
      <c r="I520" t="s">
        <v>1213</v>
      </c>
      <c r="J520" t="s">
        <v>1323</v>
      </c>
      <c r="K520">
        <v>44063</v>
      </c>
      <c r="L520">
        <v>0.132427843803056</v>
      </c>
      <c r="M520">
        <v>0.06315096675749388</v>
      </c>
      <c r="N520">
        <v>0</v>
      </c>
      <c r="O520">
        <v>0.1250085769522831</v>
      </c>
      <c r="P520" t="s">
        <v>586</v>
      </c>
      <c r="Q520" t="s">
        <v>372</v>
      </c>
      <c r="R520">
        <v>0</v>
      </c>
      <c r="S520">
        <v>1.164179104477612</v>
      </c>
      <c r="T520">
        <v>8</v>
      </c>
      <c r="U520">
        <v>0.73625</v>
      </c>
      <c r="V520">
        <v>0.4814000000000001</v>
      </c>
      <c r="W520">
        <v>0.67</v>
      </c>
      <c r="X520">
        <v>0.78</v>
      </c>
      <c r="Y520">
        <v>-0.5700729999999999</v>
      </c>
      <c r="Z520">
        <v>0.9356435643564356</v>
      </c>
      <c r="AA520">
        <v>0.07062600321027288</v>
      </c>
      <c r="AB520">
        <v>0.04895666131621188</v>
      </c>
      <c r="AC520">
        <v>0.8796147672552166</v>
      </c>
      <c r="AD520">
        <v>0.7961476725521669</v>
      </c>
    </row>
    <row r="521" spans="1:30">
      <c r="A521" s="1" t="s">
        <v>528</v>
      </c>
      <c r="B521">
        <f>HYPERLINK("https://www.suredividend.com/sure-analysis-PTR/","PetroChina Co., Ltd.")</f>
        <v>0</v>
      </c>
      <c r="C521">
        <v>30.34</v>
      </c>
      <c r="D521">
        <v>6401.40626</v>
      </c>
      <c r="E521" t="s">
        <v>661</v>
      </c>
      <c r="F521" t="s">
        <v>632</v>
      </c>
      <c r="G521" t="s">
        <v>672</v>
      </c>
      <c r="H521" t="s">
        <v>700</v>
      </c>
      <c r="J521" t="s">
        <v>1317</v>
      </c>
      <c r="K521">
        <v>44075</v>
      </c>
      <c r="L521">
        <v>0.063795418589321</v>
      </c>
      <c r="M521">
        <v>0.01071073942919298</v>
      </c>
      <c r="N521">
        <v>0.07000000000000001</v>
      </c>
      <c r="O521">
        <v>0.1246867588479501</v>
      </c>
      <c r="P521" t="s">
        <v>586</v>
      </c>
      <c r="Q521" t="s">
        <v>446</v>
      </c>
      <c r="R521">
        <v>0</v>
      </c>
      <c r="S521">
        <v>9.99</v>
      </c>
      <c r="T521">
        <v>32</v>
      </c>
      <c r="U521">
        <v>0.948125</v>
      </c>
      <c r="V521">
        <v>-0.9898</v>
      </c>
      <c r="W521">
        <v>-0.7</v>
      </c>
      <c r="X521">
        <v>1.935553</v>
      </c>
      <c r="Y521">
        <v>-0.399208</v>
      </c>
      <c r="Z521">
        <v>0.764026402640264</v>
      </c>
      <c r="AA521">
        <v>0.1813804173354735</v>
      </c>
      <c r="AB521">
        <v>0.7504012841091493</v>
      </c>
      <c r="AC521">
        <v>0.6260032102728732</v>
      </c>
      <c r="AD521">
        <v>0.7945425361155698</v>
      </c>
    </row>
    <row r="522" spans="1:30">
      <c r="A522" s="1" t="s">
        <v>529</v>
      </c>
      <c r="B522">
        <f>HYPERLINK("https://www.suredividend.com/sure-analysis-LUV/","Southwest Airlines Co.")</f>
        <v>0</v>
      </c>
      <c r="C522">
        <v>37.1</v>
      </c>
      <c r="D522">
        <v>21884.2512</v>
      </c>
      <c r="E522" t="s">
        <v>666</v>
      </c>
      <c r="F522" t="s">
        <v>632</v>
      </c>
      <c r="G522" t="s">
        <v>671</v>
      </c>
      <c r="H522" t="s">
        <v>700</v>
      </c>
      <c r="I522" t="s">
        <v>1214</v>
      </c>
      <c r="J522" t="s">
        <v>1319</v>
      </c>
      <c r="K522">
        <v>44040</v>
      </c>
      <c r="L522">
        <v>0.009703504043126001</v>
      </c>
      <c r="M522">
        <v>0.03470310744903027</v>
      </c>
      <c r="N522">
        <v>0.08</v>
      </c>
      <c r="O522">
        <v>0.1237966013328251</v>
      </c>
      <c r="P522" t="s">
        <v>586</v>
      </c>
      <c r="Q522" t="s">
        <v>586</v>
      </c>
      <c r="R522">
        <v>0</v>
      </c>
      <c r="S522">
        <v>9.99</v>
      </c>
      <c r="T522">
        <v>44</v>
      </c>
      <c r="U522">
        <v>0.8431818181818183</v>
      </c>
      <c r="V522">
        <v>0.4077</v>
      </c>
      <c r="W522">
        <v>-6.25</v>
      </c>
      <c r="X522">
        <v>0.36</v>
      </c>
      <c r="Y522">
        <v>-0.320264</v>
      </c>
      <c r="Z522">
        <v>0.07425742574257427</v>
      </c>
      <c r="AA522">
        <v>0.2937399678972712</v>
      </c>
      <c r="AB522">
        <v>0.8274478330658106</v>
      </c>
      <c r="AC522">
        <v>0.7335473515248796</v>
      </c>
      <c r="AD522">
        <v>0.7897271268057784</v>
      </c>
    </row>
    <row r="523" spans="1:30">
      <c r="A523" s="1" t="s">
        <v>530</v>
      </c>
      <c r="B523">
        <f>HYPERLINK("https://www.suredividend.com/sure-analysis-SLB/","Schlumberger NV")</f>
        <v>0</v>
      </c>
      <c r="C523">
        <v>15.92</v>
      </c>
      <c r="D523">
        <v>22098.552</v>
      </c>
      <c r="E523" t="s">
        <v>661</v>
      </c>
      <c r="F523" t="s">
        <v>632</v>
      </c>
      <c r="G523" t="s">
        <v>671</v>
      </c>
      <c r="H523" t="s">
        <v>700</v>
      </c>
      <c r="I523" t="s">
        <v>1215</v>
      </c>
      <c r="J523" t="s">
        <v>1317</v>
      </c>
      <c r="K523">
        <v>44047</v>
      </c>
      <c r="L523">
        <v>0.102072864321608</v>
      </c>
      <c r="M523">
        <v>0.04668834061075966</v>
      </c>
      <c r="N523">
        <v>0.05</v>
      </c>
      <c r="O523">
        <v>0.1220829248563313</v>
      </c>
      <c r="P523" t="s">
        <v>586</v>
      </c>
      <c r="Q523" t="s">
        <v>446</v>
      </c>
      <c r="R523">
        <v>0</v>
      </c>
      <c r="S523">
        <v>16.25</v>
      </c>
      <c r="T523">
        <v>20</v>
      </c>
      <c r="U523">
        <v>0.796</v>
      </c>
      <c r="V523">
        <v>-15.7702</v>
      </c>
      <c r="W523">
        <v>0.1</v>
      </c>
      <c r="X523">
        <v>1.625</v>
      </c>
      <c r="Y523">
        <v>-0.5390849999999999</v>
      </c>
      <c r="Z523">
        <v>0.8910891089108911</v>
      </c>
      <c r="AA523">
        <v>0.08186195826645265</v>
      </c>
      <c r="AB523">
        <v>0.5296950240770465</v>
      </c>
      <c r="AC523">
        <v>0.8138041733547351</v>
      </c>
      <c r="AD523">
        <v>0.7833065810593901</v>
      </c>
    </row>
    <row r="524" spans="1:30">
      <c r="A524" s="1" t="s">
        <v>531</v>
      </c>
      <c r="B524">
        <f>HYPERLINK("https://www.suredividend.com/sure-analysis-WFC/","Wells Fargo &amp; Co.")</f>
        <v>0</v>
      </c>
      <c r="C524">
        <v>23.64</v>
      </c>
      <c r="D524">
        <v>97397.982</v>
      </c>
      <c r="E524" t="s">
        <v>666</v>
      </c>
      <c r="F524" t="s">
        <v>632</v>
      </c>
      <c r="G524" t="s">
        <v>671</v>
      </c>
      <c r="H524" t="s">
        <v>700</v>
      </c>
      <c r="I524" t="s">
        <v>1216</v>
      </c>
      <c r="J524" t="s">
        <v>1313</v>
      </c>
      <c r="K524">
        <v>44027</v>
      </c>
      <c r="L524">
        <v>0.08629441624365401</v>
      </c>
      <c r="M524">
        <v>0.06898914087821706</v>
      </c>
      <c r="N524">
        <v>0.03</v>
      </c>
      <c r="O524">
        <v>0.12095280974019</v>
      </c>
      <c r="P524" t="s">
        <v>586</v>
      </c>
      <c r="Q524" t="s">
        <v>372</v>
      </c>
      <c r="R524">
        <v>0</v>
      </c>
      <c r="S524">
        <v>2.04</v>
      </c>
      <c r="T524">
        <v>33</v>
      </c>
      <c r="U524">
        <v>0.7163636363636364</v>
      </c>
      <c r="V524">
        <v>0.8869</v>
      </c>
      <c r="W524">
        <v>1</v>
      </c>
      <c r="X524">
        <v>2.04</v>
      </c>
      <c r="Y524">
        <v>-0.5162679999999999</v>
      </c>
      <c r="Z524">
        <v>0.8613861386138614</v>
      </c>
      <c r="AA524">
        <v>0.09470304975922954</v>
      </c>
      <c r="AB524">
        <v>0.2680577849117175</v>
      </c>
      <c r="AC524">
        <v>0.9020866773675762</v>
      </c>
      <c r="AD524">
        <v>0.7784911717495987</v>
      </c>
    </row>
    <row r="525" spans="1:30">
      <c r="A525" s="1" t="s">
        <v>532</v>
      </c>
      <c r="B525">
        <f>HYPERLINK("https://www.suredividend.com/sure-analysis-AXS/","AXIS Capital Holdings Ltd.")</f>
        <v>0</v>
      </c>
      <c r="C525">
        <v>42.91</v>
      </c>
      <c r="D525">
        <v>3617.600497</v>
      </c>
      <c r="E525" t="s">
        <v>666</v>
      </c>
      <c r="F525" t="s">
        <v>632</v>
      </c>
      <c r="G525" t="s">
        <v>680</v>
      </c>
      <c r="H525" t="s">
        <v>700</v>
      </c>
      <c r="I525" t="s">
        <v>1217</v>
      </c>
      <c r="J525" t="s">
        <v>1313</v>
      </c>
      <c r="K525">
        <v>44052</v>
      </c>
      <c r="L525">
        <v>0.03798648333721701</v>
      </c>
      <c r="M525">
        <v>0.03917565966602332</v>
      </c>
      <c r="N525">
        <v>0.05</v>
      </c>
      <c r="O525">
        <v>0.1207423827331151</v>
      </c>
      <c r="P525" t="s">
        <v>586</v>
      </c>
      <c r="Q525" t="s">
        <v>586</v>
      </c>
      <c r="R525">
        <v>18</v>
      </c>
      <c r="S525">
        <v>4.657142857142857</v>
      </c>
      <c r="T525">
        <v>52</v>
      </c>
      <c r="U525">
        <v>0.8251923076923077</v>
      </c>
      <c r="V525">
        <v>-0.6577000000000001</v>
      </c>
      <c r="W525">
        <v>0.35</v>
      </c>
      <c r="X525">
        <v>1.63</v>
      </c>
      <c r="Y525">
        <v>-0.361933</v>
      </c>
      <c r="Z525">
        <v>0.5231023102310232</v>
      </c>
      <c r="AA525">
        <v>0.2375601926163724</v>
      </c>
      <c r="AB525">
        <v>0.5296950240770465</v>
      </c>
      <c r="AC525">
        <v>0.7560192616372392</v>
      </c>
      <c r="AD525">
        <v>0.7752808988764045</v>
      </c>
    </row>
    <row r="526" spans="1:30">
      <c r="A526" s="1" t="s">
        <v>533</v>
      </c>
      <c r="B526">
        <f>HYPERLINK("https://www.suredividend.com/sure-analysis-STWD/","Starwood Property Trust, Inc.")</f>
        <v>0</v>
      </c>
      <c r="C526">
        <v>15.29</v>
      </c>
      <c r="D526">
        <v>4349.34753</v>
      </c>
      <c r="E526" t="s">
        <v>669</v>
      </c>
      <c r="F526" t="s">
        <v>634</v>
      </c>
      <c r="G526" t="s">
        <v>671</v>
      </c>
      <c r="H526" t="s">
        <v>700</v>
      </c>
      <c r="I526" t="s">
        <v>1218</v>
      </c>
      <c r="J526" t="s">
        <v>1323</v>
      </c>
      <c r="K526">
        <v>44013</v>
      </c>
      <c r="L526">
        <v>0.125572269457161</v>
      </c>
      <c r="M526">
        <v>0.009119269928744345</v>
      </c>
      <c r="N526">
        <v>0.014</v>
      </c>
      <c r="O526">
        <v>0.1183792779594575</v>
      </c>
      <c r="P526" t="s">
        <v>586</v>
      </c>
      <c r="Q526" t="s">
        <v>637</v>
      </c>
      <c r="R526">
        <v>0</v>
      </c>
      <c r="S526">
        <v>1.054945054945055</v>
      </c>
      <c r="T526">
        <v>16</v>
      </c>
      <c r="U526">
        <v>0.9556249999999999</v>
      </c>
      <c r="V526">
        <v>1.3524</v>
      </c>
      <c r="W526">
        <v>1.82</v>
      </c>
      <c r="X526">
        <v>1.92</v>
      </c>
      <c r="Y526">
        <v>-0.384956</v>
      </c>
      <c r="Z526">
        <v>0.929042904290429</v>
      </c>
      <c r="AA526">
        <v>0.2070626003210273</v>
      </c>
      <c r="AB526">
        <v>0.1107544141252006</v>
      </c>
      <c r="AC526">
        <v>0.6131621187800963</v>
      </c>
      <c r="AD526">
        <v>0.7608346709470305</v>
      </c>
    </row>
    <row r="527" spans="1:30">
      <c r="A527" s="1" t="s">
        <v>534</v>
      </c>
      <c r="B527">
        <f>HYPERLINK("https://www.suredividend.com/sure-analysis-HP/","Helmerich &amp; Payne, Inc.")</f>
        <v>0</v>
      </c>
      <c r="C527">
        <v>14.16</v>
      </c>
      <c r="D527">
        <v>1521.88848</v>
      </c>
      <c r="E527" t="s">
        <v>661</v>
      </c>
      <c r="F527" t="s">
        <v>632</v>
      </c>
      <c r="G527" t="s">
        <v>671</v>
      </c>
      <c r="H527" t="s">
        <v>700</v>
      </c>
      <c r="I527" t="s">
        <v>1219</v>
      </c>
      <c r="J527" t="s">
        <v>1317</v>
      </c>
      <c r="K527">
        <v>44060</v>
      </c>
      <c r="L527">
        <v>0.168079096045197</v>
      </c>
      <c r="M527">
        <v>-0.08665290620787802</v>
      </c>
      <c r="N527">
        <v>0.17</v>
      </c>
      <c r="O527">
        <v>0.1179935819441997</v>
      </c>
      <c r="P527" t="s">
        <v>586</v>
      </c>
      <c r="Q527" t="s">
        <v>372</v>
      </c>
      <c r="R527">
        <v>0</v>
      </c>
      <c r="S527">
        <v>9.99</v>
      </c>
      <c r="T527">
        <v>9</v>
      </c>
      <c r="U527">
        <v>1.573333333333333</v>
      </c>
      <c r="V527">
        <v>-3.6668</v>
      </c>
      <c r="W527">
        <v>-1.1</v>
      </c>
      <c r="X527">
        <v>2.38</v>
      </c>
      <c r="Y527">
        <v>-0.655223</v>
      </c>
      <c r="Z527">
        <v>0.9620462046204621</v>
      </c>
      <c r="AA527">
        <v>0.0304975922953451</v>
      </c>
      <c r="AB527">
        <v>0.9839486356340289</v>
      </c>
      <c r="AC527">
        <v>0.1099518459069021</v>
      </c>
      <c r="AD527">
        <v>0.7576243980738363</v>
      </c>
    </row>
    <row r="528" spans="1:30">
      <c r="A528" s="1" t="s">
        <v>535</v>
      </c>
      <c r="B528">
        <f>HYPERLINK("https://www.suredividend.com/sure-analysis-PBR/","Petróleo Brasileiro SA")</f>
        <v>0</v>
      </c>
      <c r="C528">
        <v>7.46</v>
      </c>
      <c r="D528">
        <v>27759.507605</v>
      </c>
      <c r="E528" t="s">
        <v>667</v>
      </c>
      <c r="F528" t="s">
        <v>632</v>
      </c>
      <c r="G528" t="s">
        <v>686</v>
      </c>
      <c r="H528" t="s">
        <v>700</v>
      </c>
      <c r="I528" t="s">
        <v>1220</v>
      </c>
      <c r="J528" t="s">
        <v>1317</v>
      </c>
      <c r="K528">
        <v>44067</v>
      </c>
      <c r="L528">
        <v>0.022458042895442</v>
      </c>
      <c r="M528">
        <v>0.00635307866476853</v>
      </c>
      <c r="N528">
        <v>0.1</v>
      </c>
      <c r="O528">
        <v>0.1169826763026394</v>
      </c>
      <c r="P528" t="s">
        <v>586</v>
      </c>
      <c r="Q528" t="s">
        <v>586</v>
      </c>
      <c r="R528">
        <v>0</v>
      </c>
      <c r="S528">
        <v>9.99</v>
      </c>
      <c r="T528">
        <v>7.7</v>
      </c>
      <c r="U528">
        <v>0.9688311688311688</v>
      </c>
      <c r="V528">
        <v>-1.089</v>
      </c>
      <c r="W528">
        <v>-1</v>
      </c>
      <c r="X528">
        <v>0.167537</v>
      </c>
      <c r="Y528">
        <v>-0.487989</v>
      </c>
      <c r="Z528">
        <v>0.301980198019802</v>
      </c>
      <c r="AA528">
        <v>0.1123595505617978</v>
      </c>
      <c r="AB528">
        <v>0.9165329052969503</v>
      </c>
      <c r="AC528">
        <v>0.5955056179775281</v>
      </c>
      <c r="AD528">
        <v>0.7479935794542536</v>
      </c>
    </row>
    <row r="529" spans="1:30">
      <c r="A529" s="1" t="s">
        <v>536</v>
      </c>
      <c r="B529">
        <f>HYPERLINK("https://www.suredividend.com/sure-analysis-HST/","Host Hotels &amp; Resorts, Inc.")</f>
        <v>0</v>
      </c>
      <c r="C529">
        <v>10.64</v>
      </c>
      <c r="D529">
        <v>7503.99832</v>
      </c>
      <c r="E529" t="s">
        <v>661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44063</v>
      </c>
      <c r="L529">
        <v>0.05639097744360901</v>
      </c>
      <c r="M529">
        <v>0.09825062397617712</v>
      </c>
      <c r="N529">
        <v>0</v>
      </c>
      <c r="O529">
        <v>0.116981602655609</v>
      </c>
      <c r="P529" t="s">
        <v>586</v>
      </c>
      <c r="Q529" t="s">
        <v>446</v>
      </c>
      <c r="R529">
        <v>0</v>
      </c>
      <c r="S529">
        <v>4.000000000000001</v>
      </c>
      <c r="T529">
        <v>17</v>
      </c>
      <c r="U529">
        <v>0.6258823529411766</v>
      </c>
      <c r="V529">
        <v>0.1155</v>
      </c>
      <c r="W529">
        <v>0.15</v>
      </c>
      <c r="X529">
        <v>0.6000000000000001</v>
      </c>
      <c r="Y529">
        <v>-0.370414</v>
      </c>
      <c r="Z529">
        <v>0.7161716171617162</v>
      </c>
      <c r="AA529">
        <v>0.2263242375601926</v>
      </c>
      <c r="AB529">
        <v>0.04895666131621188</v>
      </c>
      <c r="AC529">
        <v>0.9582664526484751</v>
      </c>
      <c r="AD529">
        <v>0.7463884430176564</v>
      </c>
    </row>
    <row r="530" spans="1:30">
      <c r="A530" s="1" t="s">
        <v>537</v>
      </c>
      <c r="B530">
        <f>HYPERLINK("https://www.suredividend.com/sure-analysis-BPY/","Brookfield Property Partners LP")</f>
        <v>0</v>
      </c>
      <c r="C530">
        <v>11.2</v>
      </c>
      <c r="D530">
        <v>10354.192755</v>
      </c>
      <c r="E530" t="s">
        <v>670</v>
      </c>
      <c r="F530" t="s">
        <v>634</v>
      </c>
      <c r="G530" t="s">
        <v>680</v>
      </c>
      <c r="H530" t="s">
        <v>701</v>
      </c>
      <c r="I530" t="s">
        <v>1222</v>
      </c>
      <c r="J530" t="s">
        <v>1323</v>
      </c>
      <c r="K530">
        <v>44063</v>
      </c>
      <c r="L530">
        <v>0.118303571428571</v>
      </c>
      <c r="M530">
        <v>-0.02241079899542509</v>
      </c>
      <c r="N530">
        <v>0.04</v>
      </c>
      <c r="O530">
        <v>0.1093390435774493</v>
      </c>
      <c r="P530" t="s">
        <v>586</v>
      </c>
      <c r="Q530" t="s">
        <v>372</v>
      </c>
      <c r="R530">
        <v>13</v>
      </c>
      <c r="S530">
        <v>1.193693693693693</v>
      </c>
      <c r="T530">
        <v>10</v>
      </c>
      <c r="U530">
        <v>1.12</v>
      </c>
      <c r="V530">
        <v>-0.2951</v>
      </c>
      <c r="W530">
        <v>1.11</v>
      </c>
      <c r="X530">
        <v>1.325</v>
      </c>
      <c r="Y530">
        <v>-0.452055</v>
      </c>
      <c r="Z530">
        <v>0.9108910891089108</v>
      </c>
      <c r="AA530">
        <v>0.1396468699839487</v>
      </c>
      <c r="AB530">
        <v>0.4012841091492777</v>
      </c>
      <c r="AC530">
        <v>0.420545746388443</v>
      </c>
      <c r="AD530">
        <v>0.7078651685393258</v>
      </c>
    </row>
    <row r="531" spans="1:30">
      <c r="A531" s="1" t="s">
        <v>538</v>
      </c>
      <c r="B531">
        <f>HYPERLINK("https://www.suredividend.com/sure-analysis-SBRA/","Sabra Health Care REIT, Inc.")</f>
        <v>0</v>
      </c>
      <c r="C531">
        <v>13.87</v>
      </c>
      <c r="D531">
        <v>2851.13107</v>
      </c>
      <c r="E531" t="s">
        <v>669</v>
      </c>
      <c r="F531" t="s">
        <v>634</v>
      </c>
      <c r="G531" t="s">
        <v>671</v>
      </c>
      <c r="H531" t="s">
        <v>701</v>
      </c>
      <c r="I531" t="s">
        <v>1223</v>
      </c>
      <c r="J531" t="s">
        <v>1323</v>
      </c>
      <c r="K531">
        <v>43972</v>
      </c>
      <c r="L531">
        <v>0.118961788031723</v>
      </c>
      <c r="M531">
        <v>0.001867560781160238</v>
      </c>
      <c r="N531">
        <v>0.031</v>
      </c>
      <c r="O531">
        <v>0.1070110528575325</v>
      </c>
      <c r="P531" t="s">
        <v>586</v>
      </c>
      <c r="Q531" t="s">
        <v>372</v>
      </c>
      <c r="R531">
        <v>0</v>
      </c>
      <c r="S531">
        <v>1.1</v>
      </c>
      <c r="T531">
        <v>14</v>
      </c>
      <c r="U531">
        <v>0.9907142857142857</v>
      </c>
      <c r="V531">
        <v>0.6385000000000001</v>
      </c>
      <c r="W531">
        <v>1.5</v>
      </c>
      <c r="X531">
        <v>1.65</v>
      </c>
      <c r="Y531">
        <v>-0.392419</v>
      </c>
      <c r="Z531">
        <v>0.9141914191419142</v>
      </c>
      <c r="AA531">
        <v>0.1974317817014446</v>
      </c>
      <c r="AB531">
        <v>0.3194221508828251</v>
      </c>
      <c r="AC531">
        <v>0.5682182985553772</v>
      </c>
      <c r="AD531">
        <v>0.6998394863563404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156.03</v>
      </c>
      <c r="D532">
        <v>88070.97747</v>
      </c>
      <c r="E532" t="s">
        <v>663</v>
      </c>
      <c r="F532" t="s">
        <v>632</v>
      </c>
      <c r="G532" t="s">
        <v>671</v>
      </c>
      <c r="H532" t="s">
        <v>700</v>
      </c>
      <c r="I532" t="s">
        <v>1224</v>
      </c>
      <c r="J532" t="s">
        <v>1319</v>
      </c>
      <c r="K532">
        <v>44041</v>
      </c>
      <c r="L532">
        <v>0.026341088252259</v>
      </c>
      <c r="M532">
        <v>0.04985420868150792</v>
      </c>
      <c r="N532">
        <v>0.054</v>
      </c>
      <c r="O532">
        <v>0.1065463359503094</v>
      </c>
      <c r="P532" t="s">
        <v>586</v>
      </c>
      <c r="Q532" t="s">
        <v>586</v>
      </c>
      <c r="R532">
        <v>0</v>
      </c>
      <c r="S532">
        <v>9.99</v>
      </c>
      <c r="T532">
        <v>199</v>
      </c>
      <c r="U532">
        <v>0.784070351758794</v>
      </c>
      <c r="V532">
        <v>-5.0347</v>
      </c>
      <c r="W532">
        <v>-5.38</v>
      </c>
      <c r="X532">
        <v>4.11</v>
      </c>
      <c r="Y532">
        <v>-0.596707</v>
      </c>
      <c r="Z532">
        <v>0.3531353135313531</v>
      </c>
      <c r="AA532">
        <v>0.05939004815409309</v>
      </c>
      <c r="AB532">
        <v>0.5971107544141252</v>
      </c>
      <c r="AC532">
        <v>0.8330658105939005</v>
      </c>
      <c r="AD532">
        <v>0.6982343499197432</v>
      </c>
    </row>
    <row r="533" spans="1:30">
      <c r="A533" s="1" t="s">
        <v>540</v>
      </c>
      <c r="B533">
        <f>HYPERLINK("https://www.suredividend.com/sure-analysis-GLAD/","Gladstone Capital Corp.")</f>
        <v>0</v>
      </c>
      <c r="C533">
        <v>7.3</v>
      </c>
      <c r="D533">
        <v>227.70598</v>
      </c>
      <c r="E533" t="s">
        <v>666</v>
      </c>
      <c r="F533" t="s">
        <v>632</v>
      </c>
      <c r="G533" t="s">
        <v>671</v>
      </c>
      <c r="H533" t="s">
        <v>701</v>
      </c>
      <c r="I533" t="s">
        <v>1134</v>
      </c>
      <c r="J533" t="s">
        <v>1313</v>
      </c>
      <c r="K533">
        <v>44052</v>
      </c>
      <c r="L533">
        <v>0.113013698630136</v>
      </c>
      <c r="M533">
        <v>0.02352439551964203</v>
      </c>
      <c r="N533">
        <v>0</v>
      </c>
      <c r="O533">
        <v>0.1063499028125414</v>
      </c>
      <c r="P533" t="s">
        <v>586</v>
      </c>
      <c r="Q533" t="s">
        <v>372</v>
      </c>
      <c r="R533">
        <v>0</v>
      </c>
      <c r="S533">
        <v>1.00609756097561</v>
      </c>
      <c r="T533">
        <v>8.199999999999999</v>
      </c>
      <c r="U533">
        <v>0.8902439024390244</v>
      </c>
      <c r="V533">
        <v>-0.2118</v>
      </c>
      <c r="W533">
        <v>0.82</v>
      </c>
      <c r="X533">
        <v>0.8250000000000001</v>
      </c>
      <c r="Y533">
        <v>-0.243523</v>
      </c>
      <c r="Z533">
        <v>0.9026402640264027</v>
      </c>
      <c r="AA533">
        <v>0.3739967897271268</v>
      </c>
      <c r="AB533">
        <v>0.04895666131621188</v>
      </c>
      <c r="AC533">
        <v>0.6789727126805778</v>
      </c>
      <c r="AD533">
        <v>0.6966292134831461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22.3</v>
      </c>
      <c r="D534">
        <v>3260.1931</v>
      </c>
      <c r="E534" t="s">
        <v>669</v>
      </c>
      <c r="F534" t="s">
        <v>634</v>
      </c>
      <c r="G534" t="s">
        <v>671</v>
      </c>
      <c r="H534" t="s">
        <v>700</v>
      </c>
      <c r="I534" t="s">
        <v>1225</v>
      </c>
      <c r="J534" t="s">
        <v>1323</v>
      </c>
      <c r="K534">
        <v>44067</v>
      </c>
      <c r="L534">
        <v>0.111210762331838</v>
      </c>
      <c r="M534">
        <v>0.01480190948335536</v>
      </c>
      <c r="N534">
        <v>0.004</v>
      </c>
      <c r="O534">
        <v>0.1058756346499119</v>
      </c>
      <c r="P534" t="s">
        <v>586</v>
      </c>
      <c r="Q534" t="s">
        <v>372</v>
      </c>
      <c r="R534">
        <v>0</v>
      </c>
      <c r="S534">
        <v>1.020576131687243</v>
      </c>
      <c r="T534">
        <v>24</v>
      </c>
      <c r="U534">
        <v>0.9291666666666667</v>
      </c>
      <c r="V534">
        <v>0.8756</v>
      </c>
      <c r="W534">
        <v>2.43</v>
      </c>
      <c r="X534">
        <v>2.48</v>
      </c>
      <c r="Y534">
        <v>-0.388539</v>
      </c>
      <c r="Z534">
        <v>0.8993399339933994</v>
      </c>
      <c r="AA534">
        <v>0.203852327447833</v>
      </c>
      <c r="AB534">
        <v>0.07463884430176565</v>
      </c>
      <c r="AC534">
        <v>0.6388443017656501</v>
      </c>
      <c r="AD534">
        <v>0.6934189406099519</v>
      </c>
    </row>
    <row r="535" spans="1:30">
      <c r="A535" s="1" t="s">
        <v>542</v>
      </c>
      <c r="B535">
        <f>HYPERLINK("https://www.suredividend.com/sure-analysis-NLY/","Annaly Capital Management, Inc.")</f>
        <v>0</v>
      </c>
      <c r="C535">
        <v>7.28</v>
      </c>
      <c r="D535">
        <v>10212.6752</v>
      </c>
      <c r="E535" t="s">
        <v>669</v>
      </c>
      <c r="F535" t="s">
        <v>634</v>
      </c>
      <c r="G535" t="s">
        <v>671</v>
      </c>
      <c r="H535" t="s">
        <v>700</v>
      </c>
      <c r="I535" t="s">
        <v>1226</v>
      </c>
      <c r="J535" t="s">
        <v>1323</v>
      </c>
      <c r="K535">
        <v>44096</v>
      </c>
      <c r="L535">
        <v>0.133241758241758</v>
      </c>
      <c r="M535">
        <v>-0.007813457628780496</v>
      </c>
      <c r="N535">
        <v>0.004</v>
      </c>
      <c r="O535">
        <v>0.104341700086483</v>
      </c>
      <c r="P535" t="s">
        <v>586</v>
      </c>
      <c r="Q535" t="s">
        <v>637</v>
      </c>
      <c r="R535">
        <v>0</v>
      </c>
      <c r="S535">
        <v>0.9897959183673469</v>
      </c>
      <c r="T535">
        <v>7</v>
      </c>
      <c r="U535">
        <v>1.04</v>
      </c>
      <c r="V535">
        <v>-1.7107</v>
      </c>
      <c r="W535">
        <v>0.98</v>
      </c>
      <c r="X535">
        <v>0.97</v>
      </c>
      <c r="Y535">
        <v>-0.1875</v>
      </c>
      <c r="Z535">
        <v>0.9389438943894389</v>
      </c>
      <c r="AA535">
        <v>0.4446227929373997</v>
      </c>
      <c r="AB535">
        <v>0.07463884430176565</v>
      </c>
      <c r="AC535">
        <v>0.5104333868378812</v>
      </c>
      <c r="AD535">
        <v>0.6886035313001605</v>
      </c>
    </row>
    <row r="536" spans="1:30">
      <c r="A536" s="1" t="s">
        <v>543</v>
      </c>
      <c r="B536">
        <f>HYPERLINK("https://www.suredividend.com/sure-analysis-SSREY/","Swiss Re AG")</f>
        <v>0</v>
      </c>
      <c r="C536">
        <v>18.27</v>
      </c>
      <c r="D536">
        <v>20517.008153</v>
      </c>
      <c r="E536" t="s">
        <v>662</v>
      </c>
      <c r="F536" t="s">
        <v>632</v>
      </c>
      <c r="G536" t="s">
        <v>676</v>
      </c>
      <c r="H536" t="s">
        <v>702</v>
      </c>
      <c r="I536" t="s">
        <v>1227</v>
      </c>
      <c r="J536" t="s">
        <v>1313</v>
      </c>
      <c r="K536">
        <v>44045</v>
      </c>
      <c r="L536">
        <v>0.08267651888341501</v>
      </c>
      <c r="M536">
        <v>-0.01430608663533295</v>
      </c>
      <c r="N536">
        <v>0.05</v>
      </c>
      <c r="O536">
        <v>0.1022067112051877</v>
      </c>
      <c r="P536" t="s">
        <v>586</v>
      </c>
      <c r="Q536" t="s">
        <v>446</v>
      </c>
      <c r="R536">
        <v>5</v>
      </c>
      <c r="S536">
        <v>7.552499999999999</v>
      </c>
      <c r="T536">
        <v>17</v>
      </c>
      <c r="U536">
        <v>1.074705882352941</v>
      </c>
      <c r="V536">
        <v>-1.1859</v>
      </c>
      <c r="W536">
        <v>0.2</v>
      </c>
      <c r="X536">
        <v>1.5105</v>
      </c>
      <c r="Y536">
        <v>-0.304265</v>
      </c>
      <c r="Z536">
        <v>0.8531353135313532</v>
      </c>
      <c r="AA536">
        <v>0.3146067415730337</v>
      </c>
      <c r="AB536">
        <v>0.5296950240770465</v>
      </c>
      <c r="AC536">
        <v>0.4767255216693419</v>
      </c>
      <c r="AD536">
        <v>0.6709470304975923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9.07</v>
      </c>
      <c r="D537">
        <v>301.16935</v>
      </c>
      <c r="E537" t="s">
        <v>664</v>
      </c>
      <c r="F537" t="s">
        <v>635</v>
      </c>
      <c r="G537" t="s">
        <v>671</v>
      </c>
      <c r="H537" t="s">
        <v>701</v>
      </c>
      <c r="I537" t="s">
        <v>1134</v>
      </c>
      <c r="J537" t="s">
        <v>1313</v>
      </c>
      <c r="K537">
        <v>44053</v>
      </c>
      <c r="L537">
        <v>0.09128996692392501</v>
      </c>
      <c r="M537">
        <v>-0.001548337445003156</v>
      </c>
      <c r="N537">
        <v>0.03</v>
      </c>
      <c r="O537">
        <v>0.1021811431026503</v>
      </c>
      <c r="P537" t="s">
        <v>586</v>
      </c>
      <c r="Q537" t="s">
        <v>372</v>
      </c>
      <c r="R537">
        <v>9</v>
      </c>
      <c r="S537">
        <v>1.38</v>
      </c>
      <c r="T537">
        <v>9</v>
      </c>
      <c r="U537">
        <v>1.007777777777778</v>
      </c>
      <c r="V537">
        <v>-0.3956</v>
      </c>
      <c r="W537">
        <v>0.6</v>
      </c>
      <c r="X537">
        <v>0.8280000000000001</v>
      </c>
      <c r="Y537">
        <v>-0.273237</v>
      </c>
      <c r="Z537">
        <v>0.8729372937293729</v>
      </c>
      <c r="AA537">
        <v>0.3499197431781702</v>
      </c>
      <c r="AB537">
        <v>0.2680577849117175</v>
      </c>
      <c r="AC537">
        <v>0.550561797752809</v>
      </c>
      <c r="AD537">
        <v>0.6693418940609952</v>
      </c>
    </row>
    <row r="538" spans="1:30">
      <c r="A538" s="1" t="s">
        <v>545</v>
      </c>
      <c r="B538">
        <f>HYPERLINK("https://www.suredividend.com/sure-analysis-E/","Eni SpA")</f>
        <v>0</v>
      </c>
      <c r="C538">
        <v>15.52</v>
      </c>
      <c r="D538">
        <v>27723.021531</v>
      </c>
      <c r="E538" t="s">
        <v>661</v>
      </c>
      <c r="F538" t="s">
        <v>632</v>
      </c>
      <c r="G538" t="s">
        <v>692</v>
      </c>
      <c r="H538" t="s">
        <v>700</v>
      </c>
      <c r="I538" t="s">
        <v>1228</v>
      </c>
      <c r="J538" t="s">
        <v>1317</v>
      </c>
      <c r="K538">
        <v>44060</v>
      </c>
      <c r="L538">
        <v>0.05691449742268</v>
      </c>
      <c r="M538">
        <v>-0.006792687421326549</v>
      </c>
      <c r="N538">
        <v>0.06</v>
      </c>
      <c r="O538">
        <v>0.1014420527643607</v>
      </c>
      <c r="P538" t="s">
        <v>586</v>
      </c>
      <c r="Q538" t="s">
        <v>446</v>
      </c>
      <c r="R538">
        <v>0</v>
      </c>
      <c r="S538">
        <v>9.99</v>
      </c>
      <c r="T538">
        <v>15</v>
      </c>
      <c r="U538">
        <v>1.034666666666667</v>
      </c>
      <c r="V538">
        <v>-5.3695</v>
      </c>
      <c r="W538">
        <v>-0.6</v>
      </c>
      <c r="X538">
        <v>0.883313</v>
      </c>
      <c r="Y538">
        <v>-0.490647</v>
      </c>
      <c r="Z538">
        <v>0.7178217821782178</v>
      </c>
      <c r="AA538">
        <v>0.1107544141252006</v>
      </c>
      <c r="AB538">
        <v>0.6597110754414125</v>
      </c>
      <c r="AC538">
        <v>0.5168539325842696</v>
      </c>
      <c r="AD538">
        <v>0.666131621187801</v>
      </c>
    </row>
    <row r="539" spans="1:30">
      <c r="A539" s="1" t="s">
        <v>546</v>
      </c>
      <c r="B539">
        <f>HYPERLINK("https://www.suredividend.com/sure-analysis-LADR/","Ladder Capital Corp.")</f>
        <v>0</v>
      </c>
      <c r="C539">
        <v>6.9</v>
      </c>
      <c r="D539">
        <v>830.730385</v>
      </c>
      <c r="E539" t="s">
        <v>665</v>
      </c>
      <c r="F539" t="s">
        <v>634</v>
      </c>
      <c r="G539" t="s">
        <v>671</v>
      </c>
      <c r="H539" t="s">
        <v>700</v>
      </c>
      <c r="I539" t="s">
        <v>1229</v>
      </c>
      <c r="J539" t="s">
        <v>1323</v>
      </c>
      <c r="K539">
        <v>44075</v>
      </c>
      <c r="L539">
        <v>0.176811594202898</v>
      </c>
      <c r="M539">
        <v>-0.02756533520359794</v>
      </c>
      <c r="N539">
        <v>0.02</v>
      </c>
      <c r="O539">
        <v>0.09816196003357347</v>
      </c>
      <c r="P539" t="s">
        <v>586</v>
      </c>
      <c r="Q539" t="s">
        <v>372</v>
      </c>
      <c r="R539">
        <v>0</v>
      </c>
      <c r="S539">
        <v>1.525</v>
      </c>
      <c r="T539">
        <v>6</v>
      </c>
      <c r="U539">
        <v>1.15</v>
      </c>
      <c r="V539">
        <v>0.4511</v>
      </c>
      <c r="W539">
        <v>0.8</v>
      </c>
      <c r="X539">
        <v>1.22</v>
      </c>
      <c r="Y539">
        <v>-0.599536</v>
      </c>
      <c r="Z539">
        <v>0.971947194719472</v>
      </c>
      <c r="AA539">
        <v>0.05778491171749598</v>
      </c>
      <c r="AB539">
        <v>0.1613162118780096</v>
      </c>
      <c r="AC539">
        <v>0.3996789727126806</v>
      </c>
      <c r="AD539">
        <v>0.6532905296950241</v>
      </c>
    </row>
    <row r="540" spans="1:30">
      <c r="A540" s="1" t="s">
        <v>547</v>
      </c>
      <c r="B540">
        <f>HYPERLINK("https://www.suredividend.com/sure-analysis-HAL/","Halliburton Co.")</f>
        <v>0</v>
      </c>
      <c r="C540">
        <v>12.37</v>
      </c>
      <c r="D540">
        <v>10866.6739</v>
      </c>
      <c r="E540" t="s">
        <v>661</v>
      </c>
      <c r="F540" t="s">
        <v>632</v>
      </c>
      <c r="G540" t="s">
        <v>671</v>
      </c>
      <c r="H540" t="s">
        <v>700</v>
      </c>
      <c r="I540" t="s">
        <v>1230</v>
      </c>
      <c r="J540" t="s">
        <v>1317</v>
      </c>
      <c r="K540">
        <v>44046</v>
      </c>
      <c r="L540">
        <v>0.047291835084882</v>
      </c>
      <c r="M540">
        <v>-0.06162903380708717</v>
      </c>
      <c r="N540">
        <v>0.149</v>
      </c>
      <c r="O540">
        <v>0.09682439494612161</v>
      </c>
      <c r="P540" t="s">
        <v>586</v>
      </c>
      <c r="Q540" t="s">
        <v>446</v>
      </c>
      <c r="R540">
        <v>0</v>
      </c>
      <c r="S540">
        <v>9.99</v>
      </c>
      <c r="T540">
        <v>9</v>
      </c>
      <c r="U540">
        <v>1.374444444444444</v>
      </c>
      <c r="V540">
        <v>-4.6153</v>
      </c>
      <c r="W540">
        <v>-0.1</v>
      </c>
      <c r="X540">
        <v>0.585</v>
      </c>
      <c r="Y540">
        <v>-0.3580700000000001</v>
      </c>
      <c r="Z540">
        <v>0.6254125412541254</v>
      </c>
      <c r="AA540">
        <v>0.2504012841091493</v>
      </c>
      <c r="AB540">
        <v>0.9743178170144462</v>
      </c>
      <c r="AC540">
        <v>0.1974317817014446</v>
      </c>
      <c r="AD540">
        <v>0.6484751203852328</v>
      </c>
    </row>
    <row r="541" spans="1:30">
      <c r="A541" s="1" t="s">
        <v>548</v>
      </c>
      <c r="B541">
        <f>HYPERLINK("https://www.suredividend.com/sure-analysis-NOV/","National Oilwell Varco, Inc.")</f>
        <v>0</v>
      </c>
      <c r="C541">
        <v>9.51</v>
      </c>
      <c r="D541">
        <v>3692.58084</v>
      </c>
      <c r="E541" t="s">
        <v>661</v>
      </c>
      <c r="F541" t="s">
        <v>632</v>
      </c>
      <c r="G541" t="s">
        <v>671</v>
      </c>
      <c r="H541" t="s">
        <v>700</v>
      </c>
      <c r="I541" t="s">
        <v>1231</v>
      </c>
      <c r="J541" t="s">
        <v>1317</v>
      </c>
      <c r="K541">
        <v>44064</v>
      </c>
      <c r="L541">
        <v>0.010515247108307</v>
      </c>
      <c r="M541">
        <v>0.09542373926378955</v>
      </c>
      <c r="N541">
        <v>0</v>
      </c>
      <c r="O541">
        <v>0.09542373926378955</v>
      </c>
      <c r="P541" t="s">
        <v>586</v>
      </c>
      <c r="Q541" t="s">
        <v>586</v>
      </c>
      <c r="R541">
        <v>0</v>
      </c>
      <c r="S541">
        <v>9.99</v>
      </c>
      <c r="T541">
        <v>15</v>
      </c>
      <c r="U541">
        <v>0.634</v>
      </c>
      <c r="V541">
        <v>-7.2328</v>
      </c>
      <c r="W541">
        <v>-0.5</v>
      </c>
      <c r="X541">
        <v>0.1</v>
      </c>
      <c r="Y541">
        <v>-0.569098</v>
      </c>
      <c r="Z541">
        <v>0.08910891089108912</v>
      </c>
      <c r="AA541">
        <v>0.07223113964686999</v>
      </c>
      <c r="AB541">
        <v>0.04895666131621188</v>
      </c>
      <c r="AC541">
        <v>0.9486356340288924</v>
      </c>
      <c r="AD541">
        <v>0.6436597110754414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16.64</v>
      </c>
      <c r="D542">
        <v>78922.440929</v>
      </c>
      <c r="E542" t="s">
        <v>661</v>
      </c>
      <c r="F542" t="s">
        <v>632</v>
      </c>
      <c r="G542" t="s">
        <v>675</v>
      </c>
      <c r="H542" t="s">
        <v>702</v>
      </c>
      <c r="I542" t="s">
        <v>1232</v>
      </c>
      <c r="J542" t="s">
        <v>1314</v>
      </c>
      <c r="K542">
        <v>44070</v>
      </c>
      <c r="L542">
        <v>0.07990985576923</v>
      </c>
      <c r="M542">
        <v>0.00428995736704274</v>
      </c>
      <c r="N542">
        <v>0.06</v>
      </c>
      <c r="O542">
        <v>0.09536747231113907</v>
      </c>
      <c r="P542" t="s">
        <v>586</v>
      </c>
      <c r="Q542" t="s">
        <v>372</v>
      </c>
      <c r="R542">
        <v>0</v>
      </c>
      <c r="S542">
        <v>1.208818181818182</v>
      </c>
      <c r="T542">
        <v>17</v>
      </c>
      <c r="U542">
        <v>0.9788235294117648</v>
      </c>
      <c r="V542">
        <v>0.8612000000000001</v>
      </c>
      <c r="W542">
        <v>1.1</v>
      </c>
      <c r="X542">
        <v>1.3297</v>
      </c>
      <c r="Y542">
        <v>-0.008343</v>
      </c>
      <c r="Z542">
        <v>0.8399339933993398</v>
      </c>
      <c r="AA542">
        <v>0.6789727126805778</v>
      </c>
      <c r="AB542">
        <v>0.6597110754414125</v>
      </c>
      <c r="AC542">
        <v>0.5826645264847512</v>
      </c>
      <c r="AD542">
        <v>0.6420545746388443</v>
      </c>
    </row>
    <row r="543" spans="1:30">
      <c r="A543" s="1" t="s">
        <v>550</v>
      </c>
      <c r="B543">
        <f>HYPERLINK("https://www.suredividend.com/sure-analysis-ALARF/","Alaris Equity Partners Income Trust")</f>
        <v>0</v>
      </c>
      <c r="C543">
        <v>9.15</v>
      </c>
      <c r="D543">
        <v>325.592685</v>
      </c>
      <c r="E543" t="s">
        <v>661</v>
      </c>
      <c r="F543" t="s">
        <v>632</v>
      </c>
      <c r="G543" t="s">
        <v>673</v>
      </c>
      <c r="H543" t="s">
        <v>702</v>
      </c>
      <c r="I543" t="s">
        <v>1233</v>
      </c>
      <c r="J543" t="s">
        <v>1313</v>
      </c>
      <c r="K543">
        <v>44070</v>
      </c>
      <c r="L543">
        <v>0.124683263895089</v>
      </c>
      <c r="M543">
        <v>-0.01232179250822907</v>
      </c>
      <c r="N543">
        <v>0.02</v>
      </c>
      <c r="O543">
        <v>0.09453323322657381</v>
      </c>
      <c r="P543" t="s">
        <v>586</v>
      </c>
      <c r="Q543" t="s">
        <v>372</v>
      </c>
      <c r="R543">
        <v>0</v>
      </c>
      <c r="S543">
        <v>9.99</v>
      </c>
      <c r="T543">
        <v>8.6</v>
      </c>
      <c r="U543">
        <v>1.063953488372093</v>
      </c>
      <c r="V543">
        <v>-0.7301000000000001</v>
      </c>
      <c r="W543">
        <v>-1</v>
      </c>
      <c r="X543">
        <v>1.14085186464007</v>
      </c>
      <c r="Y543">
        <v>-0.392027</v>
      </c>
      <c r="Z543">
        <v>0.9257425742574257</v>
      </c>
      <c r="AA543">
        <v>0.2006420545746389</v>
      </c>
      <c r="AB543">
        <v>0.1613162118780096</v>
      </c>
      <c r="AC543">
        <v>0.4863563402889245</v>
      </c>
      <c r="AD543">
        <v>0.6356340288924559</v>
      </c>
    </row>
    <row r="544" spans="1:30">
      <c r="A544" s="1" t="s">
        <v>551</v>
      </c>
      <c r="B544">
        <f>HYPERLINK("https://www.suredividend.com/sure-analysis-JWN/","Nordstrom, Inc.")</f>
        <v>0</v>
      </c>
      <c r="C544">
        <v>11.92</v>
      </c>
      <c r="D544">
        <v>1873.228</v>
      </c>
      <c r="E544" t="s">
        <v>666</v>
      </c>
      <c r="F544" t="s">
        <v>632</v>
      </c>
      <c r="G544" t="s">
        <v>671</v>
      </c>
      <c r="H544" t="s">
        <v>700</v>
      </c>
      <c r="I544" t="s">
        <v>1234</v>
      </c>
      <c r="J544" t="s">
        <v>1318</v>
      </c>
      <c r="K544">
        <v>44083</v>
      </c>
      <c r="L544">
        <v>0.06208053691275101</v>
      </c>
      <c r="M544">
        <v>0.03269091424250115</v>
      </c>
      <c r="N544">
        <v>0.03</v>
      </c>
      <c r="O544">
        <v>0.09306648085947078</v>
      </c>
      <c r="P544" t="s">
        <v>586</v>
      </c>
      <c r="Q544" t="s">
        <v>446</v>
      </c>
      <c r="R544">
        <v>0</v>
      </c>
      <c r="S544">
        <v>9.99</v>
      </c>
      <c r="T544">
        <v>14</v>
      </c>
      <c r="U544">
        <v>0.8514285714285714</v>
      </c>
      <c r="V544">
        <v>-2.9003</v>
      </c>
      <c r="W544">
        <v>-3.8</v>
      </c>
      <c r="X544">
        <v>0.74</v>
      </c>
      <c r="Y544">
        <v>-0.629699</v>
      </c>
      <c r="Z544">
        <v>0.7541254125412542</v>
      </c>
      <c r="AA544">
        <v>0.03852327447833066</v>
      </c>
      <c r="AB544">
        <v>0.2680577849117175</v>
      </c>
      <c r="AC544">
        <v>0.7271268057784911</v>
      </c>
      <c r="AD544">
        <v>0.6292134831460674</v>
      </c>
    </row>
    <row r="545" spans="1:30">
      <c r="A545" s="1" t="s">
        <v>552</v>
      </c>
      <c r="B545">
        <f>HYPERLINK("https://www.suredividend.com/sure-analysis-SCM/","Stellus Capital Investment Corp.")</f>
        <v>0</v>
      </c>
      <c r="C545">
        <v>8.4</v>
      </c>
      <c r="D545">
        <v>163.6824</v>
      </c>
      <c r="E545" t="s">
        <v>666</v>
      </c>
      <c r="F545" t="s">
        <v>632</v>
      </c>
      <c r="G545" t="s">
        <v>671</v>
      </c>
      <c r="H545" t="s">
        <v>700</v>
      </c>
      <c r="I545" t="s">
        <v>1235</v>
      </c>
      <c r="J545" t="s">
        <v>1313</v>
      </c>
      <c r="K545">
        <v>44068</v>
      </c>
      <c r="L545">
        <v>0.153940476190476</v>
      </c>
      <c r="M545">
        <v>0</v>
      </c>
      <c r="N545">
        <v>0</v>
      </c>
      <c r="O545">
        <v>0.09287491921693625</v>
      </c>
      <c r="P545" t="s">
        <v>586</v>
      </c>
      <c r="Q545" t="s">
        <v>372</v>
      </c>
      <c r="R545">
        <v>0</v>
      </c>
      <c r="S545">
        <v>1.231523809523809</v>
      </c>
      <c r="T545">
        <v>8.4</v>
      </c>
      <c r="U545">
        <v>1</v>
      </c>
      <c r="V545">
        <v>0.3266</v>
      </c>
      <c r="W545">
        <v>1.05</v>
      </c>
      <c r="X545">
        <v>1.2931</v>
      </c>
      <c r="Y545">
        <v>-0.399142</v>
      </c>
      <c r="Z545">
        <v>0.957095709570957</v>
      </c>
      <c r="AA545">
        <v>0.1829855537720706</v>
      </c>
      <c r="AB545">
        <v>0.04895666131621188</v>
      </c>
      <c r="AC545">
        <v>0.557784911717496</v>
      </c>
      <c r="AD545">
        <v>0.6260032102728732</v>
      </c>
    </row>
    <row r="546" spans="1:30">
      <c r="A546" s="1" t="s">
        <v>553</v>
      </c>
      <c r="B546">
        <f>HYPERLINK("https://www.suredividend.com/sure-analysis-SBR/","Sabine Royalty Trust")</f>
        <v>0</v>
      </c>
      <c r="C546">
        <v>28.94</v>
      </c>
      <c r="D546">
        <v>421.924942</v>
      </c>
      <c r="E546" t="s">
        <v>661</v>
      </c>
      <c r="F546" t="s">
        <v>632</v>
      </c>
      <c r="G546" t="s">
        <v>671</v>
      </c>
      <c r="H546" t="s">
        <v>700</v>
      </c>
      <c r="J546" t="s">
        <v>1317</v>
      </c>
      <c r="K546">
        <v>44069</v>
      </c>
      <c r="L546">
        <v>0.09172667588113301</v>
      </c>
      <c r="M546">
        <v>-0.04490656066766818</v>
      </c>
      <c r="N546">
        <v>0.05</v>
      </c>
      <c r="O546">
        <v>0.08959024940276361</v>
      </c>
      <c r="P546" t="s">
        <v>586</v>
      </c>
      <c r="Q546" t="s">
        <v>372</v>
      </c>
      <c r="R546">
        <v>0</v>
      </c>
      <c r="S546">
        <v>1.020988461538461</v>
      </c>
      <c r="T546">
        <v>23</v>
      </c>
      <c r="U546">
        <v>1.258260869565218</v>
      </c>
      <c r="V546">
        <v>2.809</v>
      </c>
      <c r="W546">
        <v>2.6</v>
      </c>
      <c r="X546">
        <v>2.65457</v>
      </c>
      <c r="Y546">
        <v>-0.325408</v>
      </c>
      <c r="Z546">
        <v>0.8745874587458746</v>
      </c>
      <c r="AA546">
        <v>0.28892455858748</v>
      </c>
      <c r="AB546">
        <v>0.5296950240770465</v>
      </c>
      <c r="AC546">
        <v>0.2873194221508828</v>
      </c>
      <c r="AD546">
        <v>0.5987158908507223</v>
      </c>
    </row>
    <row r="547" spans="1:30">
      <c r="A547" s="1" t="s">
        <v>554</v>
      </c>
      <c r="B547">
        <f>HYPERLINK("https://www.suredividend.com/sure-analysis-PSEC/","Prospect Capital Corp.")</f>
        <v>0</v>
      </c>
      <c r="C547">
        <v>5.05</v>
      </c>
      <c r="D547">
        <v>1903.8399</v>
      </c>
      <c r="E547" t="s">
        <v>666</v>
      </c>
      <c r="F547" t="s">
        <v>635</v>
      </c>
      <c r="G547" t="s">
        <v>671</v>
      </c>
      <c r="H547" t="s">
        <v>701</v>
      </c>
      <c r="I547" t="s">
        <v>1236</v>
      </c>
      <c r="J547" t="s">
        <v>1313</v>
      </c>
      <c r="K547">
        <v>44079</v>
      </c>
      <c r="L547">
        <v>0.142574257425742</v>
      </c>
      <c r="M547">
        <v>-0.02063629819387969</v>
      </c>
      <c r="N547">
        <v>0</v>
      </c>
      <c r="O547">
        <v>0.08942708719457837</v>
      </c>
      <c r="P547" t="s">
        <v>586</v>
      </c>
      <c r="Q547" t="s">
        <v>637</v>
      </c>
      <c r="R547">
        <v>0</v>
      </c>
      <c r="S547">
        <v>1.107692307692308</v>
      </c>
      <c r="T547">
        <v>4.55</v>
      </c>
      <c r="U547">
        <v>1.10989010989011</v>
      </c>
      <c r="V547">
        <v>-0.0464</v>
      </c>
      <c r="W547">
        <v>0.65</v>
      </c>
      <c r="X547">
        <v>0.72</v>
      </c>
      <c r="Y547">
        <v>-0.245142</v>
      </c>
      <c r="Z547">
        <v>0.9455445544554455</v>
      </c>
      <c r="AA547">
        <v>0.3707865168539326</v>
      </c>
      <c r="AB547">
        <v>0.04895666131621188</v>
      </c>
      <c r="AC547">
        <v>0.4398073836276083</v>
      </c>
      <c r="AD547">
        <v>0.5971107544141252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6.03</v>
      </c>
      <c r="D548">
        <v>1870.78338</v>
      </c>
      <c r="E548" t="s">
        <v>664</v>
      </c>
      <c r="F548" t="s">
        <v>632</v>
      </c>
      <c r="G548" t="s">
        <v>671</v>
      </c>
      <c r="H548" t="s">
        <v>700</v>
      </c>
      <c r="I548" t="s">
        <v>1237</v>
      </c>
      <c r="J548" t="s">
        <v>1318</v>
      </c>
      <c r="K548">
        <v>44084</v>
      </c>
      <c r="L548">
        <v>0.125207296849087</v>
      </c>
      <c r="M548">
        <v>0.08339054096014231</v>
      </c>
      <c r="N548">
        <v>-0.03</v>
      </c>
      <c r="O548">
        <v>0.08883923243658853</v>
      </c>
      <c r="P548" t="s">
        <v>586</v>
      </c>
      <c r="Q548" t="s">
        <v>372</v>
      </c>
      <c r="R548">
        <v>0</v>
      </c>
      <c r="S548">
        <v>9.99</v>
      </c>
      <c r="T548">
        <v>9</v>
      </c>
      <c r="U548">
        <v>0.67</v>
      </c>
      <c r="V548">
        <v>-11.8107</v>
      </c>
      <c r="W548">
        <v>-3.5</v>
      </c>
      <c r="X548">
        <v>0.755</v>
      </c>
      <c r="Y548">
        <v>-0.6045900000000001</v>
      </c>
      <c r="Z548">
        <v>0.9273927392739274</v>
      </c>
      <c r="AA548">
        <v>0.05457463884430177</v>
      </c>
      <c r="AB548">
        <v>0.01364365971107544</v>
      </c>
      <c r="AC548">
        <v>0.9341894060995185</v>
      </c>
      <c r="AD548">
        <v>0.5922953451043339</v>
      </c>
    </row>
    <row r="549" spans="1:30">
      <c r="A549" s="1" t="s">
        <v>556</v>
      </c>
      <c r="B549">
        <f>HYPERLINK("https://www.suredividend.com/sure-analysis-HOG/","Harley-Davidson, Inc.")</f>
        <v>0</v>
      </c>
      <c r="C549">
        <v>22.78</v>
      </c>
      <c r="D549">
        <v>3490.82998</v>
      </c>
      <c r="E549" t="s">
        <v>669</v>
      </c>
      <c r="F549" t="s">
        <v>632</v>
      </c>
      <c r="G549" t="s">
        <v>671</v>
      </c>
      <c r="H549" t="s">
        <v>700</v>
      </c>
      <c r="I549" t="s">
        <v>1238</v>
      </c>
      <c r="J549" t="s">
        <v>1318</v>
      </c>
      <c r="K549">
        <v>44077</v>
      </c>
      <c r="L549">
        <v>0.050482879719051</v>
      </c>
      <c r="M549">
        <v>0.01877260406885561</v>
      </c>
      <c r="N549">
        <v>0.037</v>
      </c>
      <c r="O549">
        <v>0.08877427579005603</v>
      </c>
      <c r="P549" t="s">
        <v>586</v>
      </c>
      <c r="Q549" t="s">
        <v>446</v>
      </c>
      <c r="R549">
        <v>0</v>
      </c>
      <c r="S549">
        <v>1.419753086419753</v>
      </c>
      <c r="T549">
        <v>25</v>
      </c>
      <c r="U549">
        <v>0.9112</v>
      </c>
      <c r="V549">
        <v>0.4953</v>
      </c>
      <c r="W549">
        <v>0.8100000000000001</v>
      </c>
      <c r="X549">
        <v>1.15</v>
      </c>
      <c r="Y549">
        <v>-0.353208</v>
      </c>
      <c r="Z549">
        <v>0.6600660066006602</v>
      </c>
      <c r="AA549">
        <v>0.2568218298555378</v>
      </c>
      <c r="AB549">
        <v>0.3483146067415731</v>
      </c>
      <c r="AC549">
        <v>0.6581059390048154</v>
      </c>
      <c r="AD549">
        <v>0.5874799357945425</v>
      </c>
    </row>
    <row r="550" spans="1:30">
      <c r="A550" s="1" t="s">
        <v>557</v>
      </c>
      <c r="B550">
        <f>HYPERLINK("https://www.suredividend.com/sure-analysis-LVS/","Las Vegas Sands Corp.")</f>
        <v>0</v>
      </c>
      <c r="C550">
        <v>46.96</v>
      </c>
      <c r="D550">
        <v>35868.18888</v>
      </c>
      <c r="E550" t="s">
        <v>664</v>
      </c>
      <c r="F550" t="s">
        <v>632</v>
      </c>
      <c r="G550" t="s">
        <v>671</v>
      </c>
      <c r="H550" t="s">
        <v>700</v>
      </c>
      <c r="I550" t="s">
        <v>1239</v>
      </c>
      <c r="J550" t="s">
        <v>1318</v>
      </c>
      <c r="K550">
        <v>44042</v>
      </c>
      <c r="L550">
        <v>0.033219761499148</v>
      </c>
      <c r="M550">
        <v>0.02833148801102414</v>
      </c>
      <c r="N550">
        <v>0.04</v>
      </c>
      <c r="O550">
        <v>0.08832176121993607</v>
      </c>
      <c r="P550" t="s">
        <v>586</v>
      </c>
      <c r="Q550" t="s">
        <v>586</v>
      </c>
      <c r="R550">
        <v>0</v>
      </c>
      <c r="S550">
        <v>7.8</v>
      </c>
      <c r="T550">
        <v>54</v>
      </c>
      <c r="U550">
        <v>0.8696296296296296</v>
      </c>
      <c r="V550">
        <v>0.4386</v>
      </c>
      <c r="W550">
        <v>0.2</v>
      </c>
      <c r="X550">
        <v>1.56</v>
      </c>
      <c r="Y550">
        <v>-0.159628</v>
      </c>
      <c r="Z550">
        <v>0.4587458745874587</v>
      </c>
      <c r="AA550">
        <v>0.4799357945425362</v>
      </c>
      <c r="AB550">
        <v>0.4012841091492777</v>
      </c>
      <c r="AC550">
        <v>0.7014446227929373</v>
      </c>
      <c r="AD550">
        <v>0.5842696629213483</v>
      </c>
    </row>
    <row r="551" spans="1:30">
      <c r="A551" s="1" t="s">
        <v>558</v>
      </c>
      <c r="B551">
        <f>HYPERLINK("https://www.suredividend.com/sure-analysis-ARI/","Apollo Commercial Real Estate Finance, Inc.")</f>
        <v>0</v>
      </c>
      <c r="C551">
        <v>9.07</v>
      </c>
      <c r="D551">
        <v>1339.28527</v>
      </c>
      <c r="E551" t="s">
        <v>669</v>
      </c>
      <c r="F551" t="s">
        <v>634</v>
      </c>
      <c r="G551" t="s">
        <v>671</v>
      </c>
      <c r="H551" t="s">
        <v>700</v>
      </c>
      <c r="I551" t="s">
        <v>1240</v>
      </c>
      <c r="J551" t="s">
        <v>1323</v>
      </c>
      <c r="K551">
        <v>44000</v>
      </c>
      <c r="L551">
        <v>0.18412348401323</v>
      </c>
      <c r="M551">
        <v>0.0176667414835574</v>
      </c>
      <c r="N551">
        <v>-0.042</v>
      </c>
      <c r="O551">
        <v>0.08790516046735419</v>
      </c>
      <c r="P551" t="s">
        <v>586</v>
      </c>
      <c r="Q551" t="s">
        <v>637</v>
      </c>
      <c r="R551">
        <v>0</v>
      </c>
      <c r="S551">
        <v>1.346774193548387</v>
      </c>
      <c r="T551">
        <v>9.9</v>
      </c>
      <c r="U551">
        <v>0.9161616161616162</v>
      </c>
      <c r="V551">
        <v>0.1122</v>
      </c>
      <c r="W551">
        <v>1.24</v>
      </c>
      <c r="X551">
        <v>1.67</v>
      </c>
      <c r="Y551">
        <v>-0.538422</v>
      </c>
      <c r="Z551">
        <v>0.9785478547854786</v>
      </c>
      <c r="AA551">
        <v>0.08507223113964686</v>
      </c>
      <c r="AB551">
        <v>0.01123595505617978</v>
      </c>
      <c r="AC551">
        <v>0.6500802568218299</v>
      </c>
      <c r="AD551">
        <v>0.5810593900481541</v>
      </c>
    </row>
    <row r="552" spans="1:30">
      <c r="A552" s="1" t="s">
        <v>559</v>
      </c>
      <c r="B552">
        <f>HYPERLINK("https://www.suredividend.com/sure-analysis-SIX/","Six Flags Entertainment Corp.")</f>
        <v>0</v>
      </c>
      <c r="C552">
        <v>20.97</v>
      </c>
      <c r="D552">
        <v>1777.457043</v>
      </c>
      <c r="E552" t="s">
        <v>661</v>
      </c>
      <c r="F552" t="s">
        <v>632</v>
      </c>
      <c r="G552" t="s">
        <v>671</v>
      </c>
      <c r="H552" t="s">
        <v>700</v>
      </c>
      <c r="I552" t="s">
        <v>1241</v>
      </c>
      <c r="J552" t="s">
        <v>1318</v>
      </c>
      <c r="K552">
        <v>44061</v>
      </c>
      <c r="L552">
        <v>0.051502145922746</v>
      </c>
      <c r="M552">
        <v>0.05184819673115193</v>
      </c>
      <c r="N552">
        <v>0.03</v>
      </c>
      <c r="O552">
        <v>0.08340364263308664</v>
      </c>
      <c r="P552" t="s">
        <v>586</v>
      </c>
      <c r="Q552" t="s">
        <v>446</v>
      </c>
      <c r="R552">
        <v>0</v>
      </c>
      <c r="S552">
        <v>9.99</v>
      </c>
      <c r="T552">
        <v>27</v>
      </c>
      <c r="U552">
        <v>0.7766666666666666</v>
      </c>
      <c r="V552">
        <v>-0.6164000000000001</v>
      </c>
      <c r="W552">
        <v>-4.2</v>
      </c>
      <c r="X552">
        <v>1.08</v>
      </c>
      <c r="Y552">
        <v>-0.585163</v>
      </c>
      <c r="Z552">
        <v>0.6683168316831682</v>
      </c>
      <c r="AA552">
        <v>0.06420545746388444</v>
      </c>
      <c r="AB552">
        <v>0.2680577849117175</v>
      </c>
      <c r="AC552">
        <v>0.841091492776886</v>
      </c>
      <c r="AD552">
        <v>0.5537720706260032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8.289999999999999</v>
      </c>
      <c r="D553">
        <v>294.066196</v>
      </c>
      <c r="E553" t="s">
        <v>661</v>
      </c>
      <c r="F553" t="s">
        <v>632</v>
      </c>
      <c r="G553" t="s">
        <v>671</v>
      </c>
      <c r="H553" t="s">
        <v>701</v>
      </c>
      <c r="I553" t="s">
        <v>1242</v>
      </c>
      <c r="J553" t="s">
        <v>1316</v>
      </c>
      <c r="K553">
        <v>44068</v>
      </c>
      <c r="L553">
        <v>0.087454764776839</v>
      </c>
      <c r="M553">
        <v>-0.1785872633316177</v>
      </c>
      <c r="N553">
        <v>0.229</v>
      </c>
      <c r="O553">
        <v>0.08284525592653069</v>
      </c>
      <c r="P553" t="s">
        <v>586</v>
      </c>
      <c r="Q553" t="s">
        <v>372</v>
      </c>
      <c r="R553">
        <v>0</v>
      </c>
      <c r="S553">
        <v>2.9</v>
      </c>
      <c r="T553">
        <v>3.1</v>
      </c>
      <c r="U553">
        <v>2.674193548387096</v>
      </c>
      <c r="V553">
        <v>1.5809</v>
      </c>
      <c r="W553">
        <v>0.25</v>
      </c>
      <c r="X553">
        <v>0.725</v>
      </c>
      <c r="Y553">
        <v>-0.199807</v>
      </c>
      <c r="Z553">
        <v>0.8630363036303631</v>
      </c>
      <c r="AA553">
        <v>0.4237560192616373</v>
      </c>
      <c r="AB553">
        <v>0.9935794542536115</v>
      </c>
      <c r="AC553">
        <v>0.009630818619582666</v>
      </c>
      <c r="AD553">
        <v>0.5489566613162119</v>
      </c>
    </row>
    <row r="554" spans="1:30">
      <c r="A554" s="1" t="s">
        <v>561</v>
      </c>
      <c r="B554">
        <f>HYPERLINK("https://www.suredividend.com/sure-analysis-PSO/","Pearson Plc")</f>
        <v>0</v>
      </c>
      <c r="C554">
        <v>7.11</v>
      </c>
      <c r="D554">
        <v>5330.42388</v>
      </c>
      <c r="E554" t="s">
        <v>664</v>
      </c>
      <c r="F554" t="s">
        <v>632</v>
      </c>
      <c r="G554" t="s">
        <v>677</v>
      </c>
      <c r="H554" t="s">
        <v>700</v>
      </c>
      <c r="I554" t="s">
        <v>1243</v>
      </c>
      <c r="J554" t="s">
        <v>1314</v>
      </c>
      <c r="K554">
        <v>44052</v>
      </c>
      <c r="L554">
        <v>0.034243319268635</v>
      </c>
      <c r="M554">
        <v>0.03390809835982478</v>
      </c>
      <c r="N554">
        <v>0.02</v>
      </c>
      <c r="O554">
        <v>0.08056502214280314</v>
      </c>
      <c r="P554" t="s">
        <v>586</v>
      </c>
      <c r="Q554" t="s">
        <v>586</v>
      </c>
      <c r="R554">
        <v>0</v>
      </c>
      <c r="S554">
        <v>1.21735</v>
      </c>
      <c r="T554">
        <v>8.4</v>
      </c>
      <c r="U554">
        <v>0.8464285714285714</v>
      </c>
      <c r="V554">
        <v>0.4303</v>
      </c>
      <c r="W554">
        <v>0.2</v>
      </c>
      <c r="X554">
        <v>0.24347</v>
      </c>
      <c r="Y554">
        <v>-0.213496</v>
      </c>
      <c r="Z554">
        <v>0.4702970297029703</v>
      </c>
      <c r="AA554">
        <v>0.4012841091492777</v>
      </c>
      <c r="AB554">
        <v>0.1613162118780096</v>
      </c>
      <c r="AC554">
        <v>0.7319422150882825</v>
      </c>
      <c r="AD554">
        <v>0.5329052969502408</v>
      </c>
    </row>
    <row r="555" spans="1:30">
      <c r="A555" s="1" t="s">
        <v>562</v>
      </c>
      <c r="B555">
        <f>HYPERLINK("https://www.suredividend.com/sure-analysis-FUN/","Cedar Fair LP")</f>
        <v>0</v>
      </c>
      <c r="C555">
        <v>28</v>
      </c>
      <c r="D555">
        <v>1587.7932</v>
      </c>
      <c r="E555" t="s">
        <v>663</v>
      </c>
      <c r="F555" t="s">
        <v>632</v>
      </c>
      <c r="G555" t="s">
        <v>671</v>
      </c>
      <c r="H555" t="s">
        <v>700</v>
      </c>
      <c r="I555" t="s">
        <v>1244</v>
      </c>
      <c r="J555" t="s">
        <v>1318</v>
      </c>
      <c r="K555">
        <v>44052</v>
      </c>
      <c r="L555">
        <v>0.066785714285714</v>
      </c>
      <c r="M555">
        <v>0</v>
      </c>
      <c r="N555">
        <v>0.05</v>
      </c>
      <c r="O555">
        <v>0.08011095322655604</v>
      </c>
      <c r="P555" t="s">
        <v>586</v>
      </c>
      <c r="Q555" t="s">
        <v>446</v>
      </c>
      <c r="R555">
        <v>0</v>
      </c>
      <c r="S555">
        <v>9.99</v>
      </c>
      <c r="T555">
        <v>28</v>
      </c>
      <c r="U555">
        <v>1</v>
      </c>
      <c r="V555">
        <v>-2.7646</v>
      </c>
      <c r="W555">
        <v>-8.4</v>
      </c>
      <c r="X555">
        <v>1.87</v>
      </c>
      <c r="Y555">
        <v>-0.514647</v>
      </c>
      <c r="Z555">
        <v>0.7821782178217822</v>
      </c>
      <c r="AA555">
        <v>0.09630818619582664</v>
      </c>
      <c r="AB555">
        <v>0.5296950240770465</v>
      </c>
      <c r="AC555">
        <v>0.557784911717496</v>
      </c>
      <c r="AD555">
        <v>0.5280898876404494</v>
      </c>
    </row>
    <row r="556" spans="1:30">
      <c r="A556" s="1" t="s">
        <v>563</v>
      </c>
      <c r="B556">
        <f>HYPERLINK("https://www.suredividend.com/sure-analysis-CAKE/","Cheesecake Factory, Inc.")</f>
        <v>0</v>
      </c>
      <c r="C556">
        <v>26.76</v>
      </c>
      <c r="D556">
        <v>1216.571148</v>
      </c>
      <c r="E556" t="s">
        <v>663</v>
      </c>
      <c r="F556" t="s">
        <v>632</v>
      </c>
      <c r="G556" t="s">
        <v>671</v>
      </c>
      <c r="H556" t="s">
        <v>701</v>
      </c>
      <c r="I556" t="s">
        <v>1245</v>
      </c>
      <c r="J556" t="s">
        <v>1318</v>
      </c>
      <c r="K556">
        <v>44043</v>
      </c>
      <c r="L556">
        <v>0.026905829596412</v>
      </c>
      <c r="M556">
        <v>-0.04732090128268418</v>
      </c>
      <c r="N556">
        <v>0.12</v>
      </c>
      <c r="O556">
        <v>0.07816033229302688</v>
      </c>
      <c r="P556" t="s">
        <v>586</v>
      </c>
      <c r="Q556" t="s">
        <v>586</v>
      </c>
      <c r="R556">
        <v>0</v>
      </c>
      <c r="S556">
        <v>9.99</v>
      </c>
      <c r="T556">
        <v>21</v>
      </c>
      <c r="U556">
        <v>1.274285714285714</v>
      </c>
      <c r="V556">
        <v>-3.2342</v>
      </c>
      <c r="W556">
        <v>-1.95</v>
      </c>
      <c r="X556">
        <v>0.72</v>
      </c>
      <c r="Y556">
        <v>-0.34492</v>
      </c>
      <c r="Z556">
        <v>0.3613861386138614</v>
      </c>
      <c r="AA556">
        <v>0.2632423756019262</v>
      </c>
      <c r="AB556">
        <v>0.9534510433386838</v>
      </c>
      <c r="AC556">
        <v>0.2728731942215089</v>
      </c>
      <c r="AD556">
        <v>0.5136436597110755</v>
      </c>
    </row>
    <row r="557" spans="1:30">
      <c r="A557" s="1" t="s">
        <v>564</v>
      </c>
      <c r="B557">
        <f>HYPERLINK("https://www.suredividend.com/sure-analysis-EADSY/","Airbus SE")</f>
        <v>0</v>
      </c>
      <c r="C557">
        <v>17.54</v>
      </c>
      <c r="D557">
        <v>54979.683773</v>
      </c>
      <c r="E557" t="s">
        <v>664</v>
      </c>
      <c r="F557" t="s">
        <v>632</v>
      </c>
      <c r="G557" t="s">
        <v>683</v>
      </c>
      <c r="H557" t="s">
        <v>702</v>
      </c>
      <c r="I557" t="s">
        <v>1246</v>
      </c>
      <c r="J557" t="s">
        <v>1319</v>
      </c>
      <c r="K557">
        <v>44053</v>
      </c>
      <c r="L557">
        <v>0.028677309007981</v>
      </c>
      <c r="M557">
        <v>0.005190980886603747</v>
      </c>
      <c r="N557">
        <v>0.06</v>
      </c>
      <c r="O557">
        <v>0.07769411498811962</v>
      </c>
      <c r="P557" t="s">
        <v>586</v>
      </c>
      <c r="Q557" t="s">
        <v>586</v>
      </c>
      <c r="R557">
        <v>0</v>
      </c>
      <c r="S557">
        <v>9.99</v>
      </c>
      <c r="T557">
        <v>18</v>
      </c>
      <c r="U557">
        <v>0.9744444444444444</v>
      </c>
      <c r="V557">
        <v>-1.5763</v>
      </c>
      <c r="W557">
        <v>-0.5</v>
      </c>
      <c r="X557">
        <v>0.503</v>
      </c>
      <c r="Y557">
        <v>-0.461963</v>
      </c>
      <c r="Z557">
        <v>0.3927392739273927</v>
      </c>
      <c r="AA557">
        <v>0.1316211878009631</v>
      </c>
      <c r="AB557">
        <v>0.6597110754414125</v>
      </c>
      <c r="AC557">
        <v>0.5906902086677368</v>
      </c>
      <c r="AD557">
        <v>0.5088282504012841</v>
      </c>
    </row>
    <row r="558" spans="1:30">
      <c r="A558" s="1" t="s">
        <v>565</v>
      </c>
      <c r="B558">
        <f>HYPERLINK("https://www.suredividend.com/sure-analysis-MAIN/","Main Street Capital Corp.")</f>
        <v>0</v>
      </c>
      <c r="C558">
        <v>29.93</v>
      </c>
      <c r="D558">
        <v>1971.348429</v>
      </c>
      <c r="E558" t="s">
        <v>665</v>
      </c>
      <c r="F558" t="s">
        <v>632</v>
      </c>
      <c r="G558" t="s">
        <v>671</v>
      </c>
      <c r="H558" t="s">
        <v>700</v>
      </c>
      <c r="I558" t="s">
        <v>1247</v>
      </c>
      <c r="J558" t="s">
        <v>1313</v>
      </c>
      <c r="K558">
        <v>44095</v>
      </c>
      <c r="L558">
        <v>0.08219178082191701</v>
      </c>
      <c r="M558">
        <v>-0.03535690847649042</v>
      </c>
      <c r="N558">
        <v>0.02</v>
      </c>
      <c r="O558">
        <v>0.07700064360830527</v>
      </c>
      <c r="P558" t="s">
        <v>586</v>
      </c>
      <c r="Q558" t="s">
        <v>372</v>
      </c>
      <c r="R558">
        <v>5</v>
      </c>
      <c r="S558">
        <v>1.32972972972973</v>
      </c>
      <c r="T558">
        <v>25</v>
      </c>
      <c r="U558">
        <v>1.1972</v>
      </c>
      <c r="V558">
        <v>-1.2056</v>
      </c>
      <c r="W558">
        <v>1.85</v>
      </c>
      <c r="X558">
        <v>2.46</v>
      </c>
      <c r="Y558">
        <v>-0.315103</v>
      </c>
      <c r="Z558">
        <v>0.8514851485148515</v>
      </c>
      <c r="AA558">
        <v>0.3033707865168539</v>
      </c>
      <c r="AB558">
        <v>0.1613162118780096</v>
      </c>
      <c r="AC558">
        <v>0.3531300160513643</v>
      </c>
      <c r="AD558">
        <v>0.5040128410914928</v>
      </c>
    </row>
    <row r="559" spans="1:30">
      <c r="A559" s="1" t="s">
        <v>566</v>
      </c>
      <c r="B559">
        <f>HYPERLINK("https://www.suredividend.com/sure-analysis-PBA/","Pembina Pipeline Corp.")</f>
        <v>0</v>
      </c>
      <c r="C559">
        <v>21.6</v>
      </c>
      <c r="D559">
        <v>11876.4792</v>
      </c>
      <c r="E559" t="s">
        <v>661</v>
      </c>
      <c r="F559" t="s">
        <v>632</v>
      </c>
      <c r="G559" t="s">
        <v>673</v>
      </c>
      <c r="H559" t="s">
        <v>700</v>
      </c>
      <c r="I559" t="s">
        <v>1248</v>
      </c>
      <c r="J559" t="s">
        <v>1317</v>
      </c>
      <c r="K559">
        <v>44074</v>
      </c>
      <c r="L559">
        <v>0.08481430727009001</v>
      </c>
      <c r="M559">
        <v>-0.04676707625536691</v>
      </c>
      <c r="N559">
        <v>0.05</v>
      </c>
      <c r="O559">
        <v>0.0749111908772897</v>
      </c>
      <c r="P559" t="s">
        <v>586</v>
      </c>
      <c r="Q559" t="s">
        <v>372</v>
      </c>
      <c r="R559">
        <v>4</v>
      </c>
      <c r="S559">
        <v>1.221326024689307</v>
      </c>
      <c r="T559">
        <v>17</v>
      </c>
      <c r="U559">
        <v>1.270588235294118</v>
      </c>
      <c r="V559">
        <v>1.3126</v>
      </c>
      <c r="W559">
        <v>1.5</v>
      </c>
      <c r="X559">
        <v>1.83198903703396</v>
      </c>
      <c r="Y559">
        <v>-0.420756</v>
      </c>
      <c r="Z559">
        <v>0.8564356435643564</v>
      </c>
      <c r="AA559">
        <v>0.1669341894060995</v>
      </c>
      <c r="AB559">
        <v>0.5296950240770465</v>
      </c>
      <c r="AC559">
        <v>0.2776886035313001</v>
      </c>
      <c r="AD559">
        <v>0.492776886035313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5.1</v>
      </c>
      <c r="D560">
        <v>1395.9057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44019</v>
      </c>
      <c r="L560">
        <v>0.194117647058823</v>
      </c>
      <c r="M560">
        <v>-0.02472191044052729</v>
      </c>
      <c r="N560">
        <v>0.001</v>
      </c>
      <c r="O560">
        <v>0.07288182369148322</v>
      </c>
      <c r="P560" t="s">
        <v>586</v>
      </c>
      <c r="Q560" t="s">
        <v>372</v>
      </c>
      <c r="R560">
        <v>0</v>
      </c>
      <c r="S560">
        <v>1.98</v>
      </c>
      <c r="T560">
        <v>4.5</v>
      </c>
      <c r="U560">
        <v>1.133333333333333</v>
      </c>
      <c r="V560">
        <v>-6.1366</v>
      </c>
      <c r="W560">
        <v>0.5</v>
      </c>
      <c r="X560">
        <v>0.99</v>
      </c>
      <c r="Y560">
        <v>-0.625551</v>
      </c>
      <c r="Z560">
        <v>0.9818481848184818</v>
      </c>
      <c r="AA560">
        <v>0.04333868378812199</v>
      </c>
      <c r="AB560">
        <v>0.07223113964686999</v>
      </c>
      <c r="AC560">
        <v>0.4093097913322633</v>
      </c>
      <c r="AD560">
        <v>0.4815409309791333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11.22</v>
      </c>
      <c r="D561">
        <v>4852.69488</v>
      </c>
      <c r="E561" t="s">
        <v>669</v>
      </c>
      <c r="F561" t="s">
        <v>634</v>
      </c>
      <c r="G561" t="s">
        <v>671</v>
      </c>
      <c r="H561" t="s">
        <v>700</v>
      </c>
      <c r="I561" t="s">
        <v>1250</v>
      </c>
      <c r="J561" t="s">
        <v>1323</v>
      </c>
      <c r="K561">
        <v>44012</v>
      </c>
      <c r="L561">
        <v>0.07486631016042701</v>
      </c>
      <c r="M561">
        <v>-0.08237338666412064</v>
      </c>
      <c r="N561">
        <v>0.11</v>
      </c>
      <c r="O561">
        <v>0.07231275636855972</v>
      </c>
      <c r="P561" t="s">
        <v>586</v>
      </c>
      <c r="Q561" t="s">
        <v>372</v>
      </c>
      <c r="R561">
        <v>0</v>
      </c>
      <c r="S561">
        <v>1.150684931506849</v>
      </c>
      <c r="T561">
        <v>7.3</v>
      </c>
      <c r="U561">
        <v>1.536986301369863</v>
      </c>
      <c r="V561">
        <v>2.2629</v>
      </c>
      <c r="W561">
        <v>0.73</v>
      </c>
      <c r="X561">
        <v>0.84</v>
      </c>
      <c r="Y561">
        <v>-0.460058</v>
      </c>
      <c r="Z561">
        <v>0.8250825082508251</v>
      </c>
      <c r="AA561">
        <v>0.1348314606741573</v>
      </c>
      <c r="AB561">
        <v>0.9414125200642054</v>
      </c>
      <c r="AC561">
        <v>0.130016051364366</v>
      </c>
      <c r="AD561">
        <v>0.4735152487961476</v>
      </c>
    </row>
    <row r="562" spans="1:30">
      <c r="A562" s="1" t="s">
        <v>569</v>
      </c>
      <c r="B562">
        <f>HYPERLINK("https://www.suredividend.com/sure-analysis-SJR/","Shaw Communications, Inc.")</f>
        <v>0</v>
      </c>
      <c r="C562">
        <v>18.11</v>
      </c>
      <c r="D562">
        <v>9288.52845</v>
      </c>
      <c r="E562" t="s">
        <v>665</v>
      </c>
      <c r="F562" t="s">
        <v>632</v>
      </c>
      <c r="G562" t="s">
        <v>673</v>
      </c>
      <c r="H562" t="s">
        <v>700</v>
      </c>
      <c r="I562" t="s">
        <v>1251</v>
      </c>
      <c r="J562" t="s">
        <v>1314</v>
      </c>
      <c r="K562">
        <v>44049</v>
      </c>
      <c r="L562">
        <v>0.06543346217559301</v>
      </c>
      <c r="M562">
        <v>-0.01844848259090459</v>
      </c>
      <c r="N562">
        <v>0.05</v>
      </c>
      <c r="O562">
        <v>0.07223418609490695</v>
      </c>
      <c r="P562" t="s">
        <v>586</v>
      </c>
      <c r="Q562" t="s">
        <v>446</v>
      </c>
      <c r="R562">
        <v>0</v>
      </c>
      <c r="S562">
        <v>1.221649484536083</v>
      </c>
      <c r="T562">
        <v>16.5</v>
      </c>
      <c r="U562">
        <v>1.097575757575758</v>
      </c>
      <c r="V562">
        <v>0.9707</v>
      </c>
      <c r="W562">
        <v>0.97</v>
      </c>
      <c r="X562">
        <v>1.185</v>
      </c>
      <c r="Y562">
        <v>-0.087198</v>
      </c>
      <c r="Z562">
        <v>0.7722772277227723</v>
      </c>
      <c r="AA562">
        <v>0.5746388443017656</v>
      </c>
      <c r="AB562">
        <v>0.5296950240770465</v>
      </c>
      <c r="AC562">
        <v>0.4542536115569824</v>
      </c>
      <c r="AD562">
        <v>0.4719101123595506</v>
      </c>
    </row>
    <row r="563" spans="1:30">
      <c r="A563" s="1" t="s">
        <v>570</v>
      </c>
      <c r="B563">
        <f>HYPERLINK("https://www.suredividend.com/sure-analysis-KTB/","Kontoor Brands, Inc.")</f>
        <v>0</v>
      </c>
      <c r="C563">
        <v>23.03</v>
      </c>
      <c r="D563">
        <v>1315.185725</v>
      </c>
      <c r="E563" t="s">
        <v>664</v>
      </c>
      <c r="F563" t="s">
        <v>632</v>
      </c>
      <c r="G563" t="s">
        <v>671</v>
      </c>
      <c r="H563" t="s">
        <v>700</v>
      </c>
      <c r="I563" t="s">
        <v>1252</v>
      </c>
      <c r="J563" t="s">
        <v>1318</v>
      </c>
      <c r="K563">
        <v>44062</v>
      </c>
      <c r="L563">
        <v>0.07294832826747701</v>
      </c>
      <c r="M563">
        <v>0.03985508205752408</v>
      </c>
      <c r="N563">
        <v>0.03</v>
      </c>
      <c r="O563">
        <v>0.0710507345192497</v>
      </c>
      <c r="P563" t="s">
        <v>586</v>
      </c>
      <c r="Q563" t="s">
        <v>372</v>
      </c>
      <c r="R563">
        <v>0</v>
      </c>
      <c r="S563">
        <v>1.2</v>
      </c>
      <c r="T563">
        <v>28</v>
      </c>
      <c r="U563">
        <v>0.8225</v>
      </c>
      <c r="V563">
        <v>0.1304</v>
      </c>
      <c r="W563">
        <v>1.4</v>
      </c>
      <c r="X563">
        <v>1.68</v>
      </c>
      <c r="Y563">
        <v>-0.328571</v>
      </c>
      <c r="Z563">
        <v>0.8135313531353136</v>
      </c>
      <c r="AA563">
        <v>0.2873194221508828</v>
      </c>
      <c r="AB563">
        <v>0.2680577849117175</v>
      </c>
      <c r="AC563">
        <v>0.7640449438202248</v>
      </c>
      <c r="AD563">
        <v>0.4622792937399678</v>
      </c>
    </row>
    <row r="564" spans="1:30">
      <c r="A564" s="1" t="s">
        <v>571</v>
      </c>
      <c r="B564">
        <f>HYPERLINK("https://www.suredividend.com/sure-analysis-SCHL/","Scholastic Corp.")</f>
        <v>0</v>
      </c>
      <c r="C564">
        <v>20.62</v>
      </c>
      <c r="D564">
        <v>704.820468</v>
      </c>
      <c r="E564" t="s">
        <v>664</v>
      </c>
      <c r="F564" t="s">
        <v>632</v>
      </c>
      <c r="G564" t="s">
        <v>671</v>
      </c>
      <c r="H564" t="s">
        <v>701</v>
      </c>
      <c r="I564" t="s">
        <v>1253</v>
      </c>
      <c r="J564" t="s">
        <v>1314</v>
      </c>
      <c r="K564">
        <v>44042</v>
      </c>
      <c r="L564">
        <v>0.02909796314258</v>
      </c>
      <c r="M564">
        <v>-0.006087238240864434</v>
      </c>
      <c r="N564">
        <v>0.05</v>
      </c>
      <c r="O564">
        <v>0.0670611803387291</v>
      </c>
      <c r="P564" t="s">
        <v>586</v>
      </c>
      <c r="Q564" t="s">
        <v>586</v>
      </c>
      <c r="R564">
        <v>0</v>
      </c>
      <c r="S564">
        <v>1.714285714285715</v>
      </c>
      <c r="T564">
        <v>20</v>
      </c>
      <c r="U564">
        <v>1.031</v>
      </c>
      <c r="V564">
        <v>-0.7591</v>
      </c>
      <c r="W564">
        <v>0.35</v>
      </c>
      <c r="X564">
        <v>0.6000000000000001</v>
      </c>
      <c r="Y564">
        <v>-0.44674</v>
      </c>
      <c r="Z564">
        <v>0.3993399339933993</v>
      </c>
      <c r="AA564">
        <v>0.1460674157303371</v>
      </c>
      <c r="AB564">
        <v>0.5296950240770465</v>
      </c>
      <c r="AC564">
        <v>0.5264847512038524</v>
      </c>
      <c r="AD564">
        <v>0.4414125200642054</v>
      </c>
    </row>
    <row r="565" spans="1:30">
      <c r="A565" s="1" t="s">
        <v>572</v>
      </c>
      <c r="B565">
        <f>HYPERLINK("https://www.suredividend.com/sure-analysis-R/","Ryder System, Inc.")</f>
        <v>0</v>
      </c>
      <c r="C565">
        <v>40.97</v>
      </c>
      <c r="D565">
        <v>2204.956236</v>
      </c>
      <c r="E565" t="s">
        <v>660</v>
      </c>
      <c r="F565" t="s">
        <v>632</v>
      </c>
      <c r="G565" t="s">
        <v>671</v>
      </c>
      <c r="H565" t="s">
        <v>700</v>
      </c>
      <c r="I565" t="s">
        <v>1254</v>
      </c>
      <c r="J565" t="s">
        <v>1319</v>
      </c>
      <c r="K565">
        <v>44042</v>
      </c>
      <c r="L565">
        <v>0.054674151818403</v>
      </c>
      <c r="M565">
        <v>-0.0310074989868877</v>
      </c>
      <c r="N565">
        <v>0.05</v>
      </c>
      <c r="O565">
        <v>0.06658299671067724</v>
      </c>
      <c r="P565" t="s">
        <v>586</v>
      </c>
      <c r="Q565" t="s">
        <v>446</v>
      </c>
      <c r="R565">
        <v>15</v>
      </c>
      <c r="S565">
        <v>9.99</v>
      </c>
      <c r="T565">
        <v>35</v>
      </c>
      <c r="U565">
        <v>1.170571428571429</v>
      </c>
      <c r="V565">
        <v>-6.2916</v>
      </c>
      <c r="W565">
        <v>-2</v>
      </c>
      <c r="X565">
        <v>2.24</v>
      </c>
      <c r="Y565">
        <v>-0.20693</v>
      </c>
      <c r="Z565">
        <v>0.7029702970297029</v>
      </c>
      <c r="AA565">
        <v>0.4077046548956661</v>
      </c>
      <c r="AB565">
        <v>0.5296950240770465</v>
      </c>
      <c r="AC565">
        <v>0.3788121990369182</v>
      </c>
      <c r="AD565">
        <v>0.4398073836276083</v>
      </c>
    </row>
    <row r="566" spans="1:30">
      <c r="A566" s="1" t="s">
        <v>573</v>
      </c>
      <c r="B566">
        <f>HYPERLINK("https://www.suredividend.com/sure-analysis-AB/","AllianceBernstein Holding LP")</f>
        <v>0</v>
      </c>
      <c r="C566">
        <v>27.38</v>
      </c>
      <c r="D566">
        <v>2640.30816</v>
      </c>
      <c r="E566" t="s">
        <v>669</v>
      </c>
      <c r="F566" t="s">
        <v>632</v>
      </c>
      <c r="G566" t="s">
        <v>671</v>
      </c>
      <c r="H566" t="s">
        <v>700</v>
      </c>
      <c r="I566" t="s">
        <v>1255</v>
      </c>
      <c r="J566" t="s">
        <v>1313</v>
      </c>
      <c r="K566">
        <v>44041</v>
      </c>
      <c r="L566">
        <v>0.097881665449233</v>
      </c>
      <c r="M566">
        <v>-0.01028994884106504</v>
      </c>
      <c r="N566">
        <v>-0.002</v>
      </c>
      <c r="O566">
        <v>0.06603528007642523</v>
      </c>
      <c r="P566" t="s">
        <v>586</v>
      </c>
      <c r="Q566" t="s">
        <v>372</v>
      </c>
      <c r="R566">
        <v>0</v>
      </c>
      <c r="S566">
        <v>1.038759689922481</v>
      </c>
      <c r="T566">
        <v>26</v>
      </c>
      <c r="U566">
        <v>1.053076923076923</v>
      </c>
      <c r="V566">
        <v>2.6776</v>
      </c>
      <c r="W566">
        <v>2.58</v>
      </c>
      <c r="X566">
        <v>2.68</v>
      </c>
      <c r="Y566">
        <v>-0.07123499999999999</v>
      </c>
      <c r="Z566">
        <v>0.8811881188118812</v>
      </c>
      <c r="AA566">
        <v>0.5874799357945425</v>
      </c>
      <c r="AB566">
        <v>0.02568218298555377</v>
      </c>
      <c r="AC566">
        <v>0.4943820224719102</v>
      </c>
      <c r="AD566">
        <v>0.4333868378812199</v>
      </c>
    </row>
    <row r="567" spans="1:30">
      <c r="A567" s="1" t="s">
        <v>574</v>
      </c>
      <c r="B567">
        <f>HYPERLINK("https://www.suredividend.com/sure-analysis-CODI/","Compass Diversified Holdings")</f>
        <v>0</v>
      </c>
      <c r="C567">
        <v>17.69</v>
      </c>
      <c r="D567">
        <v>1148.081</v>
      </c>
      <c r="E567" t="s">
        <v>664</v>
      </c>
      <c r="F567" t="s">
        <v>632</v>
      </c>
      <c r="G567" t="s">
        <v>671</v>
      </c>
      <c r="H567" t="s">
        <v>700</v>
      </c>
      <c r="I567" t="s">
        <v>1256</v>
      </c>
      <c r="J567" t="s">
        <v>1319</v>
      </c>
      <c r="K567">
        <v>44061</v>
      </c>
      <c r="L567">
        <v>0.081401921989824</v>
      </c>
      <c r="M567">
        <v>-0.04571073023426908</v>
      </c>
      <c r="N567">
        <v>0.04</v>
      </c>
      <c r="O567">
        <v>0.064967547817675</v>
      </c>
      <c r="P567" t="s">
        <v>586</v>
      </c>
      <c r="Q567" t="s">
        <v>372</v>
      </c>
      <c r="R567">
        <v>0</v>
      </c>
      <c r="S567">
        <v>1.2</v>
      </c>
      <c r="T567">
        <v>14</v>
      </c>
      <c r="U567">
        <v>1.263571428571429</v>
      </c>
      <c r="V567">
        <v>-2.1031</v>
      </c>
      <c r="W567">
        <v>1.2</v>
      </c>
      <c r="X567">
        <v>1.44</v>
      </c>
      <c r="Y567">
        <v>-0.09744899999999999</v>
      </c>
      <c r="Z567">
        <v>0.8465346534653466</v>
      </c>
      <c r="AA567">
        <v>0.5601926163723917</v>
      </c>
      <c r="AB567">
        <v>0.4012841091492777</v>
      </c>
      <c r="AC567">
        <v>0.2841091492776886</v>
      </c>
      <c r="AD567">
        <v>0.4269662921348315</v>
      </c>
    </row>
    <row r="568" spans="1:30">
      <c r="A568" s="1" t="s">
        <v>575</v>
      </c>
      <c r="B568">
        <f>HYPERLINK("https://www.suredividend.com/sure-analysis-VGR/","Vector Group Ltd.")</f>
        <v>0</v>
      </c>
      <c r="C568">
        <v>9.720000000000001</v>
      </c>
      <c r="D568">
        <v>1490.00796</v>
      </c>
      <c r="E568" t="s">
        <v>667</v>
      </c>
      <c r="F568" t="s">
        <v>632</v>
      </c>
      <c r="G568" t="s">
        <v>671</v>
      </c>
      <c r="H568" t="s">
        <v>700</v>
      </c>
      <c r="I568" t="s">
        <v>1257</v>
      </c>
      <c r="J568" t="s">
        <v>1321</v>
      </c>
      <c r="K568">
        <v>44063</v>
      </c>
      <c r="L568">
        <v>0.121497158907458</v>
      </c>
      <c r="M568">
        <v>-0.03820006272852428</v>
      </c>
      <c r="N568">
        <v>0.03</v>
      </c>
      <c r="O568">
        <v>0.06431055683714271</v>
      </c>
      <c r="P568" t="s">
        <v>586</v>
      </c>
      <c r="Q568" t="s">
        <v>372</v>
      </c>
      <c r="R568">
        <v>0</v>
      </c>
      <c r="S568">
        <v>2.880371669708536</v>
      </c>
      <c r="T568">
        <v>8</v>
      </c>
      <c r="U568">
        <v>1.215</v>
      </c>
      <c r="V568">
        <v>0.4364</v>
      </c>
      <c r="W568">
        <v>0.41</v>
      </c>
      <c r="X568">
        <v>1.1809523845805</v>
      </c>
      <c r="Y568">
        <v>-0.172061</v>
      </c>
      <c r="Z568">
        <v>0.9207920792079207</v>
      </c>
      <c r="AA568">
        <v>0.4622792937399678</v>
      </c>
      <c r="AB568">
        <v>0.2680577849117175</v>
      </c>
      <c r="AC568">
        <v>0.3322632423756019</v>
      </c>
      <c r="AD568">
        <v>0.420545746388443</v>
      </c>
    </row>
    <row r="569" spans="1:30">
      <c r="A569" s="1" t="s">
        <v>576</v>
      </c>
      <c r="B569">
        <f>HYPERLINK("https://www.suredividend.com/sure-analysis-PTEN/","Patterson-UTI Energy, Inc.")</f>
        <v>0</v>
      </c>
      <c r="C569">
        <v>2.86</v>
      </c>
      <c r="D569">
        <v>535.98116</v>
      </c>
      <c r="E569" t="s">
        <v>661</v>
      </c>
      <c r="F569" t="s">
        <v>632</v>
      </c>
      <c r="G569" t="s">
        <v>671</v>
      </c>
      <c r="H569" t="s">
        <v>701</v>
      </c>
      <c r="I569" t="s">
        <v>1258</v>
      </c>
      <c r="J569" t="s">
        <v>1317</v>
      </c>
      <c r="K569">
        <v>44057</v>
      </c>
      <c r="L569">
        <v>0.048951048951048</v>
      </c>
      <c r="M569">
        <v>0.2077700647906346</v>
      </c>
      <c r="N569">
        <v>-0.14</v>
      </c>
      <c r="O569">
        <v>0.06376904774821157</v>
      </c>
      <c r="P569" t="s">
        <v>586</v>
      </c>
      <c r="Q569" t="s">
        <v>446</v>
      </c>
      <c r="R569">
        <v>0</v>
      </c>
      <c r="S569">
        <v>9.99</v>
      </c>
      <c r="T569">
        <v>7.35</v>
      </c>
      <c r="U569">
        <v>0.3891156462585034</v>
      </c>
      <c r="V569">
        <v>-4.842</v>
      </c>
      <c r="W569">
        <v>-2.4</v>
      </c>
      <c r="X569">
        <v>0.14</v>
      </c>
      <c r="Y569">
        <v>-0.680291</v>
      </c>
      <c r="Z569">
        <v>0.6452145214521452</v>
      </c>
      <c r="AA569">
        <v>0.02407704654895666</v>
      </c>
      <c r="AB569">
        <v>0.003210272873194221</v>
      </c>
      <c r="AC569">
        <v>0.9983948635634029</v>
      </c>
      <c r="AD569">
        <v>0.4157303370786517</v>
      </c>
    </row>
    <row r="570" spans="1:30">
      <c r="A570" s="1" t="s">
        <v>577</v>
      </c>
      <c r="B570">
        <f>HYPERLINK("https://www.suredividend.com/sure-analysis-DX/","Dynex Capital, Inc.")</f>
        <v>0</v>
      </c>
      <c r="C570">
        <v>15.27</v>
      </c>
      <c r="D570">
        <v>353.356962</v>
      </c>
      <c r="E570" t="s">
        <v>669</v>
      </c>
      <c r="F570" t="s">
        <v>634</v>
      </c>
      <c r="G570" t="s">
        <v>671</v>
      </c>
      <c r="H570" t="s">
        <v>700</v>
      </c>
      <c r="I570" t="s">
        <v>1259</v>
      </c>
      <c r="J570" t="s">
        <v>1323</v>
      </c>
      <c r="K570">
        <v>44077</v>
      </c>
      <c r="L570">
        <v>0.118533071381794</v>
      </c>
      <c r="M570">
        <v>-0.01721662843035732</v>
      </c>
      <c r="N570">
        <v>0</v>
      </c>
      <c r="O570">
        <v>0.06376294867131471</v>
      </c>
      <c r="P570" t="s">
        <v>586</v>
      </c>
      <c r="Q570" t="s">
        <v>637</v>
      </c>
      <c r="R570">
        <v>0</v>
      </c>
      <c r="S570">
        <v>1.005555555555556</v>
      </c>
      <c r="T570">
        <v>14</v>
      </c>
      <c r="U570">
        <v>1.090714285714286</v>
      </c>
      <c r="V570">
        <v>4.2868</v>
      </c>
      <c r="W570">
        <v>1.8</v>
      </c>
      <c r="X570">
        <v>1.81</v>
      </c>
      <c r="Y570">
        <v>0.034553</v>
      </c>
      <c r="Z570">
        <v>0.9125412541254125</v>
      </c>
      <c r="AA570">
        <v>0.7303370786516854</v>
      </c>
      <c r="AB570">
        <v>0.04895666131621188</v>
      </c>
      <c r="AC570">
        <v>0.4606741573033708</v>
      </c>
      <c r="AD570">
        <v>0.4141252006420546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84.3</v>
      </c>
      <c r="D571">
        <v>98546.7</v>
      </c>
      <c r="E571" t="s">
        <v>660</v>
      </c>
      <c r="F571" t="s">
        <v>632</v>
      </c>
      <c r="G571" t="s">
        <v>671</v>
      </c>
      <c r="H571" t="s">
        <v>701</v>
      </c>
      <c r="I571" t="s">
        <v>1260</v>
      </c>
      <c r="J571" t="s">
        <v>1318</v>
      </c>
      <c r="K571">
        <v>44042</v>
      </c>
      <c r="L571">
        <v>0.018861209964412</v>
      </c>
      <c r="M571">
        <v>-0.05959956146911005</v>
      </c>
      <c r="N571">
        <v>0.1</v>
      </c>
      <c r="O571">
        <v>0.05507549512773635</v>
      </c>
      <c r="P571" t="s">
        <v>586</v>
      </c>
      <c r="Q571" t="s">
        <v>586</v>
      </c>
      <c r="R571">
        <v>10</v>
      </c>
      <c r="S571">
        <v>1.766666666666666</v>
      </c>
      <c r="T571">
        <v>62</v>
      </c>
      <c r="U571">
        <v>1.359677419354839</v>
      </c>
      <c r="V571">
        <v>1.1278</v>
      </c>
      <c r="W571">
        <v>0.9</v>
      </c>
      <c r="X571">
        <v>1.59</v>
      </c>
      <c r="Y571">
        <v>-0.061247</v>
      </c>
      <c r="Z571">
        <v>0.2376237623762376</v>
      </c>
      <c r="AA571">
        <v>0.6019261637239165</v>
      </c>
      <c r="AB571">
        <v>0.9165329052969503</v>
      </c>
      <c r="AC571">
        <v>0.2086677367576244</v>
      </c>
      <c r="AD571">
        <v>0.3739967897271268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13.36</v>
      </c>
      <c r="D572">
        <v>35847.1512</v>
      </c>
      <c r="E572" t="s">
        <v>666</v>
      </c>
      <c r="F572" t="s">
        <v>632</v>
      </c>
      <c r="G572" t="s">
        <v>677</v>
      </c>
      <c r="H572" t="s">
        <v>701</v>
      </c>
      <c r="I572" t="s">
        <v>1261</v>
      </c>
      <c r="J572" t="s">
        <v>1314</v>
      </c>
      <c r="K572">
        <v>44069</v>
      </c>
      <c r="L572">
        <v>0.074944386227544</v>
      </c>
      <c r="M572">
        <v>-0.03812808248993393</v>
      </c>
      <c r="N572">
        <v>0.02</v>
      </c>
      <c r="O572">
        <v>0.05298519090844134</v>
      </c>
      <c r="P572" t="s">
        <v>586</v>
      </c>
      <c r="Q572" t="s">
        <v>372</v>
      </c>
      <c r="R572">
        <v>0</v>
      </c>
      <c r="S572">
        <v>1.206333734939759</v>
      </c>
      <c r="T572">
        <v>11</v>
      </c>
      <c r="U572">
        <v>1.214545454545455</v>
      </c>
      <c r="V572">
        <v>-0.3902</v>
      </c>
      <c r="W572">
        <v>0.83</v>
      </c>
      <c r="X572">
        <v>1.001257</v>
      </c>
      <c r="Y572">
        <v>-0.333666</v>
      </c>
      <c r="Z572">
        <v>0.8267326732673267</v>
      </c>
      <c r="AA572">
        <v>0.2825040128410915</v>
      </c>
      <c r="AB572">
        <v>0.1613162118780096</v>
      </c>
      <c r="AC572">
        <v>0.3354735152487962</v>
      </c>
      <c r="AD572">
        <v>0.362760834670947</v>
      </c>
    </row>
    <row r="573" spans="1:30">
      <c r="A573" s="1" t="s">
        <v>580</v>
      </c>
      <c r="B573">
        <f>HYPERLINK("https://www.suredividend.com/sure-analysis-ALK/","Alaska Air Group, Inc.")</f>
        <v>0</v>
      </c>
      <c r="C573">
        <v>36.7</v>
      </c>
      <c r="D573">
        <v>4537.588</v>
      </c>
      <c r="E573" t="s">
        <v>666</v>
      </c>
      <c r="F573" t="s">
        <v>632</v>
      </c>
      <c r="G573" t="s">
        <v>671</v>
      </c>
      <c r="H573" t="s">
        <v>700</v>
      </c>
      <c r="I573" t="s">
        <v>1262</v>
      </c>
      <c r="J573" t="s">
        <v>1319</v>
      </c>
      <c r="K573">
        <v>44057</v>
      </c>
      <c r="L573">
        <v>0.01975476839237</v>
      </c>
      <c r="M573">
        <v>0.01736966809974083</v>
      </c>
      <c r="N573">
        <v>0.02</v>
      </c>
      <c r="O573">
        <v>0.05144727339733368</v>
      </c>
      <c r="P573" t="s">
        <v>586</v>
      </c>
      <c r="Q573" t="s">
        <v>586</v>
      </c>
      <c r="R573">
        <v>0</v>
      </c>
      <c r="S573">
        <v>9.99</v>
      </c>
      <c r="T573">
        <v>40</v>
      </c>
      <c r="U573">
        <v>0.9175000000000001</v>
      </c>
      <c r="V573">
        <v>0.4573</v>
      </c>
      <c r="W573">
        <v>-8.75</v>
      </c>
      <c r="X573">
        <v>0.725</v>
      </c>
      <c r="Y573">
        <v>-0.431625</v>
      </c>
      <c r="Z573">
        <v>0.2590759075907591</v>
      </c>
      <c r="AA573">
        <v>0.158908507223114</v>
      </c>
      <c r="AB573">
        <v>0.1613162118780096</v>
      </c>
      <c r="AC573">
        <v>0.6484751203852328</v>
      </c>
      <c r="AD573">
        <v>0.3547351524879614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14.49</v>
      </c>
      <c r="D574">
        <v>46677.628464</v>
      </c>
      <c r="E574" t="s">
        <v>662</v>
      </c>
      <c r="F574" t="s">
        <v>632</v>
      </c>
      <c r="G574" t="s">
        <v>671</v>
      </c>
      <c r="H574" t="s">
        <v>700</v>
      </c>
      <c r="I574" t="s">
        <v>1263</v>
      </c>
      <c r="J574" t="s">
        <v>1317</v>
      </c>
      <c r="K574">
        <v>44038</v>
      </c>
      <c r="L574">
        <v>0.060731538992408</v>
      </c>
      <c r="M574">
        <v>-0.00685667037055171</v>
      </c>
      <c r="N574">
        <v>0.02</v>
      </c>
      <c r="O574">
        <v>0.05048919724905687</v>
      </c>
      <c r="P574" t="s">
        <v>586</v>
      </c>
      <c r="Q574" t="s">
        <v>446</v>
      </c>
      <c r="R574">
        <v>0</v>
      </c>
      <c r="S574">
        <v>2.666666666666667</v>
      </c>
      <c r="T574">
        <v>14</v>
      </c>
      <c r="U574">
        <v>1.035</v>
      </c>
      <c r="V574">
        <v>-0.6881</v>
      </c>
      <c r="W574">
        <v>0.33</v>
      </c>
      <c r="X574">
        <v>0.88</v>
      </c>
      <c r="Y574">
        <v>-0.247273</v>
      </c>
      <c r="Z574">
        <v>0.7425742574257426</v>
      </c>
      <c r="AA574">
        <v>0.3691813804173355</v>
      </c>
      <c r="AB574">
        <v>0.1613162118780096</v>
      </c>
      <c r="AC574">
        <v>0.5136436597110755</v>
      </c>
      <c r="AD574">
        <v>0.346709470304976</v>
      </c>
    </row>
    <row r="575" spans="1:30">
      <c r="A575" s="1" t="s">
        <v>582</v>
      </c>
      <c r="B575">
        <f>HYPERLINK("https://www.suredividend.com/sure-analysis-RRD/","R.R. Donnelley &amp; Sons Co.")</f>
        <v>0</v>
      </c>
      <c r="C575">
        <v>1.41</v>
      </c>
      <c r="D575">
        <v>100.674</v>
      </c>
      <c r="E575" t="s">
        <v>660</v>
      </c>
      <c r="F575" t="s">
        <v>632</v>
      </c>
      <c r="G575" t="s">
        <v>671</v>
      </c>
      <c r="H575" t="s">
        <v>700</v>
      </c>
      <c r="I575" t="s">
        <v>1264</v>
      </c>
      <c r="J575" t="s">
        <v>1319</v>
      </c>
      <c r="K575">
        <v>44042</v>
      </c>
      <c r="L575">
        <v>0.042553191489361</v>
      </c>
      <c r="M575">
        <v>0.05005169060192549</v>
      </c>
      <c r="N575">
        <v>0</v>
      </c>
      <c r="O575">
        <v>0.05005169060192549</v>
      </c>
      <c r="P575" t="s">
        <v>586</v>
      </c>
      <c r="Q575" t="s">
        <v>586</v>
      </c>
      <c r="R575">
        <v>0</v>
      </c>
      <c r="S575">
        <v>9.99</v>
      </c>
      <c r="T575">
        <v>1.8</v>
      </c>
      <c r="U575">
        <v>0.7833333333333334</v>
      </c>
      <c r="V575">
        <v>-2.0561</v>
      </c>
      <c r="W575">
        <v>-1</v>
      </c>
      <c r="X575">
        <v>0.06</v>
      </c>
      <c r="Y575">
        <v>-0.614754</v>
      </c>
      <c r="Z575">
        <v>0.5858085808580857</v>
      </c>
      <c r="AA575">
        <v>0.04654895666131621</v>
      </c>
      <c r="AB575">
        <v>0.04895666131621188</v>
      </c>
      <c r="AC575">
        <v>0.8362760834670947</v>
      </c>
      <c r="AD575">
        <v>0.3434991974317817</v>
      </c>
    </row>
    <row r="576" spans="1:30">
      <c r="A576" s="1" t="s">
        <v>583</v>
      </c>
      <c r="B576">
        <f>HYPERLINK("https://www.suredividend.com/sure-analysis-ORC/","Orchid Island Capital, Inc.")</f>
        <v>0</v>
      </c>
      <c r="C576">
        <v>5.13</v>
      </c>
      <c r="D576">
        <v>353.490345</v>
      </c>
      <c r="E576" t="s">
        <v>669</v>
      </c>
      <c r="F576" t="s">
        <v>634</v>
      </c>
      <c r="G576" t="s">
        <v>671</v>
      </c>
      <c r="H576" t="s">
        <v>700</v>
      </c>
      <c r="I576" t="s">
        <v>1265</v>
      </c>
      <c r="J576" t="s">
        <v>1323</v>
      </c>
      <c r="K576">
        <v>44015</v>
      </c>
      <c r="L576">
        <v>0.17251461988304</v>
      </c>
      <c r="M576">
        <v>-0.04854440296325058</v>
      </c>
      <c r="N576">
        <v>-0.019</v>
      </c>
      <c r="O576">
        <v>0.04641859701750528</v>
      </c>
      <c r="P576" t="s">
        <v>586</v>
      </c>
      <c r="Q576" t="s">
        <v>637</v>
      </c>
      <c r="R576">
        <v>0</v>
      </c>
      <c r="S576">
        <v>1.164473684210526</v>
      </c>
      <c r="T576">
        <v>4</v>
      </c>
      <c r="U576">
        <v>1.2825</v>
      </c>
      <c r="V576">
        <v>-0.5219</v>
      </c>
      <c r="W576">
        <v>0.76</v>
      </c>
      <c r="X576">
        <v>0.885</v>
      </c>
      <c r="Y576">
        <v>-0.124573</v>
      </c>
      <c r="Z576">
        <v>0.9669966996699669</v>
      </c>
      <c r="AA576">
        <v>0.5296950240770465</v>
      </c>
      <c r="AB576">
        <v>0.02086677367576244</v>
      </c>
      <c r="AC576">
        <v>0.261637239165329</v>
      </c>
      <c r="AD576">
        <v>0.3274478330658106</v>
      </c>
    </row>
    <row r="577" spans="1:30">
      <c r="A577" s="1" t="s">
        <v>584</v>
      </c>
      <c r="B577">
        <f>HYPERLINK("https://www.suredividend.com/sure-analysis-NTR/","Nutrien Ltd.")</f>
        <v>0</v>
      </c>
      <c r="C577">
        <v>39.73</v>
      </c>
      <c r="D577">
        <v>22612.17058</v>
      </c>
      <c r="E577" t="s">
        <v>668</v>
      </c>
      <c r="F577" t="s">
        <v>632</v>
      </c>
      <c r="G577" t="s">
        <v>673</v>
      </c>
      <c r="H577" t="s">
        <v>700</v>
      </c>
      <c r="I577" t="s">
        <v>1266</v>
      </c>
      <c r="J577" t="s">
        <v>1322</v>
      </c>
      <c r="K577">
        <v>43985</v>
      </c>
      <c r="L577">
        <v>0.045681100137178</v>
      </c>
      <c r="M577">
        <v>-0.04841272520013062</v>
      </c>
      <c r="N577">
        <v>0.05</v>
      </c>
      <c r="O577">
        <v>0.04460542835121606</v>
      </c>
      <c r="P577" t="s">
        <v>586</v>
      </c>
      <c r="Q577" t="s">
        <v>446</v>
      </c>
      <c r="R577">
        <v>2</v>
      </c>
      <c r="S577">
        <v>1.0082833935834</v>
      </c>
      <c r="T577">
        <v>31</v>
      </c>
      <c r="U577">
        <v>1.281612903225806</v>
      </c>
      <c r="V577">
        <v>1.4452</v>
      </c>
      <c r="W577">
        <v>1.8</v>
      </c>
      <c r="X577">
        <v>1.81491010845012</v>
      </c>
      <c r="Y577">
        <v>-0.18686</v>
      </c>
      <c r="Z577">
        <v>0.6072607260726073</v>
      </c>
      <c r="AA577">
        <v>0.4478330658105939</v>
      </c>
      <c r="AB577">
        <v>0.5296950240770465</v>
      </c>
      <c r="AC577">
        <v>0.2648475120385232</v>
      </c>
      <c r="AD577">
        <v>0.3242375601926164</v>
      </c>
    </row>
    <row r="578" spans="1:30">
      <c r="A578" s="1" t="s">
        <v>585</v>
      </c>
      <c r="B578">
        <f>HYPERLINK("https://www.suredividend.com/sure-analysis-ABEV/","Ambev SA")</f>
        <v>0</v>
      </c>
      <c r="C578">
        <v>2.33</v>
      </c>
      <c r="D578">
        <v>36658.0298</v>
      </c>
      <c r="E578" t="s">
        <v>667</v>
      </c>
      <c r="F578" t="s">
        <v>632</v>
      </c>
      <c r="G578" t="s">
        <v>686</v>
      </c>
      <c r="H578" t="s">
        <v>700</v>
      </c>
      <c r="I578" t="s">
        <v>1267</v>
      </c>
      <c r="J578" t="s">
        <v>1321</v>
      </c>
      <c r="K578">
        <v>44074</v>
      </c>
      <c r="L578">
        <v>0.051845493562231</v>
      </c>
      <c r="M578">
        <v>0.00593765234347976</v>
      </c>
      <c r="N578">
        <v>0.03</v>
      </c>
      <c r="O578">
        <v>0.04345897718400682</v>
      </c>
      <c r="P578" t="s">
        <v>586</v>
      </c>
      <c r="Q578" t="s">
        <v>446</v>
      </c>
      <c r="R578">
        <v>0</v>
      </c>
      <c r="S578">
        <v>1.006666666666667</v>
      </c>
      <c r="T578">
        <v>2.4</v>
      </c>
      <c r="U578">
        <v>0.9708333333333334</v>
      </c>
      <c r="V578">
        <v>0.1334</v>
      </c>
      <c r="W578">
        <v>0.12</v>
      </c>
      <c r="X578">
        <v>0.1208</v>
      </c>
      <c r="Y578">
        <v>-0.5021369999999999</v>
      </c>
      <c r="Z578">
        <v>0.6732673267326733</v>
      </c>
      <c r="AA578">
        <v>0.101123595505618</v>
      </c>
      <c r="AB578">
        <v>0.2680577849117175</v>
      </c>
      <c r="AC578">
        <v>0.593900481540931</v>
      </c>
      <c r="AD578">
        <v>0.3162118780096308</v>
      </c>
    </row>
    <row r="579" spans="1:30">
      <c r="A579" s="1" t="s">
        <v>586</v>
      </c>
      <c r="B579">
        <f>HYPERLINK("https://www.suredividend.com/sure-analysis-F/","Ford Motor Co.")</f>
        <v>0</v>
      </c>
      <c r="C579">
        <v>6.51</v>
      </c>
      <c r="D579">
        <v>25899.332415</v>
      </c>
      <c r="E579" t="s">
        <v>666</v>
      </c>
      <c r="F579" t="s">
        <v>632</v>
      </c>
      <c r="G579" t="s">
        <v>671</v>
      </c>
      <c r="H579" t="s">
        <v>700</v>
      </c>
      <c r="I579" t="s">
        <v>1268</v>
      </c>
      <c r="J579" t="s">
        <v>1318</v>
      </c>
      <c r="K579">
        <v>44043</v>
      </c>
      <c r="L579">
        <v>0.04608294930875501</v>
      </c>
      <c r="M579">
        <v>-0.01782879960255301</v>
      </c>
      <c r="N579">
        <v>0.02</v>
      </c>
      <c r="O579">
        <v>0.03997033317277876</v>
      </c>
      <c r="P579" t="s">
        <v>586</v>
      </c>
      <c r="Q579" t="s">
        <v>446</v>
      </c>
      <c r="R579">
        <v>0</v>
      </c>
      <c r="S579">
        <v>9.99</v>
      </c>
      <c r="T579">
        <v>5.95</v>
      </c>
      <c r="U579">
        <v>1.094117647058823</v>
      </c>
      <c r="V579">
        <v>-0.5226000000000001</v>
      </c>
      <c r="W579">
        <v>-0.75</v>
      </c>
      <c r="X579">
        <v>0.3</v>
      </c>
      <c r="Y579">
        <v>-0.287746</v>
      </c>
      <c r="Z579">
        <v>0.6171617161716171</v>
      </c>
      <c r="AA579">
        <v>0.3354735152487962</v>
      </c>
      <c r="AB579">
        <v>0.1613162118780096</v>
      </c>
      <c r="AC579">
        <v>0.4574638844301766</v>
      </c>
      <c r="AD579">
        <v>0.28892455858748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26.85</v>
      </c>
      <c r="D580">
        <v>1481.92131</v>
      </c>
      <c r="E580" t="s">
        <v>664</v>
      </c>
      <c r="F580" t="s">
        <v>632</v>
      </c>
      <c r="G580" t="s">
        <v>671</v>
      </c>
      <c r="H580" t="s">
        <v>700</v>
      </c>
      <c r="I580" t="s">
        <v>1269</v>
      </c>
      <c r="J580" t="s">
        <v>1322</v>
      </c>
      <c r="K580">
        <v>44050</v>
      </c>
      <c r="L580">
        <v>0.05083798882681501</v>
      </c>
      <c r="M580">
        <v>0.008423013475743035</v>
      </c>
      <c r="N580">
        <v>0.03</v>
      </c>
      <c r="O580">
        <v>0.03867570388001518</v>
      </c>
      <c r="P580" t="s">
        <v>586</v>
      </c>
      <c r="Q580" t="s">
        <v>446</v>
      </c>
      <c r="R580">
        <v>0</v>
      </c>
      <c r="S580">
        <v>2.73</v>
      </c>
      <c r="T580">
        <v>28</v>
      </c>
      <c r="U580">
        <v>0.9589285714285715</v>
      </c>
      <c r="V580">
        <v>0.1652</v>
      </c>
      <c r="W580">
        <v>0.5</v>
      </c>
      <c r="X580">
        <v>1.365</v>
      </c>
      <c r="Y580">
        <v>-0.229334</v>
      </c>
      <c r="Z580">
        <v>0.6617161716171617</v>
      </c>
      <c r="AA580">
        <v>0.3836276083467094</v>
      </c>
      <c r="AB580">
        <v>0.2680577849117175</v>
      </c>
      <c r="AC580">
        <v>0.6067415730337078</v>
      </c>
      <c r="AD580">
        <v>0.2776886035313001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16.25</v>
      </c>
      <c r="D581">
        <v>16993.803499</v>
      </c>
      <c r="E581" t="s">
        <v>664</v>
      </c>
      <c r="F581" t="s">
        <v>632</v>
      </c>
      <c r="G581" t="s">
        <v>691</v>
      </c>
      <c r="H581" t="s">
        <v>700</v>
      </c>
      <c r="I581" t="s">
        <v>1270</v>
      </c>
      <c r="J581" t="s">
        <v>1320</v>
      </c>
      <c r="K581">
        <v>44047</v>
      </c>
      <c r="L581">
        <v>0.06406652307692301</v>
      </c>
      <c r="M581">
        <v>-0.02936726481872354</v>
      </c>
      <c r="N581">
        <v>0.02</v>
      </c>
      <c r="O581">
        <v>0.03400306888922344</v>
      </c>
      <c r="P581" t="s">
        <v>586</v>
      </c>
      <c r="Q581" t="s">
        <v>446</v>
      </c>
      <c r="R581">
        <v>0</v>
      </c>
      <c r="S581">
        <v>1.735135</v>
      </c>
      <c r="T581">
        <v>14</v>
      </c>
      <c r="U581">
        <v>1.160714285714286</v>
      </c>
      <c r="V581">
        <v>0.6268</v>
      </c>
      <c r="W581">
        <v>0.6</v>
      </c>
      <c r="X581">
        <v>1.041081</v>
      </c>
      <c r="Y581">
        <v>-0.392296</v>
      </c>
      <c r="Z581">
        <v>0.7689768976897691</v>
      </c>
      <c r="AA581">
        <v>0.1990369181380417</v>
      </c>
      <c r="AB581">
        <v>0.1613162118780096</v>
      </c>
      <c r="AC581">
        <v>0.3884430176565008</v>
      </c>
      <c r="AD581">
        <v>0.245585874799358</v>
      </c>
    </row>
    <row r="582" spans="1:30">
      <c r="A582" s="1" t="s">
        <v>589</v>
      </c>
      <c r="B582">
        <f>HYPERLINK("https://www.suredividend.com/sure-analysis-CORR/","CorEnergy Infrastructure Trust, Inc.")</f>
        <v>0</v>
      </c>
      <c r="C582">
        <v>5.92</v>
      </c>
      <c r="D582">
        <v>80.81984</v>
      </c>
      <c r="E582" t="s">
        <v>663</v>
      </c>
      <c r="F582" t="s">
        <v>632</v>
      </c>
      <c r="G582" t="s">
        <v>671</v>
      </c>
      <c r="H582" t="s">
        <v>700</v>
      </c>
      <c r="I582" t="s">
        <v>1271</v>
      </c>
      <c r="J582" t="s">
        <v>1323</v>
      </c>
      <c r="K582">
        <v>44047</v>
      </c>
      <c r="L582">
        <v>0.27027027027027</v>
      </c>
      <c r="M582">
        <v>-0.052954233490492</v>
      </c>
      <c r="N582">
        <v>0.02</v>
      </c>
      <c r="O582">
        <v>0.03331139569413977</v>
      </c>
      <c r="P582" t="s">
        <v>586</v>
      </c>
      <c r="Q582" t="s">
        <v>372</v>
      </c>
      <c r="R582">
        <v>0</v>
      </c>
      <c r="S582">
        <v>3.555555555555556</v>
      </c>
      <c r="T582">
        <v>4.51</v>
      </c>
      <c r="U582">
        <v>1.312638580931264</v>
      </c>
      <c r="V582">
        <v>-23.3697</v>
      </c>
      <c r="W582">
        <v>0.45</v>
      </c>
      <c r="X582">
        <v>1.6</v>
      </c>
      <c r="Y582">
        <v>-0.8748939999999999</v>
      </c>
      <c r="Z582">
        <v>0.9933993399339934</v>
      </c>
      <c r="AA582">
        <v>0.001605136436597111</v>
      </c>
      <c r="AB582">
        <v>0.1613162118780096</v>
      </c>
      <c r="AC582">
        <v>0.2343499197431782</v>
      </c>
      <c r="AD582">
        <v>0.2391653290529695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15.07</v>
      </c>
      <c r="D583">
        <v>9051.991410000001</v>
      </c>
      <c r="E583" t="s">
        <v>666</v>
      </c>
      <c r="F583" t="s">
        <v>632</v>
      </c>
      <c r="G583" t="s">
        <v>671</v>
      </c>
      <c r="H583" t="s">
        <v>700</v>
      </c>
      <c r="I583" t="s">
        <v>1272</v>
      </c>
      <c r="J583" t="s">
        <v>1318</v>
      </c>
      <c r="K583">
        <v>44017</v>
      </c>
      <c r="L583">
        <v>0.06635700066357</v>
      </c>
      <c r="M583">
        <v>-0.04453760512981086</v>
      </c>
      <c r="N583">
        <v>0.04</v>
      </c>
      <c r="O583">
        <v>0.03152336105526943</v>
      </c>
      <c r="P583" t="s">
        <v>586</v>
      </c>
      <c r="Q583" t="s">
        <v>446</v>
      </c>
      <c r="R583">
        <v>0</v>
      </c>
      <c r="S583">
        <v>9.99</v>
      </c>
      <c r="T583">
        <v>12</v>
      </c>
      <c r="U583">
        <v>1.255833333333333</v>
      </c>
      <c r="V583">
        <v>-4.0083</v>
      </c>
      <c r="W583">
        <v>-6</v>
      </c>
      <c r="X583">
        <v>1</v>
      </c>
      <c r="Y583">
        <v>-0.6571100000000001</v>
      </c>
      <c r="Z583">
        <v>0.7805280528052805</v>
      </c>
      <c r="AA583">
        <v>0.02889245585874799</v>
      </c>
      <c r="AB583">
        <v>0.4012841091492777</v>
      </c>
      <c r="AC583">
        <v>0.2921348314606741</v>
      </c>
      <c r="AD583">
        <v>0.232744783306581</v>
      </c>
    </row>
    <row r="584" spans="1:30">
      <c r="A584" s="1" t="s">
        <v>591</v>
      </c>
      <c r="B584">
        <f>HYPERLINK("https://www.suredividend.com/sure-analysis-CBRL/","Cracker Barrel Old Country Store, Inc.")</f>
        <v>0</v>
      </c>
      <c r="C584">
        <v>116.34</v>
      </c>
      <c r="D584">
        <v>2756.955516</v>
      </c>
      <c r="E584" t="s">
        <v>669</v>
      </c>
      <c r="F584" t="s">
        <v>632</v>
      </c>
      <c r="G584" t="s">
        <v>671</v>
      </c>
      <c r="H584" t="s">
        <v>701</v>
      </c>
      <c r="I584" t="s">
        <v>1273</v>
      </c>
      <c r="J584" t="s">
        <v>1318</v>
      </c>
      <c r="K584">
        <v>44019</v>
      </c>
      <c r="L584">
        <v>0.044696578992607</v>
      </c>
      <c r="M584">
        <v>-0.05004575017911772</v>
      </c>
      <c r="N584">
        <v>0.031</v>
      </c>
      <c r="O584">
        <v>0.02743097696742836</v>
      </c>
      <c r="P584" t="s">
        <v>586</v>
      </c>
      <c r="Q584" t="s">
        <v>446</v>
      </c>
      <c r="R584">
        <v>17</v>
      </c>
      <c r="S584">
        <v>2.971428571428572</v>
      </c>
      <c r="T584">
        <v>90</v>
      </c>
      <c r="U584">
        <v>1.292666666666667</v>
      </c>
      <c r="V584">
        <v>-1.4003</v>
      </c>
      <c r="W584">
        <v>1.75</v>
      </c>
      <c r="X584">
        <v>5.2</v>
      </c>
      <c r="Y584">
        <v>-0.293067</v>
      </c>
      <c r="Z584">
        <v>0.6006600660066007</v>
      </c>
      <c r="AA584">
        <v>0.3242375601926164</v>
      </c>
      <c r="AB584">
        <v>0.3194221508828251</v>
      </c>
      <c r="AC584">
        <v>0.2520064205457464</v>
      </c>
      <c r="AD584">
        <v>0.2150882825040128</v>
      </c>
    </row>
    <row r="585" spans="1:30">
      <c r="A585" s="1" t="s">
        <v>592</v>
      </c>
      <c r="B585">
        <f>HYPERLINK("https://www.suredividend.com/sure-analysis-HSBC/","HSBC Holdings Plc")</f>
        <v>0</v>
      </c>
      <c r="C585">
        <v>18.11</v>
      </c>
      <c r="D585">
        <v>73769.274</v>
      </c>
      <c r="E585" t="s">
        <v>668</v>
      </c>
      <c r="F585" t="s">
        <v>632</v>
      </c>
      <c r="G585" t="s">
        <v>677</v>
      </c>
      <c r="H585" t="s">
        <v>700</v>
      </c>
      <c r="I585" t="s">
        <v>1274</v>
      </c>
      <c r="J585" t="s">
        <v>1313</v>
      </c>
      <c r="K585">
        <v>44083</v>
      </c>
      <c r="L585">
        <v>0.08558807288790701</v>
      </c>
      <c r="M585">
        <v>-0.05017867256088782</v>
      </c>
      <c r="N585">
        <v>0.02</v>
      </c>
      <c r="O585">
        <v>0.02716519984646926</v>
      </c>
      <c r="P585" t="s">
        <v>586</v>
      </c>
      <c r="Q585" t="s">
        <v>372</v>
      </c>
      <c r="R585">
        <v>0</v>
      </c>
      <c r="S585">
        <v>1.291666666666667</v>
      </c>
      <c r="T585">
        <v>14</v>
      </c>
      <c r="U585">
        <v>1.293571428571429</v>
      </c>
      <c r="V585">
        <v>-0.1499</v>
      </c>
      <c r="W585">
        <v>1.2</v>
      </c>
      <c r="X585">
        <v>1.55</v>
      </c>
      <c r="Y585">
        <v>-0.524672</v>
      </c>
      <c r="Z585">
        <v>0.858085808580858</v>
      </c>
      <c r="AA585">
        <v>0.09309791332263241</v>
      </c>
      <c r="AB585">
        <v>0.1613162118780096</v>
      </c>
      <c r="AC585">
        <v>0.2504012841091493</v>
      </c>
      <c r="AD585">
        <v>0.2134831460674158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12.29</v>
      </c>
      <c r="D586">
        <v>6250.22698</v>
      </c>
      <c r="E586" t="s">
        <v>660</v>
      </c>
      <c r="F586" t="s">
        <v>632</v>
      </c>
      <c r="G586" t="s">
        <v>671</v>
      </c>
      <c r="H586" t="s">
        <v>701</v>
      </c>
      <c r="I586" t="s">
        <v>1275</v>
      </c>
      <c r="J586" t="s">
        <v>1319</v>
      </c>
      <c r="K586">
        <v>44042</v>
      </c>
      <c r="L586">
        <v>0.016273393002441</v>
      </c>
      <c r="M586">
        <v>0.02639666101145233</v>
      </c>
      <c r="N586">
        <v>0</v>
      </c>
      <c r="O586">
        <v>0.02639666101145233</v>
      </c>
      <c r="P586" t="s">
        <v>586</v>
      </c>
      <c r="Q586" t="s">
        <v>586</v>
      </c>
      <c r="R586">
        <v>0</v>
      </c>
      <c r="S586">
        <v>9.99</v>
      </c>
      <c r="T586">
        <v>14</v>
      </c>
      <c r="U586">
        <v>0.8778571428571428</v>
      </c>
      <c r="V586">
        <v>-8.1701</v>
      </c>
      <c r="W586">
        <v>-15</v>
      </c>
      <c r="X586">
        <v>0.2</v>
      </c>
      <c r="Y586">
        <v>-0.5479959999999999</v>
      </c>
      <c r="Z586">
        <v>0.165016501650165</v>
      </c>
      <c r="AA586">
        <v>0.07704654895666133</v>
      </c>
      <c r="AB586">
        <v>0.04895666131621188</v>
      </c>
      <c r="AC586">
        <v>0.6869983948635634</v>
      </c>
      <c r="AD586">
        <v>0.2118780096308186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29.78</v>
      </c>
      <c r="D587">
        <v>18995.38146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44045</v>
      </c>
      <c r="L587">
        <v>0.027031564808596</v>
      </c>
      <c r="M587">
        <v>-0.03438709107644156</v>
      </c>
      <c r="N587">
        <v>0.06</v>
      </c>
      <c r="O587">
        <v>0.02628846858048828</v>
      </c>
      <c r="P587" t="s">
        <v>586</v>
      </c>
      <c r="Q587" t="s">
        <v>586</v>
      </c>
      <c r="R587">
        <v>0</v>
      </c>
      <c r="S587">
        <v>9.99</v>
      </c>
      <c r="T587">
        <v>25</v>
      </c>
      <c r="U587">
        <v>1.1912</v>
      </c>
      <c r="V587">
        <v>-5.8154</v>
      </c>
      <c r="W587">
        <v>-9</v>
      </c>
      <c r="X587">
        <v>0.805</v>
      </c>
      <c r="Y587">
        <v>-0.493365</v>
      </c>
      <c r="Z587">
        <v>0.367986798679868</v>
      </c>
      <c r="AA587">
        <v>0.1075441412520064</v>
      </c>
      <c r="AB587">
        <v>0.6597110754414125</v>
      </c>
      <c r="AC587">
        <v>0.3643659711075442</v>
      </c>
      <c r="AD587">
        <v>0.2070626003210273</v>
      </c>
    </row>
    <row r="588" spans="1:30">
      <c r="A588" s="1" t="s">
        <v>595</v>
      </c>
      <c r="B588">
        <f>HYPERLINK("https://www.suredividend.com/sure-analysis-DDS/","Dillard's, Inc.")</f>
        <v>0</v>
      </c>
      <c r="C588">
        <v>30.62</v>
      </c>
      <c r="D588">
        <v>685.189895</v>
      </c>
      <c r="E588" t="s">
        <v>664</v>
      </c>
      <c r="F588" t="s">
        <v>632</v>
      </c>
      <c r="G588" t="s">
        <v>671</v>
      </c>
      <c r="H588" t="s">
        <v>700</v>
      </c>
      <c r="I588" t="s">
        <v>1277</v>
      </c>
      <c r="J588" t="s">
        <v>1318</v>
      </c>
      <c r="K588">
        <v>44069</v>
      </c>
      <c r="L588">
        <v>0.019595035924232</v>
      </c>
      <c r="M588">
        <v>-0.0248493478014139</v>
      </c>
      <c r="N588">
        <v>0.03</v>
      </c>
      <c r="O588">
        <v>0.02296034744963005</v>
      </c>
      <c r="P588" t="s">
        <v>586</v>
      </c>
      <c r="Q588" t="s">
        <v>586</v>
      </c>
      <c r="R588">
        <v>10</v>
      </c>
      <c r="S588">
        <v>9.99</v>
      </c>
      <c r="T588">
        <v>27</v>
      </c>
      <c r="U588">
        <v>1.134074074074074</v>
      </c>
      <c r="V588">
        <v>-4.334</v>
      </c>
      <c r="W588">
        <v>-1.5</v>
      </c>
      <c r="X588">
        <v>0.6000000000000001</v>
      </c>
      <c r="Y588">
        <v>-0.48736</v>
      </c>
      <c r="Z588">
        <v>0.2557755775577558</v>
      </c>
      <c r="AA588">
        <v>0.1139646869983949</v>
      </c>
      <c r="AB588">
        <v>0.2680577849117175</v>
      </c>
      <c r="AC588">
        <v>0.4077046548956661</v>
      </c>
      <c r="AD588">
        <v>0.1990369181380417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53.26</v>
      </c>
      <c r="D589">
        <v>22225.45126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0.060458129928651</v>
      </c>
      <c r="M589">
        <v>-0.06042232524512392</v>
      </c>
      <c r="N589">
        <v>0.02</v>
      </c>
      <c r="O589">
        <v>0.01198537882543382</v>
      </c>
      <c r="P589" t="s">
        <v>586</v>
      </c>
      <c r="Q589" t="s">
        <v>446</v>
      </c>
      <c r="R589">
        <v>0</v>
      </c>
      <c r="S589">
        <v>1.106529209621993</v>
      </c>
      <c r="T589">
        <v>39</v>
      </c>
      <c r="U589">
        <v>1.365641025641026</v>
      </c>
      <c r="V589">
        <v>0.743</v>
      </c>
      <c r="W589">
        <v>2.91</v>
      </c>
      <c r="X589">
        <v>3.22</v>
      </c>
      <c r="Y589">
        <v>-0.412271</v>
      </c>
      <c r="Z589">
        <v>0.740924092409241</v>
      </c>
      <c r="AA589">
        <v>0.173354735152488</v>
      </c>
      <c r="AB589">
        <v>0.1613162118780096</v>
      </c>
      <c r="AC589">
        <v>0.2070626003210273</v>
      </c>
      <c r="AD589">
        <v>0.1556982343499198</v>
      </c>
    </row>
    <row r="590" spans="1:30">
      <c r="A590" s="1" t="s">
        <v>597</v>
      </c>
      <c r="B590">
        <f>HYPERLINK("https://www.suredividend.com/sure-analysis-APA/","Apache Corp.")</f>
        <v>0</v>
      </c>
      <c r="C590">
        <v>9.85</v>
      </c>
      <c r="D590">
        <v>3717.97115</v>
      </c>
      <c r="E590" t="s">
        <v>661</v>
      </c>
      <c r="F590" t="s">
        <v>632</v>
      </c>
      <c r="G590" t="s">
        <v>671</v>
      </c>
      <c r="H590" t="s">
        <v>701</v>
      </c>
      <c r="I590" t="s">
        <v>1279</v>
      </c>
      <c r="J590" t="s">
        <v>1317</v>
      </c>
      <c r="K590">
        <v>44062</v>
      </c>
      <c r="L590">
        <v>0.05583756345177601</v>
      </c>
      <c r="M590">
        <v>-0.1649264037659196</v>
      </c>
      <c r="N590">
        <v>0.2</v>
      </c>
      <c r="O590">
        <v>0.01195982343610869</v>
      </c>
      <c r="P590" t="s">
        <v>586</v>
      </c>
      <c r="Q590" t="s">
        <v>446</v>
      </c>
      <c r="R590">
        <v>0</v>
      </c>
      <c r="S590">
        <v>9.99</v>
      </c>
      <c r="T590">
        <v>4</v>
      </c>
      <c r="U590">
        <v>2.4625</v>
      </c>
      <c r="V590">
        <v>-21.2178</v>
      </c>
      <c r="W590">
        <v>-2.6</v>
      </c>
      <c r="X590">
        <v>0.55</v>
      </c>
      <c r="Y590">
        <v>-0.61021</v>
      </c>
      <c r="Z590">
        <v>0.7145214521452146</v>
      </c>
      <c r="AA590">
        <v>0.04975922953451043</v>
      </c>
      <c r="AB590">
        <v>0.9895666131621188</v>
      </c>
      <c r="AC590">
        <v>0.01123595505617978</v>
      </c>
      <c r="AD590">
        <v>0.1540930979133227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19.45</v>
      </c>
      <c r="D591">
        <v>3068.72375</v>
      </c>
      <c r="E591" t="s">
        <v>666</v>
      </c>
      <c r="F591" t="s">
        <v>632</v>
      </c>
      <c r="G591" t="s">
        <v>671</v>
      </c>
      <c r="H591" t="s">
        <v>700</v>
      </c>
      <c r="I591" t="s">
        <v>1280</v>
      </c>
      <c r="J591" t="s">
        <v>1318</v>
      </c>
      <c r="K591">
        <v>44082</v>
      </c>
      <c r="L591">
        <v>0.07064267352185001</v>
      </c>
      <c r="M591">
        <v>-0.03829898281055866</v>
      </c>
      <c r="N591">
        <v>0.02</v>
      </c>
      <c r="O591">
        <v>0.008644048598021481</v>
      </c>
      <c r="P591" t="s">
        <v>586</v>
      </c>
      <c r="Q591" t="s">
        <v>446</v>
      </c>
      <c r="R591">
        <v>0</v>
      </c>
      <c r="S591">
        <v>9.99</v>
      </c>
      <c r="T591">
        <v>16</v>
      </c>
      <c r="U591">
        <v>1.215625</v>
      </c>
      <c r="V591">
        <v>-0.6986</v>
      </c>
      <c r="W591">
        <v>-3.3</v>
      </c>
      <c r="X591">
        <v>1.374</v>
      </c>
      <c r="Y591">
        <v>-0.604434</v>
      </c>
      <c r="Z591">
        <v>0.8052805280528053</v>
      </c>
      <c r="AA591">
        <v>0.05617977528089888</v>
      </c>
      <c r="AB591">
        <v>0.1613162118780096</v>
      </c>
      <c r="AC591">
        <v>0.3306581059390048</v>
      </c>
      <c r="AD591">
        <v>0.1476725521669342</v>
      </c>
    </row>
    <row r="592" spans="1:30">
      <c r="A592" s="1" t="s">
        <v>599</v>
      </c>
      <c r="B592">
        <f>HYPERLINK("https://www.suredividend.com/sure-analysis-RCL/","Royal Caribbean Group")</f>
        <v>0</v>
      </c>
      <c r="C592">
        <v>64.59</v>
      </c>
      <c r="D592">
        <v>13865.40612</v>
      </c>
      <c r="E592" t="s">
        <v>666</v>
      </c>
      <c r="F592" t="s">
        <v>632</v>
      </c>
      <c r="G592" t="s">
        <v>671</v>
      </c>
      <c r="H592" t="s">
        <v>700</v>
      </c>
      <c r="I592" t="s">
        <v>1281</v>
      </c>
      <c r="J592" t="s">
        <v>1318</v>
      </c>
      <c r="K592">
        <v>44074</v>
      </c>
      <c r="L592">
        <v>0.036228518346493</v>
      </c>
      <c r="M592">
        <v>-0.04991831979771533</v>
      </c>
      <c r="N592">
        <v>0.04</v>
      </c>
      <c r="O592">
        <v>0.006849765165025223</v>
      </c>
      <c r="P592" t="s">
        <v>586</v>
      </c>
      <c r="Q592" t="s">
        <v>586</v>
      </c>
      <c r="R592">
        <v>0</v>
      </c>
      <c r="S592">
        <v>9.99</v>
      </c>
      <c r="T592">
        <v>50</v>
      </c>
      <c r="U592">
        <v>1.2918</v>
      </c>
      <c r="V592">
        <v>-9.2172</v>
      </c>
      <c r="W592">
        <v>-16</v>
      </c>
      <c r="X592">
        <v>2.34</v>
      </c>
      <c r="Y592">
        <v>-0.39596</v>
      </c>
      <c r="Z592">
        <v>0.504950495049505</v>
      </c>
      <c r="AA592">
        <v>0.1861958266452648</v>
      </c>
      <c r="AB592">
        <v>0.4012841091492777</v>
      </c>
      <c r="AC592">
        <v>0.2536115569823435</v>
      </c>
      <c r="AD592">
        <v>0.1412520064205458</v>
      </c>
    </row>
    <row r="593" spans="1:30">
      <c r="A593" s="1" t="s">
        <v>600</v>
      </c>
      <c r="B593">
        <f>HYPERLINK("https://www.suredividend.com/sure-analysis-TCO/","Taubman Centers, Inc.")</f>
        <v>0</v>
      </c>
      <c r="C593">
        <v>33.61</v>
      </c>
      <c r="D593">
        <v>2074.254594</v>
      </c>
      <c r="E593" t="s">
        <v>664</v>
      </c>
      <c r="F593" t="s">
        <v>634</v>
      </c>
      <c r="G593" t="s">
        <v>671</v>
      </c>
      <c r="H593" t="s">
        <v>700</v>
      </c>
      <c r="I593" t="s">
        <v>1282</v>
      </c>
      <c r="J593" t="s">
        <v>1323</v>
      </c>
      <c r="K593">
        <v>44062</v>
      </c>
      <c r="L593">
        <v>0.06024992561737501</v>
      </c>
      <c r="M593">
        <v>-0.01603729832525147</v>
      </c>
      <c r="N593">
        <v>0.02</v>
      </c>
      <c r="O593">
        <v>0.003641955708243438</v>
      </c>
      <c r="P593" t="s">
        <v>586</v>
      </c>
      <c r="Q593" t="s">
        <v>446</v>
      </c>
      <c r="R593">
        <v>0</v>
      </c>
      <c r="S593">
        <v>1.125</v>
      </c>
      <c r="T593">
        <v>31</v>
      </c>
      <c r="U593">
        <v>1.084193548387097</v>
      </c>
      <c r="V593">
        <v>-2.8741</v>
      </c>
      <c r="W593">
        <v>1.8</v>
      </c>
      <c r="X593">
        <v>2.025</v>
      </c>
      <c r="Y593">
        <v>-0.189925</v>
      </c>
      <c r="Z593">
        <v>0.7343234323432343</v>
      </c>
      <c r="AA593">
        <v>0.4414125200642054</v>
      </c>
      <c r="AB593">
        <v>0.1613162118780096</v>
      </c>
      <c r="AC593">
        <v>0.4654895666131621</v>
      </c>
      <c r="AD593">
        <v>0.1284109149277689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1.81</v>
      </c>
      <c r="D594">
        <v>22.02046</v>
      </c>
      <c r="E594" t="s">
        <v>665</v>
      </c>
      <c r="F594" t="s">
        <v>632</v>
      </c>
      <c r="G594" t="s">
        <v>671</v>
      </c>
      <c r="H594" t="s">
        <v>700</v>
      </c>
      <c r="J594" t="s">
        <v>1317</v>
      </c>
      <c r="K594">
        <v>44073</v>
      </c>
      <c r="L594">
        <v>0.241460773480662</v>
      </c>
      <c r="M594">
        <v>-0.07891325150216077</v>
      </c>
      <c r="N594">
        <v>0.01</v>
      </c>
      <c r="O594">
        <v>0.00107551029779529</v>
      </c>
      <c r="P594" t="s">
        <v>586</v>
      </c>
      <c r="Q594" t="s">
        <v>637</v>
      </c>
      <c r="R594">
        <v>0</v>
      </c>
      <c r="S594">
        <v>1.821016666666667</v>
      </c>
      <c r="T594">
        <v>1.2</v>
      </c>
      <c r="U594">
        <v>1.508333333333334</v>
      </c>
      <c r="V594">
        <v>0.437</v>
      </c>
      <c r="W594">
        <v>0.24</v>
      </c>
      <c r="X594">
        <v>0.437044</v>
      </c>
      <c r="Y594">
        <v>-0.7825300000000001</v>
      </c>
      <c r="Z594">
        <v>0.9917491749174917</v>
      </c>
      <c r="AA594">
        <v>0.009630818619582666</v>
      </c>
      <c r="AB594">
        <v>0.08828250401284109</v>
      </c>
      <c r="AC594">
        <v>0.1364365971107544</v>
      </c>
      <c r="AD594">
        <v>0.1187800963081862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46.04</v>
      </c>
      <c r="D595">
        <v>34121.21084</v>
      </c>
      <c r="E595" t="s">
        <v>666</v>
      </c>
      <c r="F595" t="s">
        <v>632</v>
      </c>
      <c r="G595" t="s">
        <v>671</v>
      </c>
      <c r="H595" t="s">
        <v>700</v>
      </c>
      <c r="I595" t="s">
        <v>1283</v>
      </c>
      <c r="J595" t="s">
        <v>1322</v>
      </c>
      <c r="K595">
        <v>44046</v>
      </c>
      <c r="L595">
        <v>0.06081668114682801</v>
      </c>
      <c r="M595">
        <v>-0.09467493754059308</v>
      </c>
      <c r="N595">
        <v>0.03</v>
      </c>
      <c r="O595">
        <v>-0.006756571916740839</v>
      </c>
      <c r="P595" t="s">
        <v>586</v>
      </c>
      <c r="Q595" t="s">
        <v>446</v>
      </c>
      <c r="R595">
        <v>0</v>
      </c>
      <c r="S595">
        <v>3.733333333333333</v>
      </c>
      <c r="T595">
        <v>28</v>
      </c>
      <c r="U595">
        <v>1.644285714285714</v>
      </c>
      <c r="V595">
        <v>-2.6805</v>
      </c>
      <c r="W595">
        <v>0.75</v>
      </c>
      <c r="X595">
        <v>2.8</v>
      </c>
      <c r="Y595">
        <v>-0.025196</v>
      </c>
      <c r="Z595">
        <v>0.7442244224422443</v>
      </c>
      <c r="AA595">
        <v>0.6468699839486356</v>
      </c>
      <c r="AB595">
        <v>0.2680577849117175</v>
      </c>
      <c r="AC595">
        <v>0.08828250401284109</v>
      </c>
      <c r="AD595">
        <v>0.09149277688603531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24.52</v>
      </c>
      <c r="D596">
        <v>178.892771</v>
      </c>
      <c r="E596" t="s">
        <v>661</v>
      </c>
      <c r="F596" t="s">
        <v>632</v>
      </c>
      <c r="G596" t="s">
        <v>680</v>
      </c>
      <c r="H596" t="s">
        <v>700</v>
      </c>
      <c r="I596" t="s">
        <v>1284</v>
      </c>
      <c r="J596" t="s">
        <v>1317</v>
      </c>
      <c r="K596">
        <v>44067</v>
      </c>
      <c r="L596">
        <v>0.001631321370309</v>
      </c>
      <c r="M596">
        <v>0.0411664322328702</v>
      </c>
      <c r="N596">
        <v>-0.05</v>
      </c>
      <c r="O596">
        <v>-0.01089188937877339</v>
      </c>
      <c r="P596" t="s">
        <v>586</v>
      </c>
      <c r="Q596" t="s">
        <v>586</v>
      </c>
      <c r="R596">
        <v>0</v>
      </c>
      <c r="S596">
        <v>9.99</v>
      </c>
      <c r="T596">
        <v>30</v>
      </c>
      <c r="U596">
        <v>0.8173333333333334</v>
      </c>
      <c r="V596">
        <v>-135.7831</v>
      </c>
      <c r="W596">
        <v>-105</v>
      </c>
      <c r="X596">
        <v>0.04</v>
      </c>
      <c r="Y596">
        <v>-0.749796</v>
      </c>
      <c r="Z596">
        <v>0.004950495049504951</v>
      </c>
      <c r="AA596">
        <v>0.01765650080256822</v>
      </c>
      <c r="AB596">
        <v>0.008025682182985555</v>
      </c>
      <c r="AC596">
        <v>0.781701444622793</v>
      </c>
      <c r="AD596">
        <v>0.08507223113964686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27.28</v>
      </c>
      <c r="D597">
        <v>20358.16376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0.037390029325513</v>
      </c>
      <c r="M597">
        <v>-0.1127431139542314</v>
      </c>
      <c r="N597">
        <v>0.07000000000000001</v>
      </c>
      <c r="O597">
        <v>-0.01534121437541025</v>
      </c>
      <c r="P597" t="s">
        <v>586</v>
      </c>
      <c r="Q597" t="s">
        <v>446</v>
      </c>
      <c r="R597">
        <v>0</v>
      </c>
      <c r="S597">
        <v>1.02</v>
      </c>
      <c r="T597">
        <v>15</v>
      </c>
      <c r="U597">
        <v>1.818666666666667</v>
      </c>
      <c r="V597">
        <v>0.4113</v>
      </c>
      <c r="W597">
        <v>1</v>
      </c>
      <c r="X597">
        <v>1.02</v>
      </c>
      <c r="Y597">
        <v>-0.022222</v>
      </c>
      <c r="Z597">
        <v>0.5181518151815182</v>
      </c>
      <c r="AA597">
        <v>0.6484751203852328</v>
      </c>
      <c r="AB597">
        <v>0.7504012841091493</v>
      </c>
      <c r="AC597">
        <v>0.04815409309791332</v>
      </c>
      <c r="AD597">
        <v>0.07704654895666133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12.8</v>
      </c>
      <c r="D598">
        <v>588.7641599999999</v>
      </c>
      <c r="E598" t="s">
        <v>666</v>
      </c>
      <c r="F598" t="s">
        <v>632</v>
      </c>
      <c r="G598" t="s">
        <v>671</v>
      </c>
      <c r="H598" t="s">
        <v>701</v>
      </c>
      <c r="I598" t="s">
        <v>1286</v>
      </c>
      <c r="J598" t="s">
        <v>1319</v>
      </c>
      <c r="K598">
        <v>44058</v>
      </c>
      <c r="L598">
        <v>0.01875</v>
      </c>
      <c r="M598">
        <v>-0.06802018170216217</v>
      </c>
      <c r="N598">
        <v>0.02</v>
      </c>
      <c r="O598">
        <v>-0.03275245867958054</v>
      </c>
      <c r="P598" t="s">
        <v>586</v>
      </c>
      <c r="Q598" t="s">
        <v>586</v>
      </c>
      <c r="R598">
        <v>0</v>
      </c>
      <c r="S598">
        <v>9.99</v>
      </c>
      <c r="T598">
        <v>9</v>
      </c>
      <c r="U598">
        <v>1.422222222222222</v>
      </c>
      <c r="V598">
        <v>-2.6954</v>
      </c>
      <c r="W598">
        <v>-10.2</v>
      </c>
      <c r="X598">
        <v>0.24</v>
      </c>
      <c r="Y598">
        <v>-0.512381</v>
      </c>
      <c r="Z598">
        <v>0.2343234323432343</v>
      </c>
      <c r="AA598">
        <v>0.09791332263242376</v>
      </c>
      <c r="AB598">
        <v>0.1613162118780096</v>
      </c>
      <c r="AC598">
        <v>0.1653290529695024</v>
      </c>
      <c r="AD598">
        <v>0.05136436597110754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14.61</v>
      </c>
      <c r="D599">
        <v>911.272452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1318</v>
      </c>
      <c r="K599">
        <v>44084</v>
      </c>
      <c r="L599">
        <v>0.027378507871321</v>
      </c>
      <c r="M599">
        <v>-0.07302086944347896</v>
      </c>
      <c r="N599">
        <v>0.02</v>
      </c>
      <c r="O599">
        <v>-0.05448128683234854</v>
      </c>
      <c r="P599" t="s">
        <v>586</v>
      </c>
      <c r="Q599" t="s">
        <v>586</v>
      </c>
      <c r="R599">
        <v>0</v>
      </c>
      <c r="S599">
        <v>9.99</v>
      </c>
      <c r="T599">
        <v>10</v>
      </c>
      <c r="U599">
        <v>1.461</v>
      </c>
      <c r="V599">
        <v>-2.3917</v>
      </c>
      <c r="W599">
        <v>-2</v>
      </c>
      <c r="X599">
        <v>0.4</v>
      </c>
      <c r="Y599">
        <v>-0.050065</v>
      </c>
      <c r="Z599">
        <v>0.3745874587458746</v>
      </c>
      <c r="AA599">
        <v>0.622792937399679</v>
      </c>
      <c r="AB599">
        <v>0.1613162118780096</v>
      </c>
      <c r="AC599">
        <v>0.1556982343499198</v>
      </c>
      <c r="AD599">
        <v>0.02728731942215088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22.1</v>
      </c>
      <c r="D600">
        <v>10901.5101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1318</v>
      </c>
      <c r="K600">
        <v>44063</v>
      </c>
      <c r="L600">
        <v>0.01866515837104</v>
      </c>
      <c r="M600">
        <v>-0.1149704031341566</v>
      </c>
      <c r="N600">
        <v>0.05</v>
      </c>
      <c r="O600">
        <v>-0.06648126194056125</v>
      </c>
      <c r="P600" t="s">
        <v>586</v>
      </c>
      <c r="Q600" t="s">
        <v>586</v>
      </c>
      <c r="R600">
        <v>0</v>
      </c>
      <c r="S600">
        <v>9.99</v>
      </c>
      <c r="T600">
        <v>12</v>
      </c>
      <c r="U600">
        <v>1.841666666666667</v>
      </c>
      <c r="V600">
        <v>3.8341</v>
      </c>
      <c r="W600">
        <v>-3.5</v>
      </c>
      <c r="X600">
        <v>0.4125</v>
      </c>
      <c r="Y600">
        <v>-0.20159</v>
      </c>
      <c r="Z600">
        <v>0.231023102310231</v>
      </c>
      <c r="AA600">
        <v>0.420545746388443</v>
      </c>
      <c r="AB600">
        <v>0.5296950240770465</v>
      </c>
      <c r="AC600">
        <v>0.04654895666131621</v>
      </c>
      <c r="AD600">
        <v>0.01926163723916533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72.36</v>
      </c>
      <c r="D601">
        <v>7803.88128</v>
      </c>
      <c r="E601" t="s">
        <v>663</v>
      </c>
      <c r="F601" t="s">
        <v>632</v>
      </c>
      <c r="G601" t="s">
        <v>671</v>
      </c>
      <c r="H601" t="s">
        <v>701</v>
      </c>
      <c r="I601" t="s">
        <v>1289</v>
      </c>
      <c r="J601" t="s">
        <v>1318</v>
      </c>
      <c r="K601">
        <v>44048</v>
      </c>
      <c r="L601">
        <v>0.027639579878385</v>
      </c>
      <c r="M601">
        <v>-0.1505647410500791</v>
      </c>
      <c r="N601">
        <v>0.04</v>
      </c>
      <c r="O601">
        <v>-0.0932860194434445</v>
      </c>
      <c r="P601" t="s">
        <v>586</v>
      </c>
      <c r="Q601" t="s">
        <v>586</v>
      </c>
      <c r="R601">
        <v>0</v>
      </c>
      <c r="S601">
        <v>9.99</v>
      </c>
      <c r="T601">
        <v>32</v>
      </c>
      <c r="U601">
        <v>2.26125</v>
      </c>
      <c r="V601">
        <v>-10.458</v>
      </c>
      <c r="W601">
        <v>-11.52</v>
      </c>
      <c r="X601">
        <v>2</v>
      </c>
      <c r="Y601">
        <v>-0.344268</v>
      </c>
      <c r="Z601">
        <v>0.3795379537953795</v>
      </c>
      <c r="AA601">
        <v>0.2680577849117175</v>
      </c>
      <c r="AB601">
        <v>0.4012841091492777</v>
      </c>
      <c r="AC601">
        <v>0.01605136436597111</v>
      </c>
      <c r="AD601">
        <v>0.014446227929374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9.35</v>
      </c>
      <c r="D602">
        <v>604.848695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0.173262032085561</v>
      </c>
      <c r="M602">
        <v>-0.005405722170026883</v>
      </c>
      <c r="N602">
        <v>-0.8</v>
      </c>
      <c r="O602">
        <v>-0.09922471429120705</v>
      </c>
      <c r="P602" t="s">
        <v>586</v>
      </c>
      <c r="Q602" t="s">
        <v>637</v>
      </c>
      <c r="R602">
        <v>0</v>
      </c>
      <c r="S602">
        <v>1.246153846153846</v>
      </c>
      <c r="T602">
        <v>9.1</v>
      </c>
      <c r="U602">
        <v>1.027472527472527</v>
      </c>
      <c r="V602">
        <v>-5.4857</v>
      </c>
      <c r="W602">
        <v>1.3</v>
      </c>
      <c r="X602">
        <v>1.62</v>
      </c>
      <c r="Y602">
        <v>-0.443452</v>
      </c>
      <c r="Z602">
        <v>0.9686468646864687</v>
      </c>
      <c r="AA602">
        <v>0.1492776886035313</v>
      </c>
      <c r="AB602">
        <v>0.001605136436597111</v>
      </c>
      <c r="AC602">
        <v>0.5329052969502408</v>
      </c>
      <c r="AD602">
        <v>0.009630818619582666</v>
      </c>
    </row>
    <row r="603" spans="1:30">
      <c r="A603" s="1" t="s">
        <v>610</v>
      </c>
      <c r="B603">
        <f>HYPERLINK("https://www.suredividend.com/sure-analysis-BBBY/","Bed Bath &amp; Beyond, Inc.")</f>
        <v>0</v>
      </c>
      <c r="C603">
        <v>14.53</v>
      </c>
      <c r="D603">
        <v>1831.27402</v>
      </c>
      <c r="E603" t="s">
        <v>660</v>
      </c>
      <c r="F603" t="s">
        <v>632</v>
      </c>
      <c r="G603" t="s">
        <v>671</v>
      </c>
      <c r="H603" t="s">
        <v>701</v>
      </c>
      <c r="I603" t="s">
        <v>1291</v>
      </c>
      <c r="J603" t="s">
        <v>1318</v>
      </c>
      <c r="K603">
        <v>44028</v>
      </c>
      <c r="L603">
        <v>0.02339986235375</v>
      </c>
      <c r="M603">
        <v>-0.1125071261951556</v>
      </c>
      <c r="N603">
        <v>0</v>
      </c>
      <c r="O603">
        <v>-0.1125071261951556</v>
      </c>
      <c r="P603" t="s">
        <v>586</v>
      </c>
      <c r="Q603" t="s">
        <v>586</v>
      </c>
      <c r="R603">
        <v>0</v>
      </c>
      <c r="S603">
        <v>9.99</v>
      </c>
      <c r="T603">
        <v>8</v>
      </c>
      <c r="U603">
        <v>1.81625</v>
      </c>
      <c r="V603">
        <v>-4.4123</v>
      </c>
      <c r="W603">
        <v>-2</v>
      </c>
      <c r="X603">
        <v>0.34</v>
      </c>
      <c r="Y603">
        <v>0.482653</v>
      </c>
      <c r="Z603">
        <v>0.3118811881188119</v>
      </c>
      <c r="AA603">
        <v>0.9582664526484751</v>
      </c>
      <c r="AB603">
        <v>0.04895666131621188</v>
      </c>
      <c r="AC603">
        <v>0.04975922953451043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7.2</v>
      </c>
      <c r="D604">
        <v>338.13432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0.122222222222222</v>
      </c>
      <c r="M604">
        <v>-0.3556059850227458</v>
      </c>
      <c r="N604">
        <v>0.2</v>
      </c>
      <c r="O604">
        <v>-0.1556089243944586</v>
      </c>
      <c r="P604" t="s">
        <v>586</v>
      </c>
      <c r="Q604" t="s">
        <v>372</v>
      </c>
      <c r="R604">
        <v>0</v>
      </c>
      <c r="S604">
        <v>9.777777777777779</v>
      </c>
      <c r="T604">
        <v>0.8</v>
      </c>
      <c r="U604">
        <v>9</v>
      </c>
      <c r="V604">
        <v>-1.0032</v>
      </c>
      <c r="W604">
        <v>0.09</v>
      </c>
      <c r="X604">
        <v>0.88</v>
      </c>
      <c r="Y604">
        <v>-0.6069869999999999</v>
      </c>
      <c r="Z604">
        <v>0.9240924092409242</v>
      </c>
      <c r="AA604">
        <v>0.05136436597110754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9.68</v>
      </c>
      <c r="D605">
        <v>26.243254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0.464690082644628</v>
      </c>
      <c r="M605">
        <v>-0.3023318048865278</v>
      </c>
      <c r="N605">
        <v>0</v>
      </c>
      <c r="O605">
        <v>-0.2465776469701877</v>
      </c>
      <c r="P605" t="s">
        <v>586</v>
      </c>
      <c r="Q605" t="s">
        <v>372</v>
      </c>
      <c r="R605">
        <v>0</v>
      </c>
      <c r="S605">
        <v>89.96399999999998</v>
      </c>
      <c r="T605">
        <v>1.6</v>
      </c>
      <c r="U605">
        <v>6.05</v>
      </c>
      <c r="V605">
        <v>-13.9421</v>
      </c>
      <c r="W605">
        <v>0.05</v>
      </c>
      <c r="X605">
        <v>4.4982</v>
      </c>
      <c r="Y605">
        <v>-0.8074779999999999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0.89</v>
      </c>
      <c r="D606">
        <v>3738</v>
      </c>
      <c r="E606" t="s">
        <v>663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0.1100441450767333</v>
      </c>
      <c r="N606">
        <v>0.04</v>
      </c>
      <c r="O606">
        <v>0.1544459108798026</v>
      </c>
      <c r="P606" t="s">
        <v>638</v>
      </c>
      <c r="Q606" t="s">
        <v>638</v>
      </c>
      <c r="R606">
        <v>0</v>
      </c>
      <c r="T606">
        <v>1.5</v>
      </c>
      <c r="U606">
        <v>0.5933333333333334</v>
      </c>
      <c r="V606">
        <v>0.2321</v>
      </c>
      <c r="W606">
        <v>0.3</v>
      </c>
      <c r="Y606">
        <v>-0.467066</v>
      </c>
      <c r="AA606">
        <v>0.1252006420545747</v>
      </c>
      <c r="AB606">
        <v>0.4012841091492777</v>
      </c>
      <c r="AC606">
        <v>0.9727126805778491</v>
      </c>
      <c r="AD606">
        <v>0.9085072231139647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16.63</v>
      </c>
      <c r="D607">
        <v>4583.54397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1318</v>
      </c>
      <c r="K607">
        <v>44073</v>
      </c>
      <c r="M607">
        <v>0.1098215575021688</v>
      </c>
      <c r="N607">
        <v>0.04</v>
      </c>
      <c r="O607">
        <v>0.1542144198022557</v>
      </c>
      <c r="P607" t="s">
        <v>638</v>
      </c>
      <c r="Q607" t="s">
        <v>638</v>
      </c>
      <c r="R607">
        <v>0</v>
      </c>
      <c r="T607">
        <v>28</v>
      </c>
      <c r="U607">
        <v>0.5939285714285714</v>
      </c>
      <c r="V607">
        <v>-9.119899999999999</v>
      </c>
      <c r="W607">
        <v>-8</v>
      </c>
      <c r="Y607">
        <v>-0.6755749999999999</v>
      </c>
      <c r="AA607">
        <v>0.02568218298555377</v>
      </c>
      <c r="AB607">
        <v>0.4012841091492777</v>
      </c>
      <c r="AC607">
        <v>0.971107544141252</v>
      </c>
      <c r="AD607">
        <v>0.9069020866773676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279.95</v>
      </c>
      <c r="D608">
        <v>7920.96129</v>
      </c>
      <c r="E608" t="s">
        <v>661</v>
      </c>
      <c r="F608" t="s">
        <v>632</v>
      </c>
      <c r="G608" t="s">
        <v>673</v>
      </c>
      <c r="H608" t="s">
        <v>702</v>
      </c>
      <c r="I608" t="s">
        <v>1296</v>
      </c>
      <c r="J608" t="s">
        <v>1313</v>
      </c>
      <c r="K608">
        <v>44061</v>
      </c>
      <c r="M608">
        <v>0.09957892756091491</v>
      </c>
      <c r="N608">
        <v>0.02</v>
      </c>
      <c r="O608">
        <v>0.143287308897398</v>
      </c>
      <c r="P608" t="s">
        <v>638</v>
      </c>
      <c r="Q608" t="s">
        <v>638</v>
      </c>
      <c r="R608">
        <v>0</v>
      </c>
      <c r="T608">
        <v>450</v>
      </c>
      <c r="U608">
        <v>0.6221111111111111</v>
      </c>
      <c r="V608">
        <v>-4.639</v>
      </c>
      <c r="W608">
        <v>450</v>
      </c>
      <c r="Y608">
        <v>-0.368091</v>
      </c>
      <c r="AA608">
        <v>0.2311396468699839</v>
      </c>
      <c r="AB608">
        <v>0.1613162118780096</v>
      </c>
      <c r="AC608">
        <v>0.9598715890850723</v>
      </c>
      <c r="AD608">
        <v>0.8764044943820225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482.88</v>
      </c>
      <c r="D609">
        <v>212957.3232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1314</v>
      </c>
      <c r="K609">
        <v>44056</v>
      </c>
      <c r="M609">
        <v>-0.08541546756443619</v>
      </c>
      <c r="N609">
        <v>0.25</v>
      </c>
      <c r="O609">
        <v>0.1432306655444546</v>
      </c>
      <c r="P609" t="s">
        <v>638</v>
      </c>
      <c r="Q609" t="s">
        <v>638</v>
      </c>
      <c r="R609">
        <v>0</v>
      </c>
      <c r="T609">
        <v>309</v>
      </c>
      <c r="U609">
        <v>1.562718446601942</v>
      </c>
      <c r="V609">
        <v>6.1055</v>
      </c>
      <c r="W609">
        <v>6.17</v>
      </c>
      <c r="Y609">
        <v>0.833884</v>
      </c>
      <c r="AA609">
        <v>0.9903691813804173</v>
      </c>
      <c r="AB609">
        <v>0.9967897271268058</v>
      </c>
      <c r="AC609">
        <v>0.1171749598715891</v>
      </c>
      <c r="AD609">
        <v>0.8747993579454254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407.34</v>
      </c>
      <c r="D610">
        <v>379563.07806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1318</v>
      </c>
      <c r="K610">
        <v>44035</v>
      </c>
      <c r="M610">
        <v>-0.06763713538730964</v>
      </c>
      <c r="N610">
        <v>0.2</v>
      </c>
      <c r="O610">
        <v>0.1188354375352283</v>
      </c>
      <c r="P610" t="s">
        <v>638</v>
      </c>
      <c r="Q610" t="s">
        <v>638</v>
      </c>
      <c r="R610">
        <v>0</v>
      </c>
      <c r="T610">
        <v>287</v>
      </c>
      <c r="U610">
        <v>1.419303135888502</v>
      </c>
      <c r="V610">
        <v>0.4058</v>
      </c>
      <c r="W610">
        <v>0</v>
      </c>
      <c r="Y610">
        <v>7.396685</v>
      </c>
      <c r="AA610">
        <v>1</v>
      </c>
      <c r="AB610">
        <v>0.9895666131621188</v>
      </c>
      <c r="AC610">
        <v>0.1669341894060995</v>
      </c>
      <c r="AD610">
        <v>0.7640449438202248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6.87</v>
      </c>
      <c r="D611">
        <v>13441.444897</v>
      </c>
      <c r="E611" t="s">
        <v>669</v>
      </c>
      <c r="F611" t="s">
        <v>632</v>
      </c>
      <c r="G611" t="s">
        <v>691</v>
      </c>
      <c r="H611" t="s">
        <v>702</v>
      </c>
      <c r="I611" t="s">
        <v>1299</v>
      </c>
      <c r="J611" t="s">
        <v>1318</v>
      </c>
      <c r="K611">
        <v>44013</v>
      </c>
      <c r="M611">
        <v>0.003756245638377953</v>
      </c>
      <c r="N611">
        <v>0.068</v>
      </c>
      <c r="O611">
        <v>0.103207313703465</v>
      </c>
      <c r="P611" t="s">
        <v>638</v>
      </c>
      <c r="Q611" t="s">
        <v>638</v>
      </c>
      <c r="R611">
        <v>0</v>
      </c>
      <c r="T611">
        <v>7</v>
      </c>
      <c r="U611">
        <v>0.9814285714285714</v>
      </c>
      <c r="V611">
        <v>-4.5321</v>
      </c>
      <c r="W611">
        <v>0.25</v>
      </c>
      <c r="Y611">
        <v>-0.467442</v>
      </c>
      <c r="AA611">
        <v>0.1235955056179775</v>
      </c>
      <c r="AB611">
        <v>0.7174959871589085</v>
      </c>
      <c r="AC611">
        <v>0.579454253611557</v>
      </c>
      <c r="AD611">
        <v>0.6805778491171749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271.09</v>
      </c>
      <c r="D612">
        <v>733471.269875</v>
      </c>
      <c r="E612" t="s">
        <v>666</v>
      </c>
      <c r="F612" t="s">
        <v>632</v>
      </c>
      <c r="G612" t="s">
        <v>672</v>
      </c>
      <c r="H612" t="s">
        <v>700</v>
      </c>
      <c r="I612" t="s">
        <v>1300</v>
      </c>
      <c r="J612" t="s">
        <v>1318</v>
      </c>
      <c r="K612">
        <v>44078</v>
      </c>
      <c r="M612">
        <v>-0.0409045368148423</v>
      </c>
      <c r="N612">
        <v>0.15</v>
      </c>
      <c r="O612">
        <v>0.1029597826629314</v>
      </c>
      <c r="P612" t="s">
        <v>638</v>
      </c>
      <c r="Q612" t="s">
        <v>638</v>
      </c>
      <c r="R612">
        <v>0</v>
      </c>
      <c r="T612">
        <v>220</v>
      </c>
      <c r="U612">
        <v>1.232227272727273</v>
      </c>
      <c r="V612">
        <v>9.4552</v>
      </c>
      <c r="W612">
        <v>39.95</v>
      </c>
      <c r="Y612">
        <v>0.549086</v>
      </c>
      <c r="AA612">
        <v>0.9662921348314607</v>
      </c>
      <c r="AB612">
        <v>0.9783306581059389</v>
      </c>
      <c r="AC612">
        <v>0.3113964686998395</v>
      </c>
      <c r="AD612">
        <v>0.6789727126805778</v>
      </c>
    </row>
    <row r="613" spans="1:30">
      <c r="A613" s="1" t="s">
        <v>620</v>
      </c>
      <c r="B613">
        <f>HYPERLINK("https://www.suredividend.com/sure-analysis-NOK/","Nokia Oyj")</f>
        <v>0</v>
      </c>
      <c r="C613">
        <v>3.78</v>
      </c>
      <c r="D613">
        <v>21207.423102</v>
      </c>
      <c r="E613" t="s">
        <v>664</v>
      </c>
      <c r="F613" t="s">
        <v>632</v>
      </c>
      <c r="G613" t="s">
        <v>684</v>
      </c>
      <c r="H613" t="s">
        <v>700</v>
      </c>
      <c r="I613" t="s">
        <v>1301</v>
      </c>
      <c r="J613" t="s">
        <v>1320</v>
      </c>
      <c r="K613">
        <v>44062</v>
      </c>
      <c r="M613">
        <v>0.02848862174989741</v>
      </c>
      <c r="N613">
        <v>0.07000000000000001</v>
      </c>
      <c r="O613">
        <v>0.1004828252723902</v>
      </c>
      <c r="P613" t="s">
        <v>638</v>
      </c>
      <c r="Q613" t="s">
        <v>638</v>
      </c>
      <c r="R613">
        <v>0</v>
      </c>
      <c r="T613">
        <v>4.35</v>
      </c>
      <c r="U613">
        <v>0.8689655172413795</v>
      </c>
      <c r="V613">
        <v>0.123</v>
      </c>
      <c r="W613">
        <v>0.29</v>
      </c>
      <c r="Y613">
        <v>-0.242485</v>
      </c>
      <c r="AA613">
        <v>0.377207062600321</v>
      </c>
      <c r="AB613">
        <v>0.7504012841091493</v>
      </c>
      <c r="AC613">
        <v>0.7030497592295345</v>
      </c>
      <c r="AD613">
        <v>0.6613162118780096</v>
      </c>
    </row>
    <row r="614" spans="1:30">
      <c r="A614" s="1" t="s">
        <v>621</v>
      </c>
      <c r="B614">
        <f>HYPERLINK("https://www.suredividend.com/sure-analysis-MT/","ArcelorMittal SA")</f>
        <v>0</v>
      </c>
      <c r="C614">
        <v>12.09</v>
      </c>
      <c r="D614">
        <v>12235.996398</v>
      </c>
      <c r="E614" t="s">
        <v>661</v>
      </c>
      <c r="F614" t="s">
        <v>632</v>
      </c>
      <c r="G614" t="s">
        <v>699</v>
      </c>
      <c r="H614" t="s">
        <v>700</v>
      </c>
      <c r="I614" t="s">
        <v>1302</v>
      </c>
      <c r="J614" t="s">
        <v>1322</v>
      </c>
      <c r="K614">
        <v>44070</v>
      </c>
      <c r="M614">
        <v>0.09462524524823701</v>
      </c>
      <c r="N614">
        <v>0</v>
      </c>
      <c r="O614">
        <v>0.09462524524823701</v>
      </c>
      <c r="P614" t="s">
        <v>638</v>
      </c>
      <c r="Q614" t="s">
        <v>638</v>
      </c>
      <c r="R614">
        <v>0</v>
      </c>
      <c r="T614">
        <v>19</v>
      </c>
      <c r="U614">
        <v>0.6363157894736842</v>
      </c>
      <c r="V614">
        <v>-4.0082</v>
      </c>
      <c r="W614">
        <v>-1.6</v>
      </c>
      <c r="Y614">
        <v>-0.138275</v>
      </c>
      <c r="AA614">
        <v>0.5104333868378812</v>
      </c>
      <c r="AB614">
        <v>0.04895666131621188</v>
      </c>
      <c r="AC614">
        <v>0.9470304975922953</v>
      </c>
      <c r="AD614">
        <v>0.637239165329053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34.2</v>
      </c>
      <c r="D615">
        <v>9951.6528</v>
      </c>
      <c r="E615" t="s">
        <v>664</v>
      </c>
      <c r="F615" t="s">
        <v>632</v>
      </c>
      <c r="G615" t="s">
        <v>671</v>
      </c>
      <c r="H615" t="s">
        <v>701</v>
      </c>
      <c r="I615" t="s">
        <v>1303</v>
      </c>
      <c r="J615" t="s">
        <v>1319</v>
      </c>
      <c r="K615">
        <v>44050</v>
      </c>
      <c r="M615">
        <v>0.04194462074695648</v>
      </c>
      <c r="N615">
        <v>0.05</v>
      </c>
      <c r="O615">
        <v>0.09404185178430424</v>
      </c>
      <c r="P615" t="s">
        <v>638</v>
      </c>
      <c r="Q615" t="s">
        <v>638</v>
      </c>
      <c r="R615">
        <v>0</v>
      </c>
      <c r="T615">
        <v>42</v>
      </c>
      <c r="U615">
        <v>0.8142857142857144</v>
      </c>
      <c r="V615">
        <v>-6.1024</v>
      </c>
      <c r="W615">
        <v>-21</v>
      </c>
      <c r="Y615">
        <v>-0.613341</v>
      </c>
      <c r="AA615">
        <v>0.04815409309791332</v>
      </c>
      <c r="AB615">
        <v>0.5296950240770465</v>
      </c>
      <c r="AC615">
        <v>0.7881219903691814</v>
      </c>
      <c r="AD615">
        <v>0.6340288924558588</v>
      </c>
    </row>
    <row r="616" spans="1:30">
      <c r="A616" s="1" t="s">
        <v>623</v>
      </c>
      <c r="B616">
        <f>HYPERLINK("https://www.suredividend.com/sure-analysis-BRK.B/","Berkshire Hathaway, Inc.")</f>
        <v>0</v>
      </c>
      <c r="C616">
        <v>210.45</v>
      </c>
      <c r="D616">
        <v>502600.68855</v>
      </c>
      <c r="E616" t="s">
        <v>660</v>
      </c>
      <c r="F616" t="s">
        <v>632</v>
      </c>
      <c r="G616" t="s">
        <v>671</v>
      </c>
      <c r="H616" t="s">
        <v>700</v>
      </c>
      <c r="I616" t="s">
        <v>1304</v>
      </c>
      <c r="J616" t="s">
        <v>1313</v>
      </c>
      <c r="K616">
        <v>44056</v>
      </c>
      <c r="M616">
        <v>0.03996376359858944</v>
      </c>
      <c r="N616">
        <v>0.05</v>
      </c>
      <c r="O616">
        <v>0.09196195177851907</v>
      </c>
      <c r="P616" t="s">
        <v>638</v>
      </c>
      <c r="Q616" t="s">
        <v>638</v>
      </c>
      <c r="R616">
        <v>0</v>
      </c>
      <c r="T616">
        <v>256</v>
      </c>
      <c r="U616">
        <v>0.8220703125</v>
      </c>
      <c r="V616">
        <v>9.130000000000001</v>
      </c>
      <c r="W616">
        <v>9.300000000000001</v>
      </c>
      <c r="Y616">
        <v>0.017158</v>
      </c>
      <c r="AA616">
        <v>0.7142857142857143</v>
      </c>
      <c r="AB616">
        <v>0.5296950240770465</v>
      </c>
      <c r="AC616">
        <v>0.7672552166934189</v>
      </c>
      <c r="AD616">
        <v>0.6179775280898876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6.91</v>
      </c>
      <c r="D617">
        <v>26949.8983</v>
      </c>
      <c r="E617" t="s">
        <v>662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0.03608450859503121</v>
      </c>
      <c r="N617">
        <v>0.01</v>
      </c>
      <c r="O617">
        <v>0.09100166848850755</v>
      </c>
      <c r="P617" t="s">
        <v>638</v>
      </c>
      <c r="Q617" t="s">
        <v>638</v>
      </c>
      <c r="R617">
        <v>0</v>
      </c>
      <c r="T617">
        <v>8.25</v>
      </c>
      <c r="U617">
        <v>0.8375757575757576</v>
      </c>
      <c r="V617">
        <v>0.9075000000000001</v>
      </c>
      <c r="W617">
        <v>0.75</v>
      </c>
      <c r="Y617">
        <v>-0.333012</v>
      </c>
      <c r="AA617">
        <v>0.2841091492776886</v>
      </c>
      <c r="AB617">
        <v>0.08828250401284109</v>
      </c>
      <c r="AC617">
        <v>0.7415730337078652</v>
      </c>
      <c r="AD617">
        <v>0.6067415730337078</v>
      </c>
    </row>
    <row r="618" spans="1:30">
      <c r="A618" s="1" t="s">
        <v>625</v>
      </c>
      <c r="B618">
        <f>HYPERLINK("https://www.suredividend.com/sure-analysis-FCAU/","Fiat Chrysler Automobiles NV")</f>
        <v>0</v>
      </c>
      <c r="C618">
        <v>11.98</v>
      </c>
      <c r="D618">
        <v>18787.1558</v>
      </c>
      <c r="E618" t="s">
        <v>666</v>
      </c>
      <c r="F618" t="s">
        <v>632</v>
      </c>
      <c r="G618" t="s">
        <v>677</v>
      </c>
      <c r="H618" t="s">
        <v>700</v>
      </c>
      <c r="I618" t="s">
        <v>1306</v>
      </c>
      <c r="J618" t="s">
        <v>1318</v>
      </c>
      <c r="K618">
        <v>44056</v>
      </c>
      <c r="M618">
        <v>0.03165442077053093</v>
      </c>
      <c r="N618">
        <v>0.03</v>
      </c>
      <c r="O618">
        <v>0.08878055791107808</v>
      </c>
      <c r="P618" t="s">
        <v>638</v>
      </c>
      <c r="Q618" t="s">
        <v>638</v>
      </c>
      <c r="R618">
        <v>0</v>
      </c>
      <c r="T618">
        <v>14</v>
      </c>
      <c r="U618">
        <v>0.8557142857142858</v>
      </c>
      <c r="V618">
        <v>-0.9329000000000001</v>
      </c>
      <c r="W618">
        <v>-0.25</v>
      </c>
      <c r="Y618">
        <v>-0.077042</v>
      </c>
      <c r="AA618">
        <v>0.5826645264847512</v>
      </c>
      <c r="AB618">
        <v>0.2680577849117175</v>
      </c>
      <c r="AC618">
        <v>0.7223113964686998</v>
      </c>
      <c r="AD618">
        <v>0.5890850722311396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9.529999999999999</v>
      </c>
      <c r="D619">
        <v>5625.2731</v>
      </c>
      <c r="E619" t="s">
        <v>666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0.027282266526757</v>
      </c>
      <c r="M619">
        <v>0.009674574092550348</v>
      </c>
      <c r="N619">
        <v>0.06</v>
      </c>
      <c r="O619">
        <v>0.08427833737634582</v>
      </c>
      <c r="P619" t="s">
        <v>638</v>
      </c>
      <c r="Q619" t="s">
        <v>638</v>
      </c>
      <c r="R619">
        <v>0</v>
      </c>
      <c r="T619">
        <v>10</v>
      </c>
      <c r="U619">
        <v>0.953</v>
      </c>
      <c r="V619">
        <v>-0.7624000000000001</v>
      </c>
      <c r="W619">
        <v>0</v>
      </c>
      <c r="X619">
        <v>0.26</v>
      </c>
      <c r="Y619">
        <v>-0.5384989999999999</v>
      </c>
      <c r="Z619">
        <v>0.3729372937293729</v>
      </c>
      <c r="AA619">
        <v>0.08346709470304976</v>
      </c>
      <c r="AB619">
        <v>0.6597110754414125</v>
      </c>
      <c r="AC619">
        <v>0.6179775280898876</v>
      </c>
      <c r="AD619">
        <v>0.565008025682183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1444.96</v>
      </c>
      <c r="D620">
        <v>982808.8573349999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-0.07283746565020899</v>
      </c>
      <c r="N620">
        <v>0.12</v>
      </c>
      <c r="O620">
        <v>0.03842203847176595</v>
      </c>
      <c r="P620" t="s">
        <v>638</v>
      </c>
      <c r="Q620" t="s">
        <v>638</v>
      </c>
      <c r="R620">
        <v>0</v>
      </c>
      <c r="T620">
        <v>990</v>
      </c>
      <c r="U620">
        <v>1.459555555555555</v>
      </c>
      <c r="V620">
        <v>45.8605</v>
      </c>
      <c r="W620">
        <v>45</v>
      </c>
      <c r="Y620">
        <v>0.163986</v>
      </c>
      <c r="AA620">
        <v>0.8202247191011236</v>
      </c>
      <c r="AB620">
        <v>0.9534510433386838</v>
      </c>
      <c r="AC620">
        <v>0.1573033707865168</v>
      </c>
      <c r="AD620">
        <v>0.2728731942215089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254.82</v>
      </c>
      <c r="D621">
        <v>725934.709073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-0.04920621162802963</v>
      </c>
      <c r="N621">
        <v>0.09</v>
      </c>
      <c r="O621">
        <v>0.03636522932544772</v>
      </c>
      <c r="P621" t="s">
        <v>638</v>
      </c>
      <c r="Q621" t="s">
        <v>638</v>
      </c>
      <c r="R621">
        <v>0</v>
      </c>
      <c r="T621">
        <v>198</v>
      </c>
      <c r="U621">
        <v>1.286969696969697</v>
      </c>
      <c r="V621">
        <v>8.2463</v>
      </c>
      <c r="W621">
        <v>7.5</v>
      </c>
      <c r="Y621">
        <v>0.414802</v>
      </c>
      <c r="AA621">
        <v>0.9502407704654895</v>
      </c>
      <c r="AB621">
        <v>0.8780096308186195</v>
      </c>
      <c r="AC621">
        <v>0.2584269662921348</v>
      </c>
      <c r="AD621">
        <v>0.260032102728732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3095.13</v>
      </c>
      <c r="D622">
        <v>1550319.6657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1318</v>
      </c>
      <c r="K622">
        <v>44049</v>
      </c>
      <c r="M622">
        <v>-0.09538356134566095</v>
      </c>
      <c r="N622">
        <v>0.12</v>
      </c>
      <c r="O622">
        <v>0.0131704112928599</v>
      </c>
      <c r="P622" t="s">
        <v>638</v>
      </c>
      <c r="Q622" t="s">
        <v>638</v>
      </c>
      <c r="R622">
        <v>0</v>
      </c>
      <c r="T622">
        <v>1875</v>
      </c>
      <c r="U622">
        <v>1.650736</v>
      </c>
      <c r="V622">
        <v>26.4762</v>
      </c>
      <c r="W622">
        <v>75</v>
      </c>
      <c r="Y622">
        <v>0.7789739999999999</v>
      </c>
      <c r="AA622">
        <v>0.9871589085072232</v>
      </c>
      <c r="AB622">
        <v>0.9534510433386838</v>
      </c>
      <c r="AC622">
        <v>0.08507223113964686</v>
      </c>
      <c r="AD622">
        <v>0.158908507223114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0.6268</v>
      </c>
      <c r="D623">
        <v>172.0566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0.04470367628385996</v>
      </c>
      <c r="N623">
        <v>-0.05</v>
      </c>
      <c r="O623">
        <v>-0.007531507530332937</v>
      </c>
      <c r="P623" t="s">
        <v>638</v>
      </c>
      <c r="Q623" t="s">
        <v>638</v>
      </c>
      <c r="R623">
        <v>0</v>
      </c>
      <c r="T623">
        <v>0.78</v>
      </c>
      <c r="U623">
        <v>0.8035897435897436</v>
      </c>
      <c r="V623">
        <v>-0.1548</v>
      </c>
      <c r="W623">
        <v>-0.4</v>
      </c>
      <c r="Y623">
        <v>-0.4862300000000001</v>
      </c>
      <c r="AA623">
        <v>0.1171749598715891</v>
      </c>
      <c r="AB623">
        <v>0.008025682182985555</v>
      </c>
      <c r="AC623">
        <v>0.8065810593900481</v>
      </c>
      <c r="AD623">
        <v>0.08988764044943821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30.33</v>
      </c>
      <c r="D624">
        <v>8428.373369999999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1318</v>
      </c>
      <c r="K624">
        <v>44063</v>
      </c>
      <c r="L624">
        <v>0.019782393669634</v>
      </c>
      <c r="M624">
        <v>-0.07990744397957095</v>
      </c>
      <c r="N624">
        <v>0</v>
      </c>
      <c r="O624">
        <v>-0.07990744397957095</v>
      </c>
      <c r="P624" t="s">
        <v>638</v>
      </c>
      <c r="Q624" t="s">
        <v>638</v>
      </c>
      <c r="R624">
        <v>0</v>
      </c>
      <c r="T624">
        <v>20</v>
      </c>
      <c r="U624">
        <v>1.5165</v>
      </c>
      <c r="V624">
        <v>-2.8569</v>
      </c>
      <c r="W624">
        <v>0</v>
      </c>
      <c r="X624">
        <v>0.6000000000000001</v>
      </c>
      <c r="Y624">
        <v>0.596316</v>
      </c>
      <c r="Z624">
        <v>0.2607260726072607</v>
      </c>
      <c r="AA624">
        <v>0.9759229534510433</v>
      </c>
      <c r="AB624">
        <v>0.04895666131621188</v>
      </c>
      <c r="AC624">
        <v>0.1348314606741573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1318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417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583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575</v>
      </c>
      <c r="B238">
        <v>43829</v>
      </c>
    </row>
    <row r="239" spans="1:2">
      <c r="A239" s="1" t="s">
        <v>501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503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394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455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525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393</v>
      </c>
      <c r="B328">
        <v>43781</v>
      </c>
    </row>
    <row r="329" spans="1:2">
      <c r="A329" s="1" t="s">
        <v>423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554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577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542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520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558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518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375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406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552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433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387</v>
      </c>
      <c r="B483">
        <v>43783</v>
      </c>
    </row>
    <row r="484" spans="1:2">
      <c r="A484" s="1" t="s">
        <v>600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527</v>
      </c>
      <c r="B560">
        <v>43845</v>
      </c>
    </row>
    <row r="561" spans="1:2">
      <c r="A561" s="1" t="s">
        <v>434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573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471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515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540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546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533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414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281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516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559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272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537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589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386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441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562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482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407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398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466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385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498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263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391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403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586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410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521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379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278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431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479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523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569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574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460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565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383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416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570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411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299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581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309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377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327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413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428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453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592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530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415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505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332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344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566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322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310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426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522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319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186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330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557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156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467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449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545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420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381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409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536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451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572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445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321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429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172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164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295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438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452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556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408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329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320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317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597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610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302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472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41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508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531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512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584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526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318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553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551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157</v>
      </c>
      <c r="B2650">
        <v>43832</v>
      </c>
    </row>
    <row r="2651" spans="1:2">
      <c r="A2651" s="1" t="s">
        <v>528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563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192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335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154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437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591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450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351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137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218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59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18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392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504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203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139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399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160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183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447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358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432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65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484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296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197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223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313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547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334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343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345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144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396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291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90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427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178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219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326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142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173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532</v>
      </c>
      <c r="B3461">
        <v>43845</v>
      </c>
    </row>
    <row r="3462" spans="1:2">
      <c r="A3462" s="1" t="s">
        <v>19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444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188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524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180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189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303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402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241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405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463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233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510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439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145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436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255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200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191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66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33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174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221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235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276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459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229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353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91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231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474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64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238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287</v>
      </c>
      <c r="B4104">
        <v>43784</v>
      </c>
    </row>
    <row r="4105" spans="1:2">
      <c r="A4105" s="1" t="s">
        <v>304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99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201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185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70</v>
      </c>
      <c r="B4197">
        <v>43812</v>
      </c>
    </row>
    <row r="4198" spans="1:2">
      <c r="A4198" s="1" t="s">
        <v>166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401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312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86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354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580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457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234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225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176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168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308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120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45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161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224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24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36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286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206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44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237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93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110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314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34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561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76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430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230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56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100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134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576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228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213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216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103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571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461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38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82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37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26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111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40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346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529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325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95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106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333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425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25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215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190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214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167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339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63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116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112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212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564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355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621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74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199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62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293</v>
      </c>
      <c r="B5926">
        <v>43784</v>
      </c>
    </row>
    <row r="5927" spans="1:2">
      <c r="A5927" s="1" t="s">
        <v>595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421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548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68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71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158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349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75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361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360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316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550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619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585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597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16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549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2020-09-26T20:43:19Z</dcterms:created>
  <dcterms:modified xsi:type="dcterms:W3CDTF">2020-09-26T20:43:19Z</dcterms:modified>
</cp:coreProperties>
</file>