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<sst xmlns="http://schemas.openxmlformats.org/spreadsheetml/2006/main" count="22312" uniqueCount="10770">
  <si>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</si>
  <si>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</si>
  <si>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</si>
  <si>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</si>
  <si>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</si>
  <si>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</si>
  <si>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</si>
  <si>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</si>
  <si>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</si>
  <si>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EFSI</t>
  </si>
  <si>
    <t>WEYS</t>
  </si>
  <si>
    <t>UNM</t>
  </si>
  <si>
    <t>EBTC</t>
  </si>
  <si>
    <t>PSBQ</t>
  </si>
  <si>
    <t>CDUAF</t>
  </si>
  <si>
    <t>HII</t>
  </si>
  <si>
    <t>ABBV</t>
  </si>
  <si>
    <t>AMP</t>
  </si>
  <si>
    <t>BMY</t>
  </si>
  <si>
    <t>LHX</t>
  </si>
  <si>
    <t>WBA</t>
  </si>
  <si>
    <t>FMCB</t>
  </si>
  <si>
    <t>PNGAY</t>
  </si>
  <si>
    <t>NFG</t>
  </si>
  <si>
    <t>NOC</t>
  </si>
  <si>
    <t>ORCL</t>
  </si>
  <si>
    <t>BEN</t>
  </si>
  <si>
    <t>MCK</t>
  </si>
  <si>
    <t>EV</t>
  </si>
  <si>
    <t>CSL</t>
  </si>
  <si>
    <t>PRGO</t>
  </si>
  <si>
    <t>BKH</t>
  </si>
  <si>
    <t>UGI</t>
  </si>
  <si>
    <t>TCEHY</t>
  </si>
  <si>
    <t>AFL</t>
  </si>
  <si>
    <t>LOW</t>
  </si>
  <si>
    <t>GD</t>
  </si>
  <si>
    <t>UNH</t>
  </si>
  <si>
    <t>CPKF</t>
  </si>
  <si>
    <t>AIZ</t>
  </si>
  <si>
    <t>SYK</t>
  </si>
  <si>
    <t>AMAT</t>
  </si>
  <si>
    <t>TNC</t>
  </si>
  <si>
    <t>PII</t>
  </si>
  <si>
    <t>SEIC</t>
  </si>
  <si>
    <t>CB</t>
  </si>
  <si>
    <t>ADM</t>
  </si>
  <si>
    <t>CAH</t>
  </si>
  <si>
    <t>PNR</t>
  </si>
  <si>
    <t>SON</t>
  </si>
  <si>
    <t>FUL</t>
  </si>
  <si>
    <t>SPGI</t>
  </si>
  <si>
    <t>ATO</t>
  </si>
  <si>
    <t>DPZ</t>
  </si>
  <si>
    <t>ABM</t>
  </si>
  <si>
    <t>BANF</t>
  </si>
  <si>
    <t>JNJ</t>
  </si>
  <si>
    <t>ABC</t>
  </si>
  <si>
    <t>RE</t>
  </si>
  <si>
    <t>MDT</t>
  </si>
  <si>
    <t>TXT</t>
  </si>
  <si>
    <t>GPC</t>
  </si>
  <si>
    <t>KR</t>
  </si>
  <si>
    <t>MMM</t>
  </si>
  <si>
    <t>DG</t>
  </si>
  <si>
    <t>MCO</t>
  </si>
  <si>
    <t>BDX</t>
  </si>
  <si>
    <t>KMB</t>
  </si>
  <si>
    <t>DCI</t>
  </si>
  <si>
    <t>CL</t>
  </si>
  <si>
    <t>AROW</t>
  </si>
  <si>
    <t>CP</t>
  </si>
  <si>
    <t>TR</t>
  </si>
  <si>
    <t>NWN</t>
  </si>
  <si>
    <t>PH</t>
  </si>
  <si>
    <t>DOV</t>
  </si>
  <si>
    <t>BRC</t>
  </si>
  <si>
    <t>TROW</t>
  </si>
  <si>
    <t>BRO</t>
  </si>
  <si>
    <t>TGT</t>
  </si>
  <si>
    <t>AAP</t>
  </si>
  <si>
    <t>TSCO</t>
  </si>
  <si>
    <t>EMR</t>
  </si>
  <si>
    <t>MSA</t>
  </si>
  <si>
    <t>CSX</t>
  </si>
  <si>
    <t>COST</t>
  </si>
  <si>
    <t>ROP</t>
  </si>
  <si>
    <t>THFF</t>
  </si>
  <si>
    <t>GRC</t>
  </si>
  <si>
    <t>CLX</t>
  </si>
  <si>
    <t>MSFT</t>
  </si>
  <si>
    <t>CHD</t>
  </si>
  <si>
    <t>GWW</t>
  </si>
  <si>
    <t>SHW</t>
  </si>
  <si>
    <t>ABT</t>
  </si>
  <si>
    <t>SJW</t>
  </si>
  <si>
    <t>CINF</t>
  </si>
  <si>
    <t>PG</t>
  </si>
  <si>
    <t>SWK</t>
  </si>
  <si>
    <t>WMT</t>
  </si>
  <si>
    <t>PPG</t>
  </si>
  <si>
    <t>CNI</t>
  </si>
  <si>
    <t>BAM</t>
  </si>
  <si>
    <t>EBAY</t>
  </si>
  <si>
    <t>FELE</t>
  </si>
  <si>
    <t>ECL</t>
  </si>
  <si>
    <t>LANC</t>
  </si>
  <si>
    <t>TMP</t>
  </si>
  <si>
    <t>ATR</t>
  </si>
  <si>
    <t>MGEE</t>
  </si>
  <si>
    <t>AWR</t>
  </si>
  <si>
    <t>HRL</t>
  </si>
  <si>
    <t>CSVI</t>
  </si>
  <si>
    <t>SCL</t>
  </si>
  <si>
    <t>MKC</t>
  </si>
  <si>
    <t>CARR</t>
  </si>
  <si>
    <t>EXPD</t>
  </si>
  <si>
    <t>OTIS</t>
  </si>
  <si>
    <t>BF.B</t>
  </si>
  <si>
    <t>AAPL</t>
  </si>
  <si>
    <t>MSEX</t>
  </si>
  <si>
    <t>RPM</t>
  </si>
  <si>
    <t>JKHY</t>
  </si>
  <si>
    <t>CTAS</t>
  </si>
  <si>
    <t>NDSN</t>
  </si>
  <si>
    <t>ALB</t>
  </si>
  <si>
    <t>CWT</t>
  </si>
  <si>
    <t>BMI</t>
  </si>
  <si>
    <t>RLI</t>
  </si>
  <si>
    <t>WST</t>
  </si>
  <si>
    <t>SUN</t>
  </si>
  <si>
    <t>EPD</t>
  </si>
  <si>
    <t>PB</t>
  </si>
  <si>
    <t>JW.A</t>
  </si>
  <si>
    <t>T</t>
  </si>
  <si>
    <t>INTC</t>
  </si>
  <si>
    <t>MTB</t>
  </si>
  <si>
    <t>PBCT</t>
  </si>
  <si>
    <t>BAYRY</t>
  </si>
  <si>
    <t>FRT</t>
  </si>
  <si>
    <t>LMT</t>
  </si>
  <si>
    <t>CVS</t>
  </si>
  <si>
    <t>SLF</t>
  </si>
  <si>
    <t>MO</t>
  </si>
  <si>
    <t>EIX</t>
  </si>
  <si>
    <t>HRB</t>
  </si>
  <si>
    <t>AMX</t>
  </si>
  <si>
    <t>GILD</t>
  </si>
  <si>
    <t>FDX</t>
  </si>
  <si>
    <t>MET</t>
  </si>
  <si>
    <t>CMCSA</t>
  </si>
  <si>
    <t>GWLIF</t>
  </si>
  <si>
    <t>AXP</t>
  </si>
  <si>
    <t>SRE</t>
  </si>
  <si>
    <t>EMN</t>
  </si>
  <si>
    <t>RTX</t>
  </si>
  <si>
    <t>CSCO</t>
  </si>
  <si>
    <t>NVS</t>
  </si>
  <si>
    <t>MSM</t>
  </si>
  <si>
    <t>OZK</t>
  </si>
  <si>
    <t>VZ</t>
  </si>
  <si>
    <t>MRK</t>
  </si>
  <si>
    <t>ICE</t>
  </si>
  <si>
    <t>CFR</t>
  </si>
  <si>
    <t>TDS</t>
  </si>
  <si>
    <t>NTIOF</t>
  </si>
  <si>
    <t>RDEIY</t>
  </si>
  <si>
    <t>AMGN</t>
  </si>
  <si>
    <t>DTE</t>
  </si>
  <si>
    <t>IBM</t>
  </si>
  <si>
    <t>TSN</t>
  </si>
  <si>
    <t>KDP</t>
  </si>
  <si>
    <t>RY</t>
  </si>
  <si>
    <t>CONE</t>
  </si>
  <si>
    <t>MDLZ</t>
  </si>
  <si>
    <t>GEF</t>
  </si>
  <si>
    <t>MDU</t>
  </si>
  <si>
    <t>CTBI</t>
  </si>
  <si>
    <t>CPB</t>
  </si>
  <si>
    <t>SJM</t>
  </si>
  <si>
    <t>TTC</t>
  </si>
  <si>
    <t>KO</t>
  </si>
  <si>
    <t>FTS</t>
  </si>
  <si>
    <t>ADP</t>
  </si>
  <si>
    <t>LNT</t>
  </si>
  <si>
    <t>CTSH</t>
  </si>
  <si>
    <t>FOXA</t>
  </si>
  <si>
    <t>RSG</t>
  </si>
  <si>
    <t>ED</t>
  </si>
  <si>
    <t>SYY</t>
  </si>
  <si>
    <t>PPL</t>
  </si>
  <si>
    <t>BLK</t>
  </si>
  <si>
    <t>TRV</t>
  </si>
  <si>
    <t>ARTNA</t>
  </si>
  <si>
    <t>NEP</t>
  </si>
  <si>
    <t>AEP</t>
  </si>
  <si>
    <t>PEG</t>
  </si>
  <si>
    <t>XYL</t>
  </si>
  <si>
    <t>SAP</t>
  </si>
  <si>
    <t>AOS</t>
  </si>
  <si>
    <t>HON</t>
  </si>
  <si>
    <t>UBSI</t>
  </si>
  <si>
    <t>K</t>
  </si>
  <si>
    <t>WHR</t>
  </si>
  <si>
    <t>HSY</t>
  </si>
  <si>
    <t>AJG</t>
  </si>
  <si>
    <t>NSC</t>
  </si>
  <si>
    <t>UVV</t>
  </si>
  <si>
    <t>SNA</t>
  </si>
  <si>
    <t>BAH</t>
  </si>
  <si>
    <t>HD</t>
  </si>
  <si>
    <t>IFF</t>
  </si>
  <si>
    <t>ETR</t>
  </si>
  <si>
    <t>NVO</t>
  </si>
  <si>
    <t>INTU</t>
  </si>
  <si>
    <t>UPS</t>
  </si>
  <si>
    <t>PEP</t>
  </si>
  <si>
    <t>MGRC</t>
  </si>
  <si>
    <t>UHT</t>
  </si>
  <si>
    <t>AMT</t>
  </si>
  <si>
    <t>INFY</t>
  </si>
  <si>
    <t>MCD</t>
  </si>
  <si>
    <t>WEC</t>
  </si>
  <si>
    <t>RMD</t>
  </si>
  <si>
    <t>CBSH</t>
  </si>
  <si>
    <t>WU</t>
  </si>
  <si>
    <t>SWKS</t>
  </si>
  <si>
    <t>LLY</t>
  </si>
  <si>
    <t>UNP</t>
  </si>
  <si>
    <t>ROK</t>
  </si>
  <si>
    <t>WM</t>
  </si>
  <si>
    <t>NUE</t>
  </si>
  <si>
    <t>WTRG</t>
  </si>
  <si>
    <t>LIN</t>
  </si>
  <si>
    <t>BBY</t>
  </si>
  <si>
    <t>WABC</t>
  </si>
  <si>
    <t>ITW</t>
  </si>
  <si>
    <t>FAST</t>
  </si>
  <si>
    <t>NKE</t>
  </si>
  <si>
    <t>NEE</t>
  </si>
  <si>
    <t>QCOM</t>
  </si>
  <si>
    <t>CBU</t>
  </si>
  <si>
    <t>XEL</t>
  </si>
  <si>
    <t>MORN</t>
  </si>
  <si>
    <t>APD</t>
  </si>
  <si>
    <t>CHRW</t>
  </si>
  <si>
    <t>OMI</t>
  </si>
  <si>
    <t>WSM</t>
  </si>
  <si>
    <t>ERIE</t>
  </si>
  <si>
    <t>AUY</t>
  </si>
  <si>
    <t>ET</t>
  </si>
  <si>
    <t>OKE</t>
  </si>
  <si>
    <t>MMP</t>
  </si>
  <si>
    <t>CWCO</t>
  </si>
  <si>
    <t>NTAP</t>
  </si>
  <si>
    <t>SAXPY</t>
  </si>
  <si>
    <t>MPLX</t>
  </si>
  <si>
    <t>NAVI</t>
  </si>
  <si>
    <t>PFG</t>
  </si>
  <si>
    <t>BTI</t>
  </si>
  <si>
    <t>KMI</t>
  </si>
  <si>
    <t>BNS</t>
  </si>
  <si>
    <t>ENB</t>
  </si>
  <si>
    <t>SYF</t>
  </si>
  <si>
    <t>PFE</t>
  </si>
  <si>
    <t>NC</t>
  </si>
  <si>
    <t>ALLY</t>
  </si>
  <si>
    <t>OMC</t>
  </si>
  <si>
    <t>TFC</t>
  </si>
  <si>
    <t>ALL</t>
  </si>
  <si>
    <t>FTI</t>
  </si>
  <si>
    <t>OPI</t>
  </si>
  <si>
    <t>PRU</t>
  </si>
  <si>
    <t>BMO</t>
  </si>
  <si>
    <t>DD</t>
  </si>
  <si>
    <t>BIP</t>
  </si>
  <si>
    <t>BAC</t>
  </si>
  <si>
    <t>ORI</t>
  </si>
  <si>
    <t>TYCB</t>
  </si>
  <si>
    <t>AON</t>
  </si>
  <si>
    <t>BK</t>
  </si>
  <si>
    <t>YUM</t>
  </si>
  <si>
    <t>CM</t>
  </si>
  <si>
    <t>TD</t>
  </si>
  <si>
    <t>SNY</t>
  </si>
  <si>
    <t>OTTR</t>
  </si>
  <si>
    <t>MCY</t>
  </si>
  <si>
    <t>HPQ</t>
  </si>
  <si>
    <t>ERF</t>
  </si>
  <si>
    <t>KLAC</t>
  </si>
  <si>
    <t>VALE</t>
  </si>
  <si>
    <t>PM</t>
  </si>
  <si>
    <t>PSA</t>
  </si>
  <si>
    <t>AVB</t>
  </si>
  <si>
    <t>O</t>
  </si>
  <si>
    <t>NNN</t>
  </si>
  <si>
    <t>AVGO</t>
  </si>
  <si>
    <t>GM</t>
  </si>
  <si>
    <t>ASML</t>
  </si>
  <si>
    <t>DNKN</t>
  </si>
  <si>
    <t>ESS</t>
  </si>
  <si>
    <t>SO</t>
  </si>
  <si>
    <t>GS</t>
  </si>
  <si>
    <t>RCI</t>
  </si>
  <si>
    <t>CAT</t>
  </si>
  <si>
    <t>DUK</t>
  </si>
  <si>
    <t>TU</t>
  </si>
  <si>
    <t>LEG</t>
  </si>
  <si>
    <t>EXC</t>
  </si>
  <si>
    <t>BUD</t>
  </si>
  <si>
    <t>NLSN</t>
  </si>
  <si>
    <t>RELX</t>
  </si>
  <si>
    <t>BEP</t>
  </si>
  <si>
    <t>JACK</t>
  </si>
  <si>
    <t>VIAC</t>
  </si>
  <si>
    <t>GE</t>
  </si>
  <si>
    <t>DEO</t>
  </si>
  <si>
    <t>WPC</t>
  </si>
  <si>
    <t>SUUIF</t>
  </si>
  <si>
    <t>COR</t>
  </si>
  <si>
    <t>OSK</t>
  </si>
  <si>
    <t>SRCE</t>
  </si>
  <si>
    <t>TRSWF</t>
  </si>
  <si>
    <t>WDC</t>
  </si>
  <si>
    <t>GIS</t>
  </si>
  <si>
    <t>UMBF</t>
  </si>
  <si>
    <t>LRCX</t>
  </si>
  <si>
    <t>STZ</t>
  </si>
  <si>
    <t>SAN</t>
  </si>
  <si>
    <t>PAYX</t>
  </si>
  <si>
    <t>TXN</t>
  </si>
  <si>
    <t>LAZ</t>
  </si>
  <si>
    <t>PDCO</t>
  </si>
  <si>
    <t>CCI</t>
  </si>
  <si>
    <t>DOC</t>
  </si>
  <si>
    <t>MAR</t>
  </si>
  <si>
    <t>DEA</t>
  </si>
  <si>
    <t>UL</t>
  </si>
  <si>
    <t>MRVL</t>
  </si>
  <si>
    <t>CAG</t>
  </si>
  <si>
    <t>HPE</t>
  </si>
  <si>
    <t>SIEGY</t>
  </si>
  <si>
    <t>CME</t>
  </si>
  <si>
    <t>FLO</t>
  </si>
  <si>
    <t>CMI</t>
  </si>
  <si>
    <t>V</t>
  </si>
  <si>
    <t>NEM</t>
  </si>
  <si>
    <t>KSU</t>
  </si>
  <si>
    <t>NSRGY</t>
  </si>
  <si>
    <t>SKM</t>
  </si>
  <si>
    <t>PKX</t>
  </si>
  <si>
    <t>ERIC</t>
  </si>
  <si>
    <t>DLR</t>
  </si>
  <si>
    <t>TSM</t>
  </si>
  <si>
    <t>MA</t>
  </si>
  <si>
    <t>HBI</t>
  </si>
  <si>
    <t>LM</t>
  </si>
  <si>
    <t>APTV</t>
  </si>
  <si>
    <t>PCAR</t>
  </si>
  <si>
    <t>HNI</t>
  </si>
  <si>
    <t>TT</t>
  </si>
  <si>
    <t>TIF</t>
  </si>
  <si>
    <t>ACN</t>
  </si>
  <si>
    <t>DE</t>
  </si>
  <si>
    <t>GPS</t>
  </si>
  <si>
    <t>LOGI</t>
  </si>
  <si>
    <t>SNE</t>
  </si>
  <si>
    <t>NVDA</t>
  </si>
  <si>
    <t>TRI</t>
  </si>
  <si>
    <t>RACE</t>
  </si>
  <si>
    <t>WPM</t>
  </si>
  <si>
    <t>MFGP</t>
  </si>
  <si>
    <t>BPY</t>
  </si>
  <si>
    <t>IIPR</t>
  </si>
  <si>
    <t>SPH</t>
  </si>
  <si>
    <t>USAC</t>
  </si>
  <si>
    <t>TEF</t>
  </si>
  <si>
    <t>IMBBY</t>
  </si>
  <si>
    <t>DFS</t>
  </si>
  <si>
    <t>CHL</t>
  </si>
  <si>
    <t>GEO</t>
  </si>
  <si>
    <t>C</t>
  </si>
  <si>
    <t>IVZ</t>
  </si>
  <si>
    <t>KEY</t>
  </si>
  <si>
    <t>BRX</t>
  </si>
  <si>
    <t>FE</t>
  </si>
  <si>
    <t>SPG</t>
  </si>
  <si>
    <t>CTL</t>
  </si>
  <si>
    <t>NRZ</t>
  </si>
  <si>
    <t>IPPLF</t>
  </si>
  <si>
    <t>HAS</t>
  </si>
  <si>
    <t>MGP</t>
  </si>
  <si>
    <t>TAP</t>
  </si>
  <si>
    <t>MDP</t>
  </si>
  <si>
    <t>BXP</t>
  </si>
  <si>
    <t>IRM</t>
  </si>
  <si>
    <t>OHI</t>
  </si>
  <si>
    <t>LTC</t>
  </si>
  <si>
    <t>STWD</t>
  </si>
  <si>
    <t>PSEC</t>
  </si>
  <si>
    <t>TS</t>
  </si>
  <si>
    <t>STX</t>
  </si>
  <si>
    <t>WMB</t>
  </si>
  <si>
    <t>GLAD</t>
  </si>
  <si>
    <t>USB</t>
  </si>
  <si>
    <t>STOR</t>
  </si>
  <si>
    <t>OUT</t>
  </si>
  <si>
    <t>UBS</t>
  </si>
  <si>
    <t>NLY</t>
  </si>
  <si>
    <t>GSK</t>
  </si>
  <si>
    <t>JPM</t>
  </si>
  <si>
    <t>TRGP</t>
  </si>
  <si>
    <t>NYCB</t>
  </si>
  <si>
    <t>HTA</t>
  </si>
  <si>
    <t>SVC</t>
  </si>
  <si>
    <t>TCP</t>
  </si>
  <si>
    <t>CNA</t>
  </si>
  <si>
    <t>PACW</t>
  </si>
  <si>
    <t>DIN</t>
  </si>
  <si>
    <t>AQN</t>
  </si>
  <si>
    <t>D</t>
  </si>
  <si>
    <t>MPW</t>
  </si>
  <si>
    <t>KTB</t>
  </si>
  <si>
    <t>HTGC</t>
  </si>
  <si>
    <t>SKT</t>
  </si>
  <si>
    <t>BMWYY</t>
  </si>
  <si>
    <t>MGA</t>
  </si>
  <si>
    <t>APAM</t>
  </si>
  <si>
    <t>TRP</t>
  </si>
  <si>
    <t>TPR</t>
  </si>
  <si>
    <t>OGZPY</t>
  </si>
  <si>
    <t>XRX</t>
  </si>
  <si>
    <t>WRK</t>
  </si>
  <si>
    <t>JCI</t>
  </si>
  <si>
    <t>VER</t>
  </si>
  <si>
    <t>BCE</t>
  </si>
  <si>
    <t>QSR</t>
  </si>
  <si>
    <t>MIC</t>
  </si>
  <si>
    <t>SBR</t>
  </si>
  <si>
    <t>EQR</t>
  </si>
  <si>
    <t>LAMR</t>
  </si>
  <si>
    <t>VTR</t>
  </si>
  <si>
    <t>AEG</t>
  </si>
  <si>
    <t>LYB</t>
  </si>
  <si>
    <t>IDEXY</t>
  </si>
  <si>
    <t>GNL</t>
  </si>
  <si>
    <t>BGS</t>
  </si>
  <si>
    <t>AB</t>
  </si>
  <si>
    <t>DDAIF</t>
  </si>
  <si>
    <t>DRETF</t>
  </si>
  <si>
    <t>ARCC</t>
  </si>
  <si>
    <t>VFC</t>
  </si>
  <si>
    <t>NTR</t>
  </si>
  <si>
    <t>STAG</t>
  </si>
  <si>
    <t>GOOD</t>
  </si>
  <si>
    <t>PHG</t>
  </si>
  <si>
    <t>KHC</t>
  </si>
  <si>
    <t>DREUF</t>
  </si>
  <si>
    <t>EPR</t>
  </si>
  <si>
    <t>CF</t>
  </si>
  <si>
    <t>PEAK</t>
  </si>
  <si>
    <t>HOG</t>
  </si>
  <si>
    <t>CNP</t>
  </si>
  <si>
    <t>APO</t>
  </si>
  <si>
    <t>DHC</t>
  </si>
  <si>
    <t>BHP</t>
  </si>
  <si>
    <t>NWL</t>
  </si>
  <si>
    <t>ABR</t>
  </si>
  <si>
    <t>IP</t>
  </si>
  <si>
    <t>GRMN</t>
  </si>
  <si>
    <t>BX</t>
  </si>
  <si>
    <t>ALV</t>
  </si>
  <si>
    <t>DRI</t>
  </si>
  <si>
    <t>AMCR</t>
  </si>
  <si>
    <t>GLW</t>
  </si>
  <si>
    <t>GRP-UN</t>
  </si>
  <si>
    <t>CC</t>
  </si>
  <si>
    <t>RIO</t>
  </si>
  <si>
    <t>LAND</t>
  </si>
  <si>
    <t>PPRQF</t>
  </si>
  <si>
    <t>WEN</t>
  </si>
  <si>
    <t>WDR</t>
  </si>
  <si>
    <t>FLR</t>
  </si>
  <si>
    <t>DIS</t>
  </si>
  <si>
    <t>FCX</t>
  </si>
  <si>
    <t>WY</t>
  </si>
  <si>
    <t>AZN</t>
  </si>
  <si>
    <t>ETN</t>
  </si>
  <si>
    <t>HMC</t>
  </si>
  <si>
    <t>GOLD</t>
  </si>
  <si>
    <t>KLIC</t>
  </si>
  <si>
    <t>CHRRF</t>
  </si>
  <si>
    <t>SNP</t>
  </si>
  <si>
    <t>GEL</t>
  </si>
  <si>
    <t>RDS.B</t>
  </si>
  <si>
    <t>BP</t>
  </si>
  <si>
    <t>HFC</t>
  </si>
  <si>
    <t>UBA</t>
  </si>
  <si>
    <t>HEP</t>
  </si>
  <si>
    <t>OLN</t>
  </si>
  <si>
    <t>NYMT</t>
  </si>
  <si>
    <t>TOT</t>
  </si>
  <si>
    <t>SFL</t>
  </si>
  <si>
    <t>SU</t>
  </si>
  <si>
    <t>PSX</t>
  </si>
  <si>
    <t>LUV</t>
  </si>
  <si>
    <t>MPC</t>
  </si>
  <si>
    <t>CMA</t>
  </si>
  <si>
    <t>CIM</t>
  </si>
  <si>
    <t>CEO</t>
  </si>
  <si>
    <t>APLE</t>
  </si>
  <si>
    <t>VLO</t>
  </si>
  <si>
    <t>CRT</t>
  </si>
  <si>
    <t>HBAN</t>
  </si>
  <si>
    <t>XOM</t>
  </si>
  <si>
    <t>CVX</t>
  </si>
  <si>
    <t>ABEV</t>
  </si>
  <si>
    <t>SCM</t>
  </si>
  <si>
    <t>LMRK</t>
  </si>
  <si>
    <t>AXS</t>
  </si>
  <si>
    <t>WFC</t>
  </si>
  <si>
    <t>WSR</t>
  </si>
  <si>
    <t>MAC</t>
  </si>
  <si>
    <t>GAIN</t>
  </si>
  <si>
    <t>IMO</t>
  </si>
  <si>
    <t>COP</t>
  </si>
  <si>
    <t>RCL</t>
  </si>
  <si>
    <t>SIX</t>
  </si>
  <si>
    <t>HSBC</t>
  </si>
  <si>
    <t>CVA</t>
  </si>
  <si>
    <t>PBR</t>
  </si>
  <si>
    <t>LADR</t>
  </si>
  <si>
    <t>SSREY</t>
  </si>
  <si>
    <t>PTR</t>
  </si>
  <si>
    <t>DTEGY</t>
  </si>
  <si>
    <t>SBRA</t>
  </si>
  <si>
    <t>BKR</t>
  </si>
  <si>
    <t>BXMT</t>
  </si>
  <si>
    <t>SPKE</t>
  </si>
  <si>
    <t>FUN</t>
  </si>
  <si>
    <t>AGNC</t>
  </si>
  <si>
    <t>INN</t>
  </si>
  <si>
    <t>OXY</t>
  </si>
  <si>
    <t>R</t>
  </si>
  <si>
    <t>ALK</t>
  </si>
  <si>
    <t>CAKE</t>
  </si>
  <si>
    <t>CNQ</t>
  </si>
  <si>
    <t>ARI</t>
  </si>
  <si>
    <t>BA</t>
  </si>
  <si>
    <t>AM</t>
  </si>
  <si>
    <t>MAIN</t>
  </si>
  <si>
    <t>HST</t>
  </si>
  <si>
    <t>LVS</t>
  </si>
  <si>
    <t>SBUX</t>
  </si>
  <si>
    <t>SLB</t>
  </si>
  <si>
    <t>CODI</t>
  </si>
  <si>
    <t>ALARF</t>
  </si>
  <si>
    <t>SJR</t>
  </si>
  <si>
    <t>ARR</t>
  </si>
  <si>
    <t>E</t>
  </si>
  <si>
    <t>VGR</t>
  </si>
  <si>
    <t>RRD</t>
  </si>
  <si>
    <t>M</t>
  </si>
  <si>
    <t>NOV</t>
  </si>
  <si>
    <t>TWO</t>
  </si>
  <si>
    <t>PSO</t>
  </si>
  <si>
    <t>ORC</t>
  </si>
  <si>
    <t>WPP</t>
  </si>
  <si>
    <t>KIM</t>
  </si>
  <si>
    <t>CAE</t>
  </si>
  <si>
    <t>TCO</t>
  </si>
  <si>
    <t>HP</t>
  </si>
  <si>
    <t>EQM</t>
  </si>
  <si>
    <t>PRT</t>
  </si>
  <si>
    <t>VET</t>
  </si>
  <si>
    <t>FL</t>
  </si>
  <si>
    <t>HAL</t>
  </si>
  <si>
    <t>EADSY</t>
  </si>
  <si>
    <t>DDS</t>
  </si>
  <si>
    <t>ROST</t>
  </si>
  <si>
    <t>TJX</t>
  </si>
  <si>
    <t>PBA</t>
  </si>
  <si>
    <t>HA</t>
  </si>
  <si>
    <t>DAL</t>
  </si>
  <si>
    <t>EQNR</t>
  </si>
  <si>
    <t>DX</t>
  </si>
  <si>
    <t>UFS</t>
  </si>
  <si>
    <t>KSS</t>
  </si>
  <si>
    <t>SCHL</t>
  </si>
  <si>
    <t>CCL</t>
  </si>
  <si>
    <t>CPTA</t>
  </si>
  <si>
    <t>CLDT</t>
  </si>
  <si>
    <t>CAJ</t>
  </si>
  <si>
    <t>CBRL</t>
  </si>
  <si>
    <t>JWN</t>
  </si>
  <si>
    <t>WELL</t>
  </si>
  <si>
    <t>F</t>
  </si>
  <si>
    <t>ABB</t>
  </si>
  <si>
    <t>TM</t>
  </si>
  <si>
    <t>AAL</t>
  </si>
  <si>
    <t>GLPI</t>
  </si>
  <si>
    <t>DOW</t>
  </si>
  <si>
    <t>VOD</t>
  </si>
  <si>
    <t>PTEN</t>
  </si>
  <si>
    <t>MGM</t>
  </si>
  <si>
    <t>APA</t>
  </si>
  <si>
    <t>BBBY</t>
  </si>
  <si>
    <t>CORR</t>
  </si>
  <si>
    <t>ANF</t>
  </si>
  <si>
    <t>LB</t>
  </si>
  <si>
    <t>WYNN</t>
  </si>
  <si>
    <t>NBR</t>
  </si>
  <si>
    <t>NCLH</t>
  </si>
  <si>
    <t>TKGBY</t>
  </si>
  <si>
    <t>FRFHF</t>
  </si>
  <si>
    <t>FMS</t>
  </si>
  <si>
    <t>FCAU</t>
  </si>
  <si>
    <t>SCGLY</t>
  </si>
  <si>
    <t>NSANY</t>
  </si>
  <si>
    <t>MT</t>
  </si>
  <si>
    <t>BABA</t>
  </si>
  <si>
    <t>BRK.B</t>
  </si>
  <si>
    <t>UAL</t>
  </si>
  <si>
    <t>ING</t>
  </si>
  <si>
    <t>BNPQF</t>
  </si>
  <si>
    <t>NFLX</t>
  </si>
  <si>
    <t>NOK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</si>
  <si>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</si>
  <si>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</si>
  <si>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</si>
  <si>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</si>
  <si>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</si>
  <si>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</si>
  <si>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</si>
  <si>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</si>
  <si>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</si>
  <si>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</si>
  <si>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</si>
  <si>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</si>
  <si>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</si>
  <si>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</si>
  <si>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</si>
  <si>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</si>
  <si>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</si>
  <si>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</si>
  <si>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</si>
  <si>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</si>
  <si>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</si>
  <si>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</si>
  <si>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</si>
  <si>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</si>
  <si>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</si>
  <si>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</si>
  <si>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</si>
  <si>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</si>
  <si>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</si>
  <si>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</si>
  <si>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</si>
  <si>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</si>
  <si>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Jonathan Weber</t>
  </si>
  <si>
    <t>Prakash Kolli</t>
  </si>
  <si>
    <t>Eli Inkrot</t>
  </si>
  <si>
    <t>Aristofanis Papadatos</t>
  </si>
  <si>
    <t>Josh Arnold</t>
  </si>
  <si>
    <t>Nikos Sismanis</t>
  </si>
  <si>
    <t>Nathan Parsh</t>
  </si>
  <si>
    <t>Samuel Smith</t>
  </si>
  <si>
    <t>Quinn Mohammed</t>
  </si>
  <si>
    <t>Felix Martinez</t>
  </si>
  <si>
    <t>Kay Ng</t>
  </si>
  <si>
    <t>Nikolaos Sismanis</t>
  </si>
  <si>
    <t>United States</t>
  </si>
  <si>
    <t>Canada</t>
  </si>
  <si>
    <t>China</t>
  </si>
  <si>
    <t>Ireland</t>
  </si>
  <si>
    <t>Switzerland</t>
  </si>
  <si>
    <t>United Kingdom</t>
  </si>
  <si>
    <t>Bermuda</t>
  </si>
  <si>
    <t>Germany</t>
  </si>
  <si>
    <t>Mexico</t>
  </si>
  <si>
    <t>Spain</t>
  </si>
  <si>
    <t>Denmark</t>
  </si>
  <si>
    <t>India</t>
  </si>
  <si>
    <t>Cayman Islands</t>
  </si>
  <si>
    <t>Finland</t>
  </si>
  <si>
    <t>France</t>
  </si>
  <si>
    <t>Brazil</t>
  </si>
  <si>
    <t>The Netherlands</t>
  </si>
  <si>
    <t>Belgium</t>
  </si>
  <si>
    <t>South Korea</t>
  </si>
  <si>
    <t>Sweden</t>
  </si>
  <si>
    <t>Taiwan</t>
  </si>
  <si>
    <t>Japan</t>
  </si>
  <si>
    <t>Italy</t>
  </si>
  <si>
    <t>Hong Kong</t>
  </si>
  <si>
    <t>Luxembourg</t>
  </si>
  <si>
    <t>Russia</t>
  </si>
  <si>
    <t>Australia</t>
  </si>
  <si>
    <t>Singapore</t>
  </si>
  <si>
    <t>Turkey</t>
  </si>
  <si>
    <t>US OTC</t>
  </si>
  <si>
    <t>NASDAQ</t>
  </si>
  <si>
    <t>New York Stock Exchange</t>
  </si>
  <si>
    <t>NYSE American</t>
  </si>
  <si>
    <t>NYQ</t>
  </si>
  <si>
    <t>Brandon Craig Lorey</t>
  </si>
  <si>
    <t>Thomas W. Florsheim</t>
  </si>
  <si>
    <t>Richard Paul McKenney</t>
  </si>
  <si>
    <t>John P. Clancy</t>
  </si>
  <si>
    <t>Scott M. Cattanach</t>
  </si>
  <si>
    <t>Siegfried Willi Kiefer</t>
  </si>
  <si>
    <t>C. Michael Petters</t>
  </si>
  <si>
    <t>Richard A. Gonzalez</t>
  </si>
  <si>
    <t>James Michael Cracchiolo</t>
  </si>
  <si>
    <t>Giovanni Caforio</t>
  </si>
  <si>
    <t>William M. Brown</t>
  </si>
  <si>
    <t>Stefano Pessina</t>
  </si>
  <si>
    <t>Kent A. Steinwert</t>
  </si>
  <si>
    <t>Yong Lin Xie / Bo Yao / Sin Ying Tan</t>
  </si>
  <si>
    <t>David P. Bauer</t>
  </si>
  <si>
    <t>Kathy J. Warden</t>
  </si>
  <si>
    <t>Safra Ada Catz</t>
  </si>
  <si>
    <t>Jennifer M. Johnson</t>
  </si>
  <si>
    <t>Brian Scott Tyler</t>
  </si>
  <si>
    <t>Thomas Ewart Faust</t>
  </si>
  <si>
    <t>D. Christian Koch</t>
  </si>
  <si>
    <t>Murray S. Kessler</t>
  </si>
  <si>
    <t>Linden R. Evans</t>
  </si>
  <si>
    <t>John L. Walsh</t>
  </si>
  <si>
    <t>Hua Teng Ma</t>
  </si>
  <si>
    <t>Daniel Paul Amos</t>
  </si>
  <si>
    <t>Marvin R. Ellison</t>
  </si>
  <si>
    <t>Phebe N. Novakovic</t>
  </si>
  <si>
    <t>David Scott Wichmann</t>
  </si>
  <si>
    <t>Jeffrey M. Szyperski</t>
  </si>
  <si>
    <t>Alan B. Colberg</t>
  </si>
  <si>
    <t>Kevin A. Lobo</t>
  </si>
  <si>
    <t>Gary E. Dickerson</t>
  </si>
  <si>
    <t>H. Chris Killingstad</t>
  </si>
  <si>
    <t>Scott Wellington Wine</t>
  </si>
  <si>
    <t>Alfred P. West</t>
  </si>
  <si>
    <t>Evan G. Greenberg</t>
  </si>
  <si>
    <t>Juan Ricardo Luciano</t>
  </si>
  <si>
    <t>Michael C. Kaufmann</t>
  </si>
  <si>
    <t>John L. Stauch</t>
  </si>
  <si>
    <t>Robert Howard Coker</t>
  </si>
  <si>
    <t>James J. Owens</t>
  </si>
  <si>
    <t>Douglas L. Peterson</t>
  </si>
  <si>
    <t>J. Kevin Akers</t>
  </si>
  <si>
    <t>Richard E. Allison</t>
  </si>
  <si>
    <t>Scott Salmirs</t>
  </si>
  <si>
    <t>David R. Harlow</t>
  </si>
  <si>
    <t>Alex Gorsky</t>
  </si>
  <si>
    <t>Steven H. Collis</t>
  </si>
  <si>
    <t>Juan C. Andrade</t>
  </si>
  <si>
    <t>Geoffrey Straub Martha</t>
  </si>
  <si>
    <t>Scott C. Donnelly</t>
  </si>
  <si>
    <t>Paul D. Donahue</t>
  </si>
  <si>
    <t>W. Rodney McMullen</t>
  </si>
  <si>
    <t>Michael F. Roman</t>
  </si>
  <si>
    <t>Todd J. Vasos</t>
  </si>
  <si>
    <t>Raymond W. McDaniel</t>
  </si>
  <si>
    <t>Thomas E. Polen</t>
  </si>
  <si>
    <t>Michael D. Hsu</t>
  </si>
  <si>
    <t>Tod E. Carpenter</t>
  </si>
  <si>
    <t>Noel R. Wallace</t>
  </si>
  <si>
    <t>Thomas J. Murphy</t>
  </si>
  <si>
    <t>Keith Edward Creel</t>
  </si>
  <si>
    <t>Ellen R. Gordon</t>
  </si>
  <si>
    <t>David Hugo Anderson</t>
  </si>
  <si>
    <t>Thomas L. Williams</t>
  </si>
  <si>
    <t>Richard Joseph Tobin</t>
  </si>
  <si>
    <t>J. Michael Nauman</t>
  </si>
  <si>
    <t>William Joseph Stromberg</t>
  </si>
  <si>
    <t>J. Powell Brown</t>
  </si>
  <si>
    <t>Brian C. Cornell</t>
  </si>
  <si>
    <t>Thomas R. Greco</t>
  </si>
  <si>
    <t>Harry A. Lawton</t>
  </si>
  <si>
    <t>David N. Farr</t>
  </si>
  <si>
    <t>Nishan J. Vartanian</t>
  </si>
  <si>
    <t>James M. Foote</t>
  </si>
  <si>
    <t>Walter Craig Jelinek</t>
  </si>
  <si>
    <t>Laurence Neil Hunn</t>
  </si>
  <si>
    <t>Norman L. Lowery</t>
  </si>
  <si>
    <t>Jeffrey S. Gorman</t>
  </si>
  <si>
    <t>Linda Rendle / Benno O. Dorer</t>
  </si>
  <si>
    <t>Satya Nadella</t>
  </si>
  <si>
    <t>Matthew Thomas Farrell</t>
  </si>
  <si>
    <t>Donald G. Macpherson</t>
  </si>
  <si>
    <t>John George Morikis</t>
  </si>
  <si>
    <t>Robert B. Ford</t>
  </si>
  <si>
    <t>Eric W. Thornburg</t>
  </si>
  <si>
    <t>Steven J. Johnston</t>
  </si>
  <si>
    <t>David S. Taylor</t>
  </si>
  <si>
    <t>James M. Loree</t>
  </si>
  <si>
    <t>C. Douglas McMillon</t>
  </si>
  <si>
    <t>Michael H. McGarry</t>
  </si>
  <si>
    <t>Jean-Jacques Ruest</t>
  </si>
  <si>
    <t>James Bruce Flatt</t>
  </si>
  <si>
    <t>Jamie Iannone</t>
  </si>
  <si>
    <t>Gregg C. Sengstack</t>
  </si>
  <si>
    <t>Douglas M. Baker</t>
  </si>
  <si>
    <t>David Alan Ciesinski</t>
  </si>
  <si>
    <t>Stephen S. Romaine</t>
  </si>
  <si>
    <t>Stephan B. Tanda</t>
  </si>
  <si>
    <t>Jeffrey M. Keebler</t>
  </si>
  <si>
    <t>Robert J. Sprowls</t>
  </si>
  <si>
    <t>James P. Snee</t>
  </si>
  <si>
    <t>Steven A. Powless</t>
  </si>
  <si>
    <t>F. Quinn Stepan</t>
  </si>
  <si>
    <t>Lawrence Erik Kurzius</t>
  </si>
  <si>
    <t>David L. Gitlin</t>
  </si>
  <si>
    <t>Jeffrey S. Musser</t>
  </si>
  <si>
    <t>Judith F. Marks</t>
  </si>
  <si>
    <t>Lawson E. Whiting</t>
  </si>
  <si>
    <t>Timothy Donald Cook</t>
  </si>
  <si>
    <t>Dennis W. Doll</t>
  </si>
  <si>
    <t>Frank C. Sullivan</t>
  </si>
  <si>
    <t>David B. Foss</t>
  </si>
  <si>
    <t>Scott Douglas Farmer</t>
  </si>
  <si>
    <t>Sundaram Nagarajan</t>
  </si>
  <si>
    <t>Jerry Kent Masters</t>
  </si>
  <si>
    <t>Martin A. Kropelnicki</t>
  </si>
  <si>
    <t>Kenneth C. Bockhorst</t>
  </si>
  <si>
    <t>Jonathan E. Michael</t>
  </si>
  <si>
    <t>Eric Mark Green</t>
  </si>
  <si>
    <t>Joseph Kim</t>
  </si>
  <si>
    <t>W. Randall Fowler / A. James Teague</t>
  </si>
  <si>
    <t>David E. Zalman</t>
  </si>
  <si>
    <t>Brian A. Napack</t>
  </si>
  <si>
    <t>John T. Stankey</t>
  </si>
  <si>
    <t>Robert Holmes Swan</t>
  </si>
  <si>
    <t>René F. Jones</t>
  </si>
  <si>
    <t>John P. Barnes</t>
  </si>
  <si>
    <t>Werner Baumann</t>
  </si>
  <si>
    <t>Donald C. Wood</t>
  </si>
  <si>
    <t>James D. Taiclet</t>
  </si>
  <si>
    <t>Larry J. Merlo</t>
  </si>
  <si>
    <t>Dean A. Connor</t>
  </si>
  <si>
    <t>William F. Gifford</t>
  </si>
  <si>
    <t>Pedro J. Pizarro</t>
  </si>
  <si>
    <t>Jeffrey J. Jones</t>
  </si>
  <si>
    <t>Daniel Hajj Aboumrad</t>
  </si>
  <si>
    <t>Daniel P. O'Day</t>
  </si>
  <si>
    <t>Frederick Wallace Smith</t>
  </si>
  <si>
    <t>Michel A. Khalaf</t>
  </si>
  <si>
    <t>Brian L. Roberts</t>
  </si>
  <si>
    <t>Paul Anthony Mahon</t>
  </si>
  <si>
    <t>Stephen J. Squeri</t>
  </si>
  <si>
    <t>Jeffrey Walker Martin</t>
  </si>
  <si>
    <t>Mark J. Costa</t>
  </si>
  <si>
    <t>Gregory J. Hayes</t>
  </si>
  <si>
    <t>Charles H. Robbins</t>
  </si>
  <si>
    <t>Vasant Narasimhan</t>
  </si>
  <si>
    <t>Erik David Gershwind</t>
  </si>
  <si>
    <t>George G. Gleason</t>
  </si>
  <si>
    <t>Hans Erik Vestberg</t>
  </si>
  <si>
    <t>Kenneth C. Frazier</t>
  </si>
  <si>
    <t>Jeffrey Craig Sprecher</t>
  </si>
  <si>
    <t>Phillip D. Green</t>
  </si>
  <si>
    <t>LeRoy T. Carlson</t>
  </si>
  <si>
    <t>Louis Vachon</t>
  </si>
  <si>
    <t>Roberto Garcia Merino</t>
  </si>
  <si>
    <t>Robert A. Bradway</t>
  </si>
  <si>
    <t>Gerardo Norcia</t>
  </si>
  <si>
    <t>Arvind Krishna</t>
  </si>
  <si>
    <t>Noel W. White</t>
  </si>
  <si>
    <t>Robert James Gamgort</t>
  </si>
  <si>
    <t>David Ian McKay</t>
  </si>
  <si>
    <t>Bruce W. Duncan</t>
  </si>
  <si>
    <t>Dirk van de Put</t>
  </si>
  <si>
    <t>Peter G. Watson</t>
  </si>
  <si>
    <t>David L. Goodin</t>
  </si>
  <si>
    <t>Jean R. Hale</t>
  </si>
  <si>
    <t>Mark A. Clouse</t>
  </si>
  <si>
    <t>Mark T. Smucker</t>
  </si>
  <si>
    <t>Richard M. Olson</t>
  </si>
  <si>
    <t>James Quincey</t>
  </si>
  <si>
    <t>Barry V. Perry</t>
  </si>
  <si>
    <t>Carlos A. Rodriguez</t>
  </si>
  <si>
    <t>John O. Larsen</t>
  </si>
  <si>
    <t>Brian J. Humphries</t>
  </si>
  <si>
    <t>Lachlan Keith Murdoch</t>
  </si>
  <si>
    <t>Donald W. Slager</t>
  </si>
  <si>
    <t>John J. McAvoy</t>
  </si>
  <si>
    <t>Kevin Hourican</t>
  </si>
  <si>
    <t>Vincent Sorgi</t>
  </si>
  <si>
    <t>Laurence Douglas Fink</t>
  </si>
  <si>
    <t>Alan D. Schnitzer</t>
  </si>
  <si>
    <t>Dian C. Taylor</t>
  </si>
  <si>
    <t>James L. Robo</t>
  </si>
  <si>
    <t>Nicholas K. Akins</t>
  </si>
  <si>
    <t>Ralph Izzo</t>
  </si>
  <si>
    <t>Patrick K. Decker</t>
  </si>
  <si>
    <t>Christian Klein</t>
  </si>
  <si>
    <t>Kevin J. Wheeler</t>
  </si>
  <si>
    <t>Darius Adamczyk</t>
  </si>
  <si>
    <t>Richard M. Adams</t>
  </si>
  <si>
    <t>Steven A. Cahillane</t>
  </si>
  <si>
    <t>Marc Robert Bitzer</t>
  </si>
  <si>
    <t>Michele G. Buck</t>
  </si>
  <si>
    <t>Patrick J. Gallagher</t>
  </si>
  <si>
    <t>James A. Squires</t>
  </si>
  <si>
    <t>George C. Freeman</t>
  </si>
  <si>
    <t>Nicholas T. Pinchuk</t>
  </si>
  <si>
    <t>Horacio D. Rozanski</t>
  </si>
  <si>
    <t>Craig A. Menear</t>
  </si>
  <si>
    <t>Andreas Fibig</t>
  </si>
  <si>
    <t>Leo P. Denault</t>
  </si>
  <si>
    <t>Lars Fruergaard Jørgensen</t>
  </si>
  <si>
    <t>Sasan K. Goodarzi</t>
  </si>
  <si>
    <t>Carol B. Tomé</t>
  </si>
  <si>
    <t>Ramon Luis Laguarta</t>
  </si>
  <si>
    <t>Joseph F. Hanna</t>
  </si>
  <si>
    <t>Alan B. Miller</t>
  </si>
  <si>
    <t>Thomas A. Bartlett</t>
  </si>
  <si>
    <t>Salil S. Parekh</t>
  </si>
  <si>
    <t>Christopher Kempczinski</t>
  </si>
  <si>
    <t>Joseph Kevin Fletcher</t>
  </si>
  <si>
    <t>Michael J. Farrell</t>
  </si>
  <si>
    <t>John W. Kemper</t>
  </si>
  <si>
    <t>Hikmet Ersek</t>
  </si>
  <si>
    <t>Liam K. Griffin</t>
  </si>
  <si>
    <t>David A. Ricks</t>
  </si>
  <si>
    <t>Lance M. Fritz</t>
  </si>
  <si>
    <t>Blake D. Moret</t>
  </si>
  <si>
    <t>James C. Fish</t>
  </si>
  <si>
    <t>Leon J. Topalian</t>
  </si>
  <si>
    <t>Christopher H. Franklin</t>
  </si>
  <si>
    <t>Stephen F. Angel</t>
  </si>
  <si>
    <t>Corie Sue Barry</t>
  </si>
  <si>
    <t>David L. Payne</t>
  </si>
  <si>
    <t>Ernest Scott Santi</t>
  </si>
  <si>
    <t>Daniel Lars Florness</t>
  </si>
  <si>
    <t>John J. Donahoe</t>
  </si>
  <si>
    <t>Steven M. Mollenkopf</t>
  </si>
  <si>
    <t>Mark E. Tryniski</t>
  </si>
  <si>
    <t>Benjamin G. S. Fowke</t>
  </si>
  <si>
    <t>Kunal Kapoor</t>
  </si>
  <si>
    <t>Seifollah Ghasemi</t>
  </si>
  <si>
    <t>Robert C. Biesterfeld</t>
  </si>
  <si>
    <t>Edward A. Pesicka</t>
  </si>
  <si>
    <t>Laura Jean Alber</t>
  </si>
  <si>
    <t>Timothy G. NeCastro</t>
  </si>
  <si>
    <t>Daniel Racine</t>
  </si>
  <si>
    <t>Kelcy L. Warren</t>
  </si>
  <si>
    <t>Terry K. Spencer</t>
  </si>
  <si>
    <t>Michael N. Mears</t>
  </si>
  <si>
    <t>Frederick W. McTaggart</t>
  </si>
  <si>
    <t>George Kurian</t>
  </si>
  <si>
    <t>Torbjörn Magnusson</t>
  </si>
  <si>
    <t>Michael J. Hennigan</t>
  </si>
  <si>
    <t>John F. Remondi</t>
  </si>
  <si>
    <t>Daniel Joseph Houston</t>
  </si>
  <si>
    <t>Jack Marie Henry David Bowles</t>
  </si>
  <si>
    <t>Steven J. Kean</t>
  </si>
  <si>
    <t>Brian Johnston Porter</t>
  </si>
  <si>
    <t>Albert Monaco</t>
  </si>
  <si>
    <t>Margaret M. Keane</t>
  </si>
  <si>
    <t>Albert Bourla</t>
  </si>
  <si>
    <t>John C. Butler</t>
  </si>
  <si>
    <t>Jeffrey Jonathan Brown</t>
  </si>
  <si>
    <t>John D. Wren</t>
  </si>
  <si>
    <t>Kelly S. King</t>
  </si>
  <si>
    <t>Thomas Joseph Wilson</t>
  </si>
  <si>
    <t>Douglas J. Pferdehirt</t>
  </si>
  <si>
    <t>David M. Blackman</t>
  </si>
  <si>
    <t>Charlie F. Lowrey</t>
  </si>
  <si>
    <t>Darryl White</t>
  </si>
  <si>
    <t>Edward D. Breen</t>
  </si>
  <si>
    <t>Samuel J. B. Pollock</t>
  </si>
  <si>
    <t>Brian T. Moynihan</t>
  </si>
  <si>
    <t>Craig R. Smiddy</t>
  </si>
  <si>
    <t>Raymond M. Thompson</t>
  </si>
  <si>
    <t>Gregory C. Case</t>
  </si>
  <si>
    <t>Thomas P. Gibbons</t>
  </si>
  <si>
    <t>David W. Gibbs</t>
  </si>
  <si>
    <t>Victor Dodig</t>
  </si>
  <si>
    <t>Bharat B. Masrani</t>
  </si>
  <si>
    <t>Paul Hudson</t>
  </si>
  <si>
    <t>Charles S. MacFarlane</t>
  </si>
  <si>
    <t>Gabriel Tirador</t>
  </si>
  <si>
    <t>Enrique Lores</t>
  </si>
  <si>
    <t>Ian C. Dundas</t>
  </si>
  <si>
    <t>Richard P. Wallace</t>
  </si>
  <si>
    <t>Eduardo Bartolomeo</t>
  </si>
  <si>
    <t>André Calantzopoulos</t>
  </si>
  <si>
    <t>Joseph D. Russell</t>
  </si>
  <si>
    <t>Timothy J. Naughton</t>
  </si>
  <si>
    <t>Sumit Roy</t>
  </si>
  <si>
    <t>Julian E. Whitehurst</t>
  </si>
  <si>
    <t>Hock E. Tan</t>
  </si>
  <si>
    <t>Mary Teresa Barra</t>
  </si>
  <si>
    <t>Peter T. F. M. Wennink</t>
  </si>
  <si>
    <t>David L. Hoffmann</t>
  </si>
  <si>
    <t>Michael J. Schall</t>
  </si>
  <si>
    <t>Thomas A. Fanning</t>
  </si>
  <si>
    <t>David Michael Solomon</t>
  </si>
  <si>
    <t>Joseph M. Natale</t>
  </si>
  <si>
    <t>Donald James Umpleby</t>
  </si>
  <si>
    <t>Lynn J. Good</t>
  </si>
  <si>
    <t>Darren Entwistle</t>
  </si>
  <si>
    <t>Karl G. Glassman</t>
  </si>
  <si>
    <t>Christopher M. Crane</t>
  </si>
  <si>
    <t>Carlos Alves de Brito</t>
  </si>
  <si>
    <t>David W. Kenny</t>
  </si>
  <si>
    <t>Erik Niklas Engstrom</t>
  </si>
  <si>
    <t>Sachin G. Shah</t>
  </si>
  <si>
    <t>Darin S. Harris</t>
  </si>
  <si>
    <t>Robert Marc Bakish</t>
  </si>
  <si>
    <t>H. Lawrence Culp</t>
  </si>
  <si>
    <t>Ivan M. Menezes</t>
  </si>
  <si>
    <t>Jason E. Fox</t>
  </si>
  <si>
    <t>Luc Desjardins</t>
  </si>
  <si>
    <t>Paul E. Szurek</t>
  </si>
  <si>
    <t>Wilson R. Jones</t>
  </si>
  <si>
    <t>Christopher J. Murphy</t>
  </si>
  <si>
    <t>David V. Goeckeler</t>
  </si>
  <si>
    <t>Jeffrey L. Harmening</t>
  </si>
  <si>
    <t>Mariner Kemper</t>
  </si>
  <si>
    <t>Timothy M. Archer</t>
  </si>
  <si>
    <t>William A. Newlands</t>
  </si>
  <si>
    <t>José Antonio Álvarez Álvarez</t>
  </si>
  <si>
    <t>Martin Mucci</t>
  </si>
  <si>
    <t>Richard K. Templeton</t>
  </si>
  <si>
    <t>Kenneth Marc Jacobs</t>
  </si>
  <si>
    <t>Mark Steven Walchirk</t>
  </si>
  <si>
    <t>Jay A. Brown</t>
  </si>
  <si>
    <t>John T. Thomas</t>
  </si>
  <si>
    <t>Arne M. Sorenson</t>
  </si>
  <si>
    <t>William Cattell Trimble</t>
  </si>
  <si>
    <t>Alan Jope</t>
  </si>
  <si>
    <t>Matthew J. Murphy</t>
  </si>
  <si>
    <t>Sean M. Connolly</t>
  </si>
  <si>
    <t>Antonio Fabio Neri</t>
  </si>
  <si>
    <t>Josef Kaeser</t>
  </si>
  <si>
    <t>Terrence A. Duffy</t>
  </si>
  <si>
    <t>Amos Ryals McMullian</t>
  </si>
  <si>
    <t>Norman Thomas Linebarger</t>
  </si>
  <si>
    <t>Alfred F. Kelly</t>
  </si>
  <si>
    <t>Thomas R. Palmer</t>
  </si>
  <si>
    <t>Patrick J. Ottensmeyer</t>
  </si>
  <si>
    <t>Ulf Mark Schneider</t>
  </si>
  <si>
    <t>Jung-Ho Park</t>
  </si>
  <si>
    <t>In-Hwa Chang / Jeong-Woo Choi</t>
  </si>
  <si>
    <t>Erik Börje Ekholm</t>
  </si>
  <si>
    <t>Arthur William Stein</t>
  </si>
  <si>
    <t>Che Chia Wei</t>
  </si>
  <si>
    <t>Ajaypal S. Banga / Michael E. Miebach</t>
  </si>
  <si>
    <t>Steve Bratspies</t>
  </si>
  <si>
    <t>Joseph Andrew Sullivan</t>
  </si>
  <si>
    <t>Kevin P. Clark</t>
  </si>
  <si>
    <t>Preston R. Feight</t>
  </si>
  <si>
    <t>Jeffrey D. Lorenger</t>
  </si>
  <si>
    <t>Michael W. Lamach</t>
  </si>
  <si>
    <t>Alessandro Bogliolo</t>
  </si>
  <si>
    <t>Julie Spellman Sweet</t>
  </si>
  <si>
    <t>John C. May</t>
  </si>
  <si>
    <t>Sonia Syngal</t>
  </si>
  <si>
    <t>Bracken P. Darrell</t>
  </si>
  <si>
    <t>Kenichiro Yoshida</t>
  </si>
  <si>
    <t>Jen-Hsun Huang</t>
  </si>
  <si>
    <t>Stephen John Hasker</t>
  </si>
  <si>
    <t>Louis C. Camilleri</t>
  </si>
  <si>
    <t>Randy Vernon Joseph Smallwood</t>
  </si>
  <si>
    <t>Stephen Edward Murdoch</t>
  </si>
  <si>
    <t>Brian William Kingston</t>
  </si>
  <si>
    <t>Paul E. Smithers</t>
  </si>
  <si>
    <t>Michael A. Stivala</t>
  </si>
  <si>
    <t>Eric Dee Long</t>
  </si>
  <si>
    <t>José María Álvarez-Pallete López</t>
  </si>
  <si>
    <t>Stefan Bomhard</t>
  </si>
  <si>
    <t>Roger C. Hochschild</t>
  </si>
  <si>
    <t>George Christopher Zoley</t>
  </si>
  <si>
    <t>Michael Louis Corbat</t>
  </si>
  <si>
    <t>Martin L. Flanagan</t>
  </si>
  <si>
    <t>Christopher M. Gorman</t>
  </si>
  <si>
    <t>James M. Taylor</t>
  </si>
  <si>
    <t>Charles E. Jones</t>
  </si>
  <si>
    <t>David E. Simon</t>
  </si>
  <si>
    <t>Jeffrey K. Storey</t>
  </si>
  <si>
    <t>Michael Nierenberg</t>
  </si>
  <si>
    <t>Christian P. Bayle</t>
  </si>
  <si>
    <t>Brian D. Goldner</t>
  </si>
  <si>
    <t>James C. Stewart</t>
  </si>
  <si>
    <t>Gavin D. K. Hattersley</t>
  </si>
  <si>
    <t>Thomas H. Harty</t>
  </si>
  <si>
    <t>Owen D. Thomas</t>
  </si>
  <si>
    <t>William Leo Meaney</t>
  </si>
  <si>
    <t>Charles Taylor Pickett</t>
  </si>
  <si>
    <t>Wendy L. Simpson</t>
  </si>
  <si>
    <t>Barry Stuart Sternlicht</t>
  </si>
  <si>
    <t>John Francis Barry</t>
  </si>
  <si>
    <t>Paolo Rocca</t>
  </si>
  <si>
    <t>William David Mosley</t>
  </si>
  <si>
    <t>Alan S. Armstrong</t>
  </si>
  <si>
    <t>David J. Gladstone</t>
  </si>
  <si>
    <t>Andrew J. Cecere</t>
  </si>
  <si>
    <t>Christopher H. Volk</t>
  </si>
  <si>
    <t>Jeremy John Male</t>
  </si>
  <si>
    <t>Sergio P. Ermotti</t>
  </si>
  <si>
    <t>David L. Finkelstein</t>
  </si>
  <si>
    <t>Emma N. Walmsley</t>
  </si>
  <si>
    <t>James Dimon</t>
  </si>
  <si>
    <t>Matthew J. Meloy</t>
  </si>
  <si>
    <t>Joseph R. Ficalora</t>
  </si>
  <si>
    <t>Scott D. Peters</t>
  </si>
  <si>
    <t>John G. Murray</t>
  </si>
  <si>
    <t>Nathan A. Brown</t>
  </si>
  <si>
    <t>Dino E. Robusto</t>
  </si>
  <si>
    <t>Matthew P. Wagner</t>
  </si>
  <si>
    <t>Stephen P. Joyce</t>
  </si>
  <si>
    <t>Arun Banskota</t>
  </si>
  <si>
    <t>Thomas F. Farrell</t>
  </si>
  <si>
    <t>Edward K. Aldag</t>
  </si>
  <si>
    <t>Scott H. Baxter</t>
  </si>
  <si>
    <t>Scott Bluestein</t>
  </si>
  <si>
    <t>Steven B. Tanger</t>
  </si>
  <si>
    <t>Oliver Zipse</t>
  </si>
  <si>
    <t>Donald J. Walker</t>
  </si>
  <si>
    <t>Eric Richard Colson</t>
  </si>
  <si>
    <t>Russell K. Girling</t>
  </si>
  <si>
    <t>Leonard Todd Kahn / Joanne C. Crevoiserat</t>
  </si>
  <si>
    <t>Alexei Borisovich Miller</t>
  </si>
  <si>
    <t>John Visentin</t>
  </si>
  <si>
    <t>Steven C. Voorhees</t>
  </si>
  <si>
    <t>George R. Oliver</t>
  </si>
  <si>
    <t>Glenn J. Rufrano</t>
  </si>
  <si>
    <t>Mirko Bibic</t>
  </si>
  <si>
    <t>José Eduardo Cil</t>
  </si>
  <si>
    <t>Christopher Timothy Frost</t>
  </si>
  <si>
    <t>Mark J. Parrell</t>
  </si>
  <si>
    <t>Sean Eugene Reilly</t>
  </si>
  <si>
    <t>Debra A. Cafaro</t>
  </si>
  <si>
    <t>Eilard Friese</t>
  </si>
  <si>
    <t>Bhavesh Vaghjibhai Patel</t>
  </si>
  <si>
    <t>Carlos Crespo González</t>
  </si>
  <si>
    <t>James Larry Nelson</t>
  </si>
  <si>
    <t>Kenneth G. Romanzi</t>
  </si>
  <si>
    <t>Seth Perry Bernstein</t>
  </si>
  <si>
    <t>Ola Kaellenius</t>
  </si>
  <si>
    <t>Michael J. Cooper / P. Jane Gavan</t>
  </si>
  <si>
    <t>R. Kipp deVeer</t>
  </si>
  <si>
    <t>Steven E. Rendle</t>
  </si>
  <si>
    <t>Charles V. Magro</t>
  </si>
  <si>
    <t>Benjamin S. Butcher</t>
  </si>
  <si>
    <t>Frans van Houten</t>
  </si>
  <si>
    <t>Miguel Patricio</t>
  </si>
  <si>
    <t>Brian Pauls</t>
  </si>
  <si>
    <t>Gregory K. Silvers</t>
  </si>
  <si>
    <t>W. Anthony Will</t>
  </si>
  <si>
    <t>Thomas M. Herzog</t>
  </si>
  <si>
    <t>Jochen Zeitz</t>
  </si>
  <si>
    <t>David J. Lesar</t>
  </si>
  <si>
    <t>Leon David Black</t>
  </si>
  <si>
    <t>Adam David Portnoy</t>
  </si>
  <si>
    <t>Mike Henry</t>
  </si>
  <si>
    <t>Ravichandra K. Saligram</t>
  </si>
  <si>
    <t>Ivan Kaufman</t>
  </si>
  <si>
    <t>Mark S. Sutton</t>
  </si>
  <si>
    <t>Clifton Albert Pemble</t>
  </si>
  <si>
    <t>Stephen Allen Schwarzman</t>
  </si>
  <si>
    <t>Mikael Bratt</t>
  </si>
  <si>
    <t>Eugene I. Lee</t>
  </si>
  <si>
    <t>Ronald Stephen Delia</t>
  </si>
  <si>
    <t>Wendell P. Weeks</t>
  </si>
  <si>
    <t>Mark P. Vergnano</t>
  </si>
  <si>
    <t>Jean-Sébastien Jacques</t>
  </si>
  <si>
    <t>Rael L. Diamond</t>
  </si>
  <si>
    <t>Todd A. Penegor</t>
  </si>
  <si>
    <t>Philip James Sanders</t>
  </si>
  <si>
    <t>Carlos Manuel Hernandez</t>
  </si>
  <si>
    <t>Robert Chapek</t>
  </si>
  <si>
    <t>Richard C. Adkerson</t>
  </si>
  <si>
    <t>Devin W. Stockfish</t>
  </si>
  <si>
    <t>Pascal Soriot</t>
  </si>
  <si>
    <t>Craig Arnold</t>
  </si>
  <si>
    <t>Takahiro Hachigo</t>
  </si>
  <si>
    <t>Dennis Mark Bristow</t>
  </si>
  <si>
    <t>Fusen Ernie Chen</t>
  </si>
  <si>
    <t>Joseph D. Randell</t>
  </si>
  <si>
    <t>Yong Sheng Ma</t>
  </si>
  <si>
    <t>Grant E. Sims</t>
  </si>
  <si>
    <t>Bernardus Cornelis Adriana Margriet van Beurden</t>
  </si>
  <si>
    <t>Bernard Looney</t>
  </si>
  <si>
    <t>Michael C. Jennings</t>
  </si>
  <si>
    <t>Willing L. Biddle</t>
  </si>
  <si>
    <t>John E. Fischer</t>
  </si>
  <si>
    <t>Steven R. Mumma</t>
  </si>
  <si>
    <t>Patrick Pouyanné</t>
  </si>
  <si>
    <t>Ole Bjarte Bjarte Hjertaker</t>
  </si>
  <si>
    <t>Mark S. Little</t>
  </si>
  <si>
    <t>Greg C. Garland</t>
  </si>
  <si>
    <t>Gary C. Kelly</t>
  </si>
  <si>
    <t>Curtis Chatman Farmer</t>
  </si>
  <si>
    <t>Matthew John Lambiase</t>
  </si>
  <si>
    <t>Ke Qiang Xu</t>
  </si>
  <si>
    <t>Justin G. Knight</t>
  </si>
  <si>
    <t>Joseph W. Gorder</t>
  </si>
  <si>
    <t>Stephen D. Steinour</t>
  </si>
  <si>
    <t>Darren W. Woods</t>
  </si>
  <si>
    <t>Michael K. Wirth</t>
  </si>
  <si>
    <t>Jereissati Jean Neto</t>
  </si>
  <si>
    <t>Rob Thomsen Ladd</t>
  </si>
  <si>
    <t>Arthur P. Brazy</t>
  </si>
  <si>
    <t>Albert A. Benchimol</t>
  </si>
  <si>
    <t>Charles William Scharf</t>
  </si>
  <si>
    <t>James C. Mastandrea</t>
  </si>
  <si>
    <t>Thomas E. O'Hern</t>
  </si>
  <si>
    <t>Bradley W. Corson</t>
  </si>
  <si>
    <t>Ryan M. Lance</t>
  </si>
  <si>
    <t>Richard D. Fain</t>
  </si>
  <si>
    <t>Michael Spanos</t>
  </si>
  <si>
    <t>Noel Paul Quinn</t>
  </si>
  <si>
    <t>Stephen J. Jones</t>
  </si>
  <si>
    <t>Roberto da Cunha Castello Branco</t>
  </si>
  <si>
    <t>Brian Richard Harris</t>
  </si>
  <si>
    <t>Christian Mumenthaler</t>
  </si>
  <si>
    <t>Timotheus Höttges</t>
  </si>
  <si>
    <t>Richard K. Matros</t>
  </si>
  <si>
    <t>Lorenzo Simonelli</t>
  </si>
  <si>
    <t>Stephen D. Plavin</t>
  </si>
  <si>
    <t>William Keith Maxwell</t>
  </si>
  <si>
    <t>Richard A. Zimmerman</t>
  </si>
  <si>
    <t>Gary D. Kain</t>
  </si>
  <si>
    <t>Daniel P. Hansen</t>
  </si>
  <si>
    <t>Vicki A. Hollub</t>
  </si>
  <si>
    <t>Robert E. Sanchez</t>
  </si>
  <si>
    <t>Bradley D. Tilden</t>
  </si>
  <si>
    <t>David M. Overton</t>
  </si>
  <si>
    <t>Stuart A. Rothstein</t>
  </si>
  <si>
    <t>David L. Calhoun</t>
  </si>
  <si>
    <t>Paul M. Rady</t>
  </si>
  <si>
    <t>Dwayne Louis Hyzak</t>
  </si>
  <si>
    <t>James F. Risoleo</t>
  </si>
  <si>
    <t>Sheldon Gary Adelson</t>
  </si>
  <si>
    <t>Kevin R. Johnson</t>
  </si>
  <si>
    <t>Olivier Le Peuch</t>
  </si>
  <si>
    <t>Elias J. Sabo</t>
  </si>
  <si>
    <t>Stephen Walter King</t>
  </si>
  <si>
    <t>Bradley S. Shaw</t>
  </si>
  <si>
    <t>Scott J. Ulm / Jeffrey J. Zimmer</t>
  </si>
  <si>
    <t>Claudio Descalzi</t>
  </si>
  <si>
    <t>Howard Mark Lorber</t>
  </si>
  <si>
    <t>Daniel L. Knotts</t>
  </si>
  <si>
    <t>Jeffrey Gennette</t>
  </si>
  <si>
    <t>Clay C. Williams</t>
  </si>
  <si>
    <t>William Greenberg</t>
  </si>
  <si>
    <t>John Joseph Fallon</t>
  </si>
  <si>
    <t>Robert E. Cauley</t>
  </si>
  <si>
    <t>Mark Julian Read</t>
  </si>
  <si>
    <t>Conor C. Flynn</t>
  </si>
  <si>
    <t>Marc Parent</t>
  </si>
  <si>
    <t>Robert S. Taubman</t>
  </si>
  <si>
    <t>John W. Lindsay</t>
  </si>
  <si>
    <t>Thomas F. Karam</t>
  </si>
  <si>
    <t>Richard A. Johnson</t>
  </si>
  <si>
    <t>Jeffrey Allen Miller</t>
  </si>
  <si>
    <t>Guillaume Faury</t>
  </si>
  <si>
    <t>William Thomas Dillard</t>
  </si>
  <si>
    <t>Barbara Rentler</t>
  </si>
  <si>
    <t>Ernie L. Herrman</t>
  </si>
  <si>
    <t>Michael H. Dilger</t>
  </si>
  <si>
    <t>Peter R. Ingram</t>
  </si>
  <si>
    <t>Edward Herman Bastian</t>
  </si>
  <si>
    <t>Eldar Sætre</t>
  </si>
  <si>
    <t>Byron L. Boston</t>
  </si>
  <si>
    <t>John David Williams</t>
  </si>
  <si>
    <t>Michelle D. Gass</t>
  </si>
  <si>
    <t>Richard Robinson</t>
  </si>
  <si>
    <t>Arnold W. Donald</t>
  </si>
  <si>
    <t>Joe B. Alala</t>
  </si>
  <si>
    <t>Jeffrey H. Fisher</t>
  </si>
  <si>
    <t>Fujio Mitarai</t>
  </si>
  <si>
    <t>Sandra B. Cochran</t>
  </si>
  <si>
    <t>Erik B. Nordstrom</t>
  </si>
  <si>
    <t>Thomas J. DeRosa</t>
  </si>
  <si>
    <t>James P. Hackett</t>
  </si>
  <si>
    <t>Björn Klas Otto Rosengren</t>
  </si>
  <si>
    <t>Akio Toyoda</t>
  </si>
  <si>
    <t>William Douglas Parker</t>
  </si>
  <si>
    <t>Peter M. Carlino</t>
  </si>
  <si>
    <t>James R. Fitterling</t>
  </si>
  <si>
    <t>Nicholas Jonathan Read</t>
  </si>
  <si>
    <t>William Andrew Hendricks</t>
  </si>
  <si>
    <t>William Joseph Hornbuckle</t>
  </si>
  <si>
    <t>John J. Christmann</t>
  </si>
  <si>
    <t>Mark J. Tritton</t>
  </si>
  <si>
    <t>David John Schulte</t>
  </si>
  <si>
    <t>Fran Horowitz-Bonadies</t>
  </si>
  <si>
    <t>Andrew Meslow</t>
  </si>
  <si>
    <t>Matthew O. Maddox</t>
  </si>
  <si>
    <t>Anthony G. Petrello</t>
  </si>
  <si>
    <t>Frank Jose Del Rio</t>
  </si>
  <si>
    <t>Recep Bastug</t>
  </si>
  <si>
    <t>Vivian Prem Watsa</t>
  </si>
  <si>
    <t>Rice Powell</t>
  </si>
  <si>
    <t>Michael Mark Manley</t>
  </si>
  <si>
    <t>Frédéric Oudéa</t>
  </si>
  <si>
    <t>Makoto Uchida</t>
  </si>
  <si>
    <t>Lakshmi Niwas Mittal</t>
  </si>
  <si>
    <t>Yong Zhang</t>
  </si>
  <si>
    <t>Warren Edward Buffett</t>
  </si>
  <si>
    <t>J. Scott Kirby</t>
  </si>
  <si>
    <t>Steven van Rijswijk</t>
  </si>
  <si>
    <t>Jean-Laurent Bonnafé</t>
  </si>
  <si>
    <t>Wilmot Reed Hastings / Theodore A. Sarandos</t>
  </si>
  <si>
    <t>Pekka Ilmari Lundmark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</si>
  <si>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</si>
  <si>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</si>
  <si>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</si>
  <si>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</si>
  <si>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</si>
  <si>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</si>
  <si>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Utilities</t>
  </si>
  <si>
    <t>Industrials</t>
  </si>
  <si>
    <t>Healthcare</t>
  </si>
  <si>
    <t>Energy</t>
  </si>
  <si>
    <t>Technology</t>
  </si>
  <si>
    <t>Communication Services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</si>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</sst>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HYPERLINK("https://www.suredividend.com/sure-analysis-EFSI/","Eagle Financial Services, Inc.")</f>
        <v>0</v>
      </c>
      <c r="C2" t="s">
        <v>631</v>
      </c>
      <c r="D2">
        <v>0.040720438527799</v>
      </c>
      <c r="E2">
        <v>0.07695155141946719</v>
      </c>
      <c r="F2">
        <v>0.055</v>
      </c>
      <c r="G2">
        <v>0.1628902038125886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631</v>
      </c>
      <c r="D3">
        <v>0.049663735126745</v>
      </c>
      <c r="E3">
        <v>0.1071054332495631</v>
      </c>
      <c r="F3">
        <v>0.01</v>
      </c>
      <c r="G3">
        <v>0.1520561948738945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HYPERLINK("https://www.suredividend.com/sure-analysis-UNM/","Unum Group")</f>
        <v>0</v>
      </c>
      <c r="C4" t="s">
        <v>631</v>
      </c>
      <c r="D4">
        <v>0.060767590618336</v>
      </c>
      <c r="E4">
        <v>0.0917745263779588</v>
      </c>
      <c r="F4">
        <v>0.02</v>
      </c>
      <c r="G4">
        <v>0.1516388787114833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0.029884032114183</v>
      </c>
      <c r="E5">
        <v>0.03303780411393209</v>
      </c>
      <c r="F5">
        <v>0.09</v>
      </c>
      <c r="G5">
        <v>0.1479488541163385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HYPERLINK("https://www.suredividend.com/sure-analysis-PSBQ/","PSB Holdings, Inc. (Wisconsin)")</f>
        <v>0</v>
      </c>
      <c r="C6" t="s">
        <v>631</v>
      </c>
      <c r="D6">
        <v>0.023428571428571</v>
      </c>
      <c r="E6">
        <v>0.07394092378577932</v>
      </c>
      <c r="F6">
        <v>0.04</v>
      </c>
      <c r="G6">
        <v>0.1343241940360675</v>
      </c>
      <c r="H6" t="s">
        <v>635</v>
      </c>
      <c r="I6" t="s">
        <v>635</v>
      </c>
    </row>
    <row r="7" spans="1:9">
      <c r="A7" s="1" t="s">
        <v>14</v>
      </c>
      <c r="B7">
        <f>HYPERLINK("https://www.suredividend.com/sure-analysis-CDUAF/","Canadian Utilities Ltd.")</f>
        <v>0</v>
      </c>
      <c r="C7" t="s">
        <v>631</v>
      </c>
      <c r="D7">
        <v>0.052025917509137</v>
      </c>
      <c r="E7">
        <v>0.04074233171238029</v>
      </c>
      <c r="F7">
        <v>0.05</v>
      </c>
      <c r="G7">
        <v>0.1319311133225447</v>
      </c>
      <c r="H7" t="s">
        <v>635</v>
      </c>
      <c r="I7" t="s">
        <v>635</v>
      </c>
    </row>
    <row r="8" spans="1:9">
      <c r="A8" s="1" t="s">
        <v>15</v>
      </c>
      <c r="B8">
        <f>HYPERLINK("https://www.suredividend.com/sure-analysis-HII/","Huntington Ingalls Industries, Inc.")</f>
        <v>0</v>
      </c>
      <c r="C8" t="s">
        <v>631</v>
      </c>
      <c r="D8">
        <v>0.023354815822148</v>
      </c>
      <c r="E8">
        <v>0.05569352247819004</v>
      </c>
      <c r="F8">
        <v>0.05</v>
      </c>
      <c r="G8">
        <v>0.1306154653662257</v>
      </c>
      <c r="H8" t="s">
        <v>635</v>
      </c>
      <c r="I8" t="s">
        <v>636</v>
      </c>
    </row>
    <row r="9" spans="1:9">
      <c r="A9" s="1" t="s">
        <v>16</v>
      </c>
      <c r="B9">
        <f>HYPERLINK("https://www.suredividend.com/sure-analysis-ABBV/","AbbVie, Inc.")</f>
        <v>0</v>
      </c>
      <c r="C9" t="s">
        <v>631</v>
      </c>
      <c r="D9">
        <v>0.049902576315219</v>
      </c>
      <c r="E9">
        <v>0.03299321030814495</v>
      </c>
      <c r="F9">
        <v>0.05</v>
      </c>
      <c r="G9">
        <v>0.1254493784818491</v>
      </c>
      <c r="H9" t="s">
        <v>635</v>
      </c>
      <c r="I9" t="s">
        <v>635</v>
      </c>
    </row>
    <row r="10" spans="1:9">
      <c r="A10" s="1" t="s">
        <v>17</v>
      </c>
      <c r="B10">
        <f>HYPERLINK("https://www.suredividend.com/sure-analysis-AMP/","Ameriprise Financial, Inc.")</f>
        <v>0</v>
      </c>
      <c r="C10" t="s">
        <v>631</v>
      </c>
      <c r="D10">
        <v>0.02456009450973</v>
      </c>
      <c r="E10">
        <v>0.02173511672667217</v>
      </c>
      <c r="F10">
        <v>0.08</v>
      </c>
      <c r="G10">
        <v>0.1245225328012152</v>
      </c>
      <c r="H10" t="s">
        <v>635</v>
      </c>
      <c r="I10" t="s">
        <v>636</v>
      </c>
    </row>
    <row r="11" spans="1:9">
      <c r="A11" s="1" t="s">
        <v>18</v>
      </c>
      <c r="B11">
        <f>HYPERLINK("https://www.suredividend.com/sure-analysis-BMY/","Bristol Myers Squibb Co.")</f>
        <v>0</v>
      </c>
      <c r="C11" t="s">
        <v>631</v>
      </c>
      <c r="D11">
        <v>0.028469750889679</v>
      </c>
      <c r="E11">
        <v>0.05878724145422809</v>
      </c>
      <c r="F11">
        <v>0.04</v>
      </c>
      <c r="G11">
        <v>0.1227911513758411</v>
      </c>
      <c r="H11" t="s">
        <v>635</v>
      </c>
      <c r="I11" t="s">
        <v>636</v>
      </c>
    </row>
    <row r="12" spans="1:9">
      <c r="A12" s="1" t="s">
        <v>19</v>
      </c>
      <c r="B12">
        <f>HYPERLINK("https://www.suredividend.com/sure-analysis-LHX/","L3Harris Technologies, Inc.")</f>
        <v>0</v>
      </c>
      <c r="C12" t="s">
        <v>631</v>
      </c>
      <c r="D12">
        <v>0.016017412657662</v>
      </c>
      <c r="E12">
        <v>0.001501243073941394</v>
      </c>
      <c r="F12">
        <v>0.1</v>
      </c>
      <c r="G12">
        <v>0.1183117237716922</v>
      </c>
      <c r="H12" t="s">
        <v>635</v>
      </c>
      <c r="I12" t="s">
        <v>381</v>
      </c>
    </row>
    <row r="13" spans="1:9">
      <c r="A13" s="1" t="s">
        <v>20</v>
      </c>
      <c r="B13">
        <f>HYPERLINK("https://www.suredividend.com/sure-analysis-WBA/","Walgreens Boots Alliance, Inc.")</f>
        <v>0</v>
      </c>
      <c r="C13" t="s">
        <v>631</v>
      </c>
      <c r="D13">
        <v>0.042697153523098</v>
      </c>
      <c r="E13">
        <v>0.02355602001475199</v>
      </c>
      <c r="F13">
        <v>0.05</v>
      </c>
      <c r="G13">
        <v>0.1111877911436339</v>
      </c>
      <c r="H13" t="s">
        <v>635</v>
      </c>
      <c r="I13" t="s">
        <v>635</v>
      </c>
    </row>
    <row r="14" spans="1:9">
      <c r="A14" s="1" t="s">
        <v>21</v>
      </c>
      <c r="B14">
        <f>HYPERLINK("https://www.suredividend.com/sure-analysis-FMCB/","Farmers &amp; Merchants Bancorp (California)")</f>
        <v>0</v>
      </c>
      <c r="C14" t="s">
        <v>631</v>
      </c>
      <c r="D14">
        <v>0.020210526315789</v>
      </c>
      <c r="E14">
        <v>0.04218267071942794</v>
      </c>
      <c r="F14">
        <v>0.05</v>
      </c>
      <c r="G14">
        <v>0.1103233511470856</v>
      </c>
      <c r="H14" t="s">
        <v>635</v>
      </c>
      <c r="I14" t="s">
        <v>636</v>
      </c>
    </row>
    <row r="15" spans="1:9">
      <c r="A15" s="1" t="s">
        <v>22</v>
      </c>
      <c r="B15">
        <f>HYPERLINK("https://www.suredividend.com/sure-analysis-PNGAY/","Ping An Insurance (Group) Co. of China Ltd.")</f>
        <v>0</v>
      </c>
      <c r="C15" t="s">
        <v>631</v>
      </c>
      <c r="D15">
        <v>0.018997655883731</v>
      </c>
      <c r="E15">
        <v>0.01519015186782569</v>
      </c>
      <c r="F15">
        <v>0.07000000000000001</v>
      </c>
      <c r="G15">
        <v>0.1089894973840095</v>
      </c>
      <c r="H15" t="s">
        <v>635</v>
      </c>
      <c r="I15" t="s">
        <v>636</v>
      </c>
    </row>
    <row r="16" spans="1:9">
      <c r="A16" s="1" t="s">
        <v>23</v>
      </c>
      <c r="B16">
        <f>HYPERLINK("https://www.suredividend.com/sure-analysis-NFG/","National Fuel Gas Co.")</f>
        <v>0</v>
      </c>
      <c r="C16" t="s">
        <v>631</v>
      </c>
      <c r="D16">
        <v>0.039088675452311</v>
      </c>
      <c r="E16">
        <v>0.02659721399403825</v>
      </c>
      <c r="F16">
        <v>0.05</v>
      </c>
      <c r="G16">
        <v>0.1076331448496253</v>
      </c>
      <c r="H16" t="s">
        <v>635</v>
      </c>
      <c r="I16" t="s">
        <v>635</v>
      </c>
    </row>
    <row r="17" spans="1:9">
      <c r="A17" s="1" t="s">
        <v>24</v>
      </c>
      <c r="B17">
        <f>HYPERLINK("https://www.suredividend.com/sure-analysis-NOC/","Northrop Grumman Corp.")</f>
        <v>0</v>
      </c>
      <c r="C17" t="s">
        <v>631</v>
      </c>
      <c r="D17">
        <v>0.016114139338158</v>
      </c>
      <c r="E17">
        <v>-0.007031043716327678</v>
      </c>
      <c r="F17">
        <v>0.1</v>
      </c>
      <c r="G17">
        <v>0.1056849443177466</v>
      </c>
      <c r="H17" t="s">
        <v>635</v>
      </c>
      <c r="I17" t="s">
        <v>381</v>
      </c>
    </row>
    <row r="18" spans="1:9">
      <c r="A18" s="1" t="s">
        <v>25</v>
      </c>
      <c r="B18">
        <f>HYPERLINK("https://www.suredividend.com/sure-analysis-ORCL/","Oracle Corp.")</f>
        <v>0</v>
      </c>
      <c r="C18" t="s">
        <v>631</v>
      </c>
      <c r="D18">
        <v>0.017473607571896</v>
      </c>
      <c r="E18">
        <v>0.009864270270562026</v>
      </c>
      <c r="F18">
        <v>0.08</v>
      </c>
      <c r="G18">
        <v>0.1056460927116578</v>
      </c>
      <c r="H18" t="s">
        <v>635</v>
      </c>
      <c r="I18" t="s">
        <v>381</v>
      </c>
    </row>
    <row r="19" spans="1:9">
      <c r="A19" s="1" t="s">
        <v>26</v>
      </c>
      <c r="B19">
        <f>HYPERLINK("https://www.suredividend.com/sure-analysis-BEN/","Franklin Resources, Inc.")</f>
        <v>0</v>
      </c>
      <c r="C19" t="s">
        <v>631</v>
      </c>
      <c r="D19">
        <v>0.047810545129579</v>
      </c>
      <c r="E19">
        <v>0.01975935406099438</v>
      </c>
      <c r="F19">
        <v>0.04</v>
      </c>
      <c r="G19">
        <v>0.09917777097077951</v>
      </c>
      <c r="H19" t="s">
        <v>635</v>
      </c>
      <c r="I19" t="s">
        <v>635</v>
      </c>
    </row>
    <row r="20" spans="1:9">
      <c r="A20" s="1" t="s">
        <v>27</v>
      </c>
      <c r="B20">
        <f>HYPERLINK("https://www.suredividend.com/sure-analysis-MCK/","McKesson Corp.")</f>
        <v>0</v>
      </c>
      <c r="C20" t="s">
        <v>631</v>
      </c>
      <c r="D20">
        <v>0.010761861014502</v>
      </c>
      <c r="E20">
        <v>0.02715431368004517</v>
      </c>
      <c r="F20">
        <v>0.06</v>
      </c>
      <c r="G20">
        <v>0.09811359076161508</v>
      </c>
      <c r="H20" t="s">
        <v>635</v>
      </c>
      <c r="I20" t="s">
        <v>381</v>
      </c>
    </row>
    <row r="21" spans="1:9">
      <c r="A21" s="1" t="s">
        <v>28</v>
      </c>
      <c r="B21">
        <f>HYPERLINK("https://www.suredividend.com/sure-analysis-EV/","Eaton Vance Corp.")</f>
        <v>0</v>
      </c>
      <c r="C21" t="s">
        <v>631</v>
      </c>
      <c r="D21">
        <v>0.038412291933418</v>
      </c>
      <c r="E21">
        <v>-0.001277143377104717</v>
      </c>
      <c r="F21">
        <v>0.065</v>
      </c>
      <c r="G21">
        <v>0.09804501173272784</v>
      </c>
      <c r="H21" t="s">
        <v>635</v>
      </c>
      <c r="I21" t="s">
        <v>635</v>
      </c>
    </row>
    <row r="22" spans="1:9">
      <c r="A22" s="1" t="s">
        <v>29</v>
      </c>
      <c r="B22">
        <f>HYPERLINK("https://www.suredividend.com/sure-analysis-CSL/","Carlisle Cos., Inc.")</f>
        <v>0</v>
      </c>
      <c r="C22" t="s">
        <v>631</v>
      </c>
      <c r="D22">
        <v>0.015688735487919</v>
      </c>
      <c r="E22">
        <v>0.01242029314448767</v>
      </c>
      <c r="F22">
        <v>0.07000000000000001</v>
      </c>
      <c r="G22">
        <v>0.0965464764331716</v>
      </c>
      <c r="H22" t="s">
        <v>635</v>
      </c>
      <c r="I22" t="s">
        <v>636</v>
      </c>
    </row>
    <row r="23" spans="1:9">
      <c r="A23" s="1" t="s">
        <v>30</v>
      </c>
      <c r="B23">
        <f>HYPERLINK("https://www.suredividend.com/sure-analysis-PRGO/","Perrigo Co. Plc")</f>
        <v>0</v>
      </c>
      <c r="C23" t="s">
        <v>631</v>
      </c>
      <c r="D23">
        <v>0.016814843448009</v>
      </c>
      <c r="E23">
        <v>0.02863186175358901</v>
      </c>
      <c r="F23">
        <v>0.05</v>
      </c>
      <c r="G23">
        <v>0.09418796054207501</v>
      </c>
      <c r="H23" t="s">
        <v>635</v>
      </c>
      <c r="I23" t="s">
        <v>381</v>
      </c>
    </row>
    <row r="24" spans="1:9">
      <c r="A24" s="1" t="s">
        <v>31</v>
      </c>
      <c r="B24">
        <f>HYPERLINK("https://www.suredividend.com/sure-analysis-BKH/","Black Hills Corp.")</f>
        <v>0</v>
      </c>
      <c r="C24" t="s">
        <v>631</v>
      </c>
      <c r="D24">
        <v>0.03523714094856301</v>
      </c>
      <c r="E24">
        <v>0.01719649878449725</v>
      </c>
      <c r="F24">
        <v>0.04</v>
      </c>
      <c r="G24">
        <v>0.08964646193837078</v>
      </c>
      <c r="H24" t="s">
        <v>635</v>
      </c>
      <c r="I24" t="s">
        <v>635</v>
      </c>
    </row>
    <row r="25" spans="1:9">
      <c r="A25" s="1" t="s">
        <v>32</v>
      </c>
      <c r="B25">
        <f>HYPERLINK("https://www.suredividend.com/sure-analysis-UGI/","UGI Corp.")</f>
        <v>0</v>
      </c>
      <c r="C25" t="s">
        <v>631</v>
      </c>
      <c r="D25">
        <v>0.027809307604994</v>
      </c>
      <c r="E25">
        <v>0.0001715167901488179</v>
      </c>
      <c r="F25">
        <v>0.056</v>
      </c>
      <c r="G25">
        <v>0.0869183139460985</v>
      </c>
      <c r="H25" t="s">
        <v>635</v>
      </c>
      <c r="I25" t="s">
        <v>636</v>
      </c>
    </row>
    <row r="26" spans="1:9">
      <c r="A26" s="1" t="s">
        <v>33</v>
      </c>
      <c r="B26">
        <f>HYPERLINK("https://www.suredividend.com/sure-analysis-TCEHY/","Tencent Holdings Ltd.")</f>
        <v>0</v>
      </c>
      <c r="C26" t="s">
        <v>631</v>
      </c>
      <c r="D26">
        <v>0.002385575589459</v>
      </c>
      <c r="E26">
        <v>-0.06649636907788425</v>
      </c>
      <c r="F26">
        <v>0.16</v>
      </c>
      <c r="G26">
        <v>0.08622984745481044</v>
      </c>
      <c r="H26" t="s">
        <v>635</v>
      </c>
      <c r="I26" t="s">
        <v>420</v>
      </c>
    </row>
    <row r="27" spans="1:9">
      <c r="A27" s="1" t="s">
        <v>34</v>
      </c>
      <c r="B27">
        <f>HYPERLINK("https://www.suredividend.com/sure-analysis-AFL/","Aflac, Inc.")</f>
        <v>0</v>
      </c>
      <c r="C27" t="s">
        <v>631</v>
      </c>
      <c r="D27">
        <v>0.029356818788364</v>
      </c>
      <c r="E27">
        <v>0.02959226268374815</v>
      </c>
      <c r="F27">
        <v>0.03</v>
      </c>
      <c r="G27">
        <v>0.08482260856530632</v>
      </c>
      <c r="H27" t="s">
        <v>635</v>
      </c>
      <c r="I27" t="s">
        <v>635</v>
      </c>
    </row>
    <row r="28" spans="1:9">
      <c r="A28" s="1" t="s">
        <v>35</v>
      </c>
      <c r="B28">
        <f>HYPERLINK("https://www.suredividend.com/sure-analysis-LOW/","Lowe's Cos., Inc.")</f>
        <v>0</v>
      </c>
      <c r="C28" t="s">
        <v>631</v>
      </c>
      <c r="D28">
        <v>0.014311735623211</v>
      </c>
      <c r="E28">
        <v>-0.03019594543781423</v>
      </c>
      <c r="F28">
        <v>0.1</v>
      </c>
      <c r="G28">
        <v>0.08216101845330392</v>
      </c>
      <c r="H28" t="s">
        <v>635</v>
      </c>
      <c r="I28" t="s">
        <v>636</v>
      </c>
    </row>
    <row r="29" spans="1:9">
      <c r="A29" s="1" t="s">
        <v>36</v>
      </c>
      <c r="B29">
        <f>HYPERLINK("https://www.suredividend.com/sure-analysis-GD/","General Dynamics Corp.")</f>
        <v>0</v>
      </c>
      <c r="C29" t="s">
        <v>631</v>
      </c>
      <c r="D29">
        <v>0.027082268778742</v>
      </c>
      <c r="E29">
        <v>-0.004895028864266848</v>
      </c>
      <c r="F29">
        <v>0.06</v>
      </c>
      <c r="G29">
        <v>0.08176529325995885</v>
      </c>
      <c r="H29" t="s">
        <v>635</v>
      </c>
      <c r="I29" t="s">
        <v>636</v>
      </c>
    </row>
    <row r="30" spans="1:9">
      <c r="A30" s="1" t="s">
        <v>37</v>
      </c>
      <c r="B30">
        <f>HYPERLINK("https://www.suredividend.com/sure-analysis-UNH/","UnitedHealth Group, Inc.")</f>
        <v>0</v>
      </c>
      <c r="C30" t="s">
        <v>631</v>
      </c>
      <c r="D30">
        <v>0.014070824193042</v>
      </c>
      <c r="E30">
        <v>-0.03504480519676756</v>
      </c>
      <c r="F30">
        <v>0.1</v>
      </c>
      <c r="G30">
        <v>0.07963321588616745</v>
      </c>
      <c r="H30" t="s">
        <v>635</v>
      </c>
      <c r="I30" t="s">
        <v>381</v>
      </c>
    </row>
    <row r="31" spans="1:9">
      <c r="A31" s="1" t="s">
        <v>38</v>
      </c>
      <c r="B31">
        <f>HYPERLINK("https://www.suredividend.com/sure-analysis-CPKF/","Chesapeake Financial Shares, Inc. (Maryland)")</f>
        <v>0</v>
      </c>
      <c r="C31" t="s">
        <v>631</v>
      </c>
      <c r="D31">
        <v>0.026657705930779</v>
      </c>
      <c r="E31">
        <v>0.03414621632574555</v>
      </c>
      <c r="F31">
        <v>0.02</v>
      </c>
      <c r="G31">
        <v>0.07826778016451819</v>
      </c>
      <c r="H31" t="s">
        <v>635</v>
      </c>
      <c r="I31" t="s">
        <v>635</v>
      </c>
    </row>
    <row r="32" spans="1:9">
      <c r="A32" s="1" t="s">
        <v>39</v>
      </c>
      <c r="B32">
        <f>HYPERLINK("https://www.suredividend.com/sure-analysis-AIZ/","Assurant, Inc.")</f>
        <v>0</v>
      </c>
      <c r="C32" t="s">
        <v>631</v>
      </c>
      <c r="D32">
        <v>0.020048309178743</v>
      </c>
      <c r="E32">
        <v>0.007939504904832306</v>
      </c>
      <c r="F32">
        <v>0.05</v>
      </c>
      <c r="G32">
        <v>0.07702994319369871</v>
      </c>
      <c r="H32" t="s">
        <v>635</v>
      </c>
      <c r="I32" t="s">
        <v>636</v>
      </c>
    </row>
    <row r="33" spans="1:9">
      <c r="A33" s="1" t="s">
        <v>40</v>
      </c>
      <c r="B33">
        <f>HYPERLINK("https://www.suredividend.com/sure-analysis-SYK/","Stryker Corp.")</f>
        <v>0</v>
      </c>
      <c r="C33" t="s">
        <v>631</v>
      </c>
      <c r="D33">
        <v>0.011962487344807</v>
      </c>
      <c r="E33">
        <v>-0.05023757505132787</v>
      </c>
      <c r="F33">
        <v>0.12</v>
      </c>
      <c r="G33">
        <v>0.07692644794358894</v>
      </c>
      <c r="H33" t="s">
        <v>635</v>
      </c>
      <c r="I33" t="s">
        <v>381</v>
      </c>
    </row>
    <row r="34" spans="1:9">
      <c r="A34" s="1" t="s">
        <v>41</v>
      </c>
      <c r="B34">
        <f>HYPERLINK("https://www.suredividend.com/sure-analysis-AMAT/","Applied Materials, Inc.")</f>
        <v>0</v>
      </c>
      <c r="C34" t="s">
        <v>631</v>
      </c>
      <c r="D34">
        <v>0.013028816676885</v>
      </c>
      <c r="E34">
        <v>-0.02434404202428919</v>
      </c>
      <c r="F34">
        <v>0.09</v>
      </c>
      <c r="G34">
        <v>0.07663673022352602</v>
      </c>
      <c r="H34" t="s">
        <v>635</v>
      </c>
      <c r="I34" t="s">
        <v>420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631</v>
      </c>
      <c r="D35">
        <v>0.012535612535612</v>
      </c>
      <c r="E35">
        <v>-0.01407239909997104</v>
      </c>
      <c r="F35">
        <v>0.08</v>
      </c>
      <c r="G35">
        <v>0.075606085662139</v>
      </c>
      <c r="H35" t="s">
        <v>635</v>
      </c>
      <c r="I35" t="s">
        <v>381</v>
      </c>
    </row>
    <row r="36" spans="1:9">
      <c r="A36" s="1" t="s">
        <v>43</v>
      </c>
      <c r="B36">
        <f>HYPERLINK("https://www.suredividend.com/sure-analysis-PII/","Polaris Inc.")</f>
        <v>0</v>
      </c>
      <c r="C36" t="s">
        <v>631</v>
      </c>
      <c r="D36">
        <v>0.023359604975785</v>
      </c>
      <c r="E36">
        <v>-0.006153965192358779</v>
      </c>
      <c r="F36">
        <v>0.06</v>
      </c>
      <c r="G36">
        <v>0.0750167396664807</v>
      </c>
      <c r="H36" t="s">
        <v>635</v>
      </c>
      <c r="I36" t="s">
        <v>636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631</v>
      </c>
      <c r="D37">
        <v>0.013140604467805</v>
      </c>
      <c r="E37">
        <v>-0.01815177606189111</v>
      </c>
      <c r="F37">
        <v>0.08</v>
      </c>
      <c r="G37">
        <v>0.07316126335010154</v>
      </c>
      <c r="H37" t="s">
        <v>635</v>
      </c>
      <c r="I37" t="s">
        <v>381</v>
      </c>
    </row>
    <row r="38" spans="1:9">
      <c r="A38" s="1" t="s">
        <v>45</v>
      </c>
      <c r="B38">
        <f>HYPERLINK("https://www.suredividend.com/sure-analysis-CB/","Chubb Ltd.")</f>
        <v>0</v>
      </c>
      <c r="C38" t="s">
        <v>631</v>
      </c>
      <c r="D38">
        <v>0.023136835675015</v>
      </c>
      <c r="E38">
        <v>0.001495407193705445</v>
      </c>
      <c r="F38">
        <v>0.05</v>
      </c>
      <c r="G38">
        <v>0.07289877195102723</v>
      </c>
      <c r="H38" t="s">
        <v>635</v>
      </c>
      <c r="I38" t="s">
        <v>636</v>
      </c>
    </row>
    <row r="39" spans="1:9">
      <c r="A39" s="1" t="s">
        <v>46</v>
      </c>
      <c r="B39">
        <f>HYPERLINK("https://www.suredividend.com/sure-analysis-ADM/","Archer-Daniels-Midland Co.")</f>
        <v>0</v>
      </c>
      <c r="C39" t="s">
        <v>631</v>
      </c>
      <c r="D39">
        <v>0.031917284783097</v>
      </c>
      <c r="E39">
        <v>0.002733383082955232</v>
      </c>
      <c r="F39">
        <v>0.04</v>
      </c>
      <c r="G39">
        <v>0.07242827297839516</v>
      </c>
      <c r="H39" t="s">
        <v>635</v>
      </c>
      <c r="I39" t="s">
        <v>635</v>
      </c>
    </row>
    <row r="40" spans="1:9">
      <c r="A40" s="1" t="s">
        <v>47</v>
      </c>
      <c r="B40">
        <f>HYPERLINK("https://www.suredividend.com/sure-analysis-CAH/","Cardinal Health, Inc.")</f>
        <v>0</v>
      </c>
      <c r="C40" t="s">
        <v>631</v>
      </c>
      <c r="D40">
        <v>0.036358839050131</v>
      </c>
      <c r="E40">
        <v>-0.0001508750823069338</v>
      </c>
      <c r="F40">
        <v>0.04</v>
      </c>
      <c r="G40">
        <v>0.07213894753417938</v>
      </c>
      <c r="H40" t="s">
        <v>635</v>
      </c>
      <c r="I40" t="s">
        <v>635</v>
      </c>
    </row>
    <row r="41" spans="1:9">
      <c r="A41" s="1" t="s">
        <v>48</v>
      </c>
      <c r="B41">
        <f>HYPERLINK("https://www.suredividend.com/sure-analysis-PNR/","Pentair Plc")</f>
        <v>0</v>
      </c>
      <c r="C41" t="s">
        <v>631</v>
      </c>
      <c r="D41">
        <v>0.016618010330114</v>
      </c>
      <c r="E41">
        <v>-0.008389306271259445</v>
      </c>
      <c r="F41">
        <v>0.065</v>
      </c>
      <c r="G41">
        <v>0.07189406134341114</v>
      </c>
      <c r="H41" t="s">
        <v>635</v>
      </c>
      <c r="I41" t="s">
        <v>636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631</v>
      </c>
      <c r="D42">
        <v>0.032215770743584</v>
      </c>
      <c r="E42">
        <v>-0.0119149166039979</v>
      </c>
      <c r="F42">
        <v>0.05</v>
      </c>
      <c r="G42">
        <v>0.0675514300911173</v>
      </c>
      <c r="H42" t="s">
        <v>635</v>
      </c>
      <c r="I42" t="s">
        <v>635</v>
      </c>
    </row>
    <row r="43" spans="1:9">
      <c r="A43" s="1" t="s">
        <v>50</v>
      </c>
      <c r="B43">
        <f>HYPERLINK("https://www.suredividend.com/sure-analysis-FUL/","H.B. Fuller Co.")</f>
        <v>0</v>
      </c>
      <c r="C43" t="s">
        <v>631</v>
      </c>
      <c r="D43">
        <v>0.01321179844326</v>
      </c>
      <c r="E43">
        <v>-0.05092772222236097</v>
      </c>
      <c r="F43">
        <v>0.11</v>
      </c>
      <c r="G43">
        <v>0.06560054863787679</v>
      </c>
      <c r="H43" t="s">
        <v>635</v>
      </c>
      <c r="I43" t="s">
        <v>636</v>
      </c>
    </row>
    <row r="44" spans="1:9">
      <c r="A44" s="1" t="s">
        <v>51</v>
      </c>
      <c r="B44">
        <f>HYPERLINK("https://www.suredividend.com/sure-analysis-SPGI/","S&amp;P Global, Inc.")</f>
        <v>0</v>
      </c>
      <c r="C44" t="s">
        <v>631</v>
      </c>
      <c r="D44">
        <v>0.007207835614845001</v>
      </c>
      <c r="E44">
        <v>-0.03609380148477015</v>
      </c>
      <c r="F44">
        <v>0.09</v>
      </c>
      <c r="G44">
        <v>0.05960592259301545</v>
      </c>
      <c r="H44" t="s">
        <v>635</v>
      </c>
      <c r="I44" t="s">
        <v>381</v>
      </c>
    </row>
    <row r="45" spans="1:9">
      <c r="A45" s="1" t="s">
        <v>52</v>
      </c>
      <c r="B45">
        <f>HYPERLINK("https://www.suredividend.com/sure-analysis-ATO/","Atmos Energy Corp.")</f>
        <v>0</v>
      </c>
      <c r="C45" t="s">
        <v>631</v>
      </c>
      <c r="D45">
        <v>0.021218408147868</v>
      </c>
      <c r="E45">
        <v>-0.03198231501511517</v>
      </c>
      <c r="F45">
        <v>0.07000000000000001</v>
      </c>
      <c r="G45">
        <v>0.05916040960189961</v>
      </c>
      <c r="H45" t="s">
        <v>635</v>
      </c>
      <c r="I45" t="s">
        <v>636</v>
      </c>
    </row>
    <row r="46" spans="1:9">
      <c r="A46" s="1" t="s">
        <v>53</v>
      </c>
      <c r="B46">
        <f>HYPERLINK("https://www.suredividend.com/sure-analysis-DPZ/","Domino's Pizza, Inc.")</f>
        <v>0</v>
      </c>
      <c r="C46" t="s">
        <v>631</v>
      </c>
      <c r="D46">
        <v>0.007410670328816001</v>
      </c>
      <c r="E46">
        <v>-0.03812583258661417</v>
      </c>
      <c r="F46">
        <v>0.09</v>
      </c>
      <c r="G46">
        <v>0.05799893339613971</v>
      </c>
      <c r="H46" t="s">
        <v>635</v>
      </c>
      <c r="I46" t="s">
        <v>420</v>
      </c>
    </row>
    <row r="47" spans="1:9">
      <c r="A47" s="1" t="s">
        <v>54</v>
      </c>
      <c r="B47">
        <f>HYPERLINK("https://www.suredividend.com/sure-analysis-ABM/","ABM Industries, Inc.")</f>
        <v>0</v>
      </c>
      <c r="C47" t="s">
        <v>631</v>
      </c>
      <c r="D47">
        <v>0.018598726114649</v>
      </c>
      <c r="E47">
        <v>-0.01087897415115358</v>
      </c>
      <c r="F47">
        <v>0.05</v>
      </c>
      <c r="G47">
        <v>0.05582167548647643</v>
      </c>
      <c r="H47" t="s">
        <v>635</v>
      </c>
      <c r="I47" t="s">
        <v>636</v>
      </c>
    </row>
    <row r="48" spans="1:9">
      <c r="A48" s="1" t="s">
        <v>55</v>
      </c>
      <c r="B48">
        <f>HYPERLINK("https://www.suredividend.com/sure-analysis-BANF/","BancFirst Corp. (Oklahoma)")</f>
        <v>0</v>
      </c>
      <c r="C48" t="s">
        <v>631</v>
      </c>
      <c r="D48">
        <v>0.028237370394881</v>
      </c>
      <c r="E48">
        <v>-0.003605123333037752</v>
      </c>
      <c r="F48">
        <v>0.03</v>
      </c>
      <c r="G48">
        <v>0.05560412338299758</v>
      </c>
      <c r="H48" t="s">
        <v>635</v>
      </c>
      <c r="I48" t="s">
        <v>636</v>
      </c>
    </row>
    <row r="49" spans="1:9">
      <c r="A49" s="1" t="s">
        <v>56</v>
      </c>
      <c r="B49">
        <f>HYPERLINK("https://www.suredividend.com/sure-analysis-JNJ/","Johnson &amp; Johnson")</f>
        <v>0</v>
      </c>
      <c r="C49" t="s">
        <v>631</v>
      </c>
      <c r="D49">
        <v>0.026075795446868</v>
      </c>
      <c r="E49">
        <v>-0.03341823393624332</v>
      </c>
      <c r="F49">
        <v>0.06</v>
      </c>
      <c r="G49">
        <v>0.05280078905997909</v>
      </c>
      <c r="H49" t="s">
        <v>635</v>
      </c>
      <c r="I49" t="s">
        <v>635</v>
      </c>
    </row>
    <row r="50" spans="1:9">
      <c r="A50" s="1" t="s">
        <v>57</v>
      </c>
      <c r="B50">
        <f>HYPERLINK("https://www.suredividend.com/sure-analysis-ABC/","AmerisourceBergen Corp.")</f>
        <v>0</v>
      </c>
      <c r="C50" t="s">
        <v>631</v>
      </c>
      <c r="D50">
        <v>0.015916149068322</v>
      </c>
      <c r="E50">
        <v>-0.01500253375636096</v>
      </c>
      <c r="F50">
        <v>0.05</v>
      </c>
      <c r="G50">
        <v>0.051503111400794</v>
      </c>
      <c r="H50" t="s">
        <v>635</v>
      </c>
      <c r="I50" t="s">
        <v>381</v>
      </c>
    </row>
    <row r="51" spans="1:9">
      <c r="A51" s="1" t="s">
        <v>58</v>
      </c>
      <c r="B51">
        <f>HYPERLINK("https://www.suredividend.com/sure-analysis-RE/","Everest Re Group Ltd.")</f>
        <v>0</v>
      </c>
      <c r="C51" t="s">
        <v>631</v>
      </c>
      <c r="D51">
        <v>0.026091081593927</v>
      </c>
      <c r="E51">
        <v>-0.02805146322917684</v>
      </c>
      <c r="F51">
        <v>0.05</v>
      </c>
      <c r="G51">
        <v>0.0488602871629229</v>
      </c>
      <c r="H51" t="s">
        <v>635</v>
      </c>
      <c r="I51" t="s">
        <v>636</v>
      </c>
    </row>
    <row r="52" spans="1:9">
      <c r="A52" s="1" t="s">
        <v>59</v>
      </c>
      <c r="B52">
        <f>HYPERLINK("https://www.suredividend.com/sure-analysis-MDT/","Medtronic Plc")</f>
        <v>0</v>
      </c>
      <c r="C52" t="s">
        <v>631</v>
      </c>
      <c r="D52">
        <v>0.021518230723251</v>
      </c>
      <c r="E52">
        <v>-0.04501872976436916</v>
      </c>
      <c r="F52">
        <v>0.07000000000000001</v>
      </c>
      <c r="G52">
        <v>0.04735119763577122</v>
      </c>
      <c r="H52" t="s">
        <v>635</v>
      </c>
      <c r="I52" t="s">
        <v>636</v>
      </c>
    </row>
    <row r="53" spans="1:9">
      <c r="A53" s="1" t="s">
        <v>60</v>
      </c>
      <c r="B53">
        <f>HYPERLINK("https://www.suredividend.com/sure-analysis-TXT/","Textron, Inc.")</f>
        <v>0</v>
      </c>
      <c r="C53" t="s">
        <v>631</v>
      </c>
      <c r="D53">
        <v>0.002058672156459</v>
      </c>
      <c r="E53">
        <v>-0.09103961630436941</v>
      </c>
      <c r="F53">
        <v>0.15</v>
      </c>
      <c r="G53">
        <v>0.04703106461374662</v>
      </c>
      <c r="H53" t="s">
        <v>635</v>
      </c>
      <c r="I53" t="s">
        <v>420</v>
      </c>
    </row>
    <row r="54" spans="1:9">
      <c r="A54" s="1" t="s">
        <v>61</v>
      </c>
      <c r="B54">
        <f>HYPERLINK("https://www.suredividend.com/sure-analysis-GPC/","Genuine Parts Co.")</f>
        <v>0</v>
      </c>
      <c r="C54" t="s">
        <v>631</v>
      </c>
      <c r="D54">
        <v>0.033007334963325</v>
      </c>
      <c r="E54">
        <v>-0.01575027666260287</v>
      </c>
      <c r="F54">
        <v>0.03</v>
      </c>
      <c r="G54">
        <v>0.04598922109398362</v>
      </c>
      <c r="H54" t="s">
        <v>635</v>
      </c>
      <c r="I54" t="s">
        <v>635</v>
      </c>
    </row>
    <row r="55" spans="1:9">
      <c r="A55" s="1" t="s">
        <v>62</v>
      </c>
      <c r="B55">
        <f>HYPERLINK("https://www.suredividend.com/sure-analysis-KR/","The Kroger Co.")</f>
        <v>0</v>
      </c>
      <c r="C55" t="s">
        <v>631</v>
      </c>
      <c r="D55">
        <v>0.018270054239223</v>
      </c>
      <c r="E55">
        <v>-0.01355579930089068</v>
      </c>
      <c r="F55">
        <v>0.04</v>
      </c>
      <c r="G55">
        <v>0.04508212440038784</v>
      </c>
      <c r="H55" t="s">
        <v>635</v>
      </c>
      <c r="I55" t="s">
        <v>381</v>
      </c>
    </row>
    <row r="56" spans="1:9">
      <c r="A56" s="1" t="s">
        <v>63</v>
      </c>
      <c r="B56">
        <f>HYPERLINK("https://www.suredividend.com/sure-analysis-MMM/","3M Co.")</f>
        <v>0</v>
      </c>
      <c r="C56" t="s">
        <v>631</v>
      </c>
      <c r="D56">
        <v>0.036050545094152</v>
      </c>
      <c r="E56">
        <v>-0.03744185041806658</v>
      </c>
      <c r="F56">
        <v>0.05</v>
      </c>
      <c r="G56">
        <v>0.04490012736173998</v>
      </c>
      <c r="H56" t="s">
        <v>635</v>
      </c>
      <c r="I56" t="s">
        <v>635</v>
      </c>
    </row>
    <row r="57" spans="1:9">
      <c r="A57" s="1" t="s">
        <v>64</v>
      </c>
      <c r="B57">
        <f>HYPERLINK("https://www.suredividend.com/sure-analysis-DG/","Dollar General Corp.")</f>
        <v>0</v>
      </c>
      <c r="C57" t="s">
        <v>631</v>
      </c>
      <c r="D57">
        <v>0.006829116871022001</v>
      </c>
      <c r="E57">
        <v>-0.05765468272426022</v>
      </c>
      <c r="F57">
        <v>0.1</v>
      </c>
      <c r="G57">
        <v>0.04472007241303566</v>
      </c>
      <c r="H57" t="s">
        <v>635</v>
      </c>
      <c r="I57" t="s">
        <v>420</v>
      </c>
    </row>
    <row r="58" spans="1:9">
      <c r="A58" s="1" t="s">
        <v>65</v>
      </c>
      <c r="B58">
        <f>HYPERLINK("https://www.suredividend.com/sure-analysis-MCO/","Moody's Corp.")</f>
        <v>0</v>
      </c>
      <c r="C58" t="s">
        <v>631</v>
      </c>
      <c r="D58">
        <v>0.007818550617739001</v>
      </c>
      <c r="E58">
        <v>-0.04332026589686033</v>
      </c>
      <c r="F58">
        <v>0.08</v>
      </c>
      <c r="G58">
        <v>0.0429212175403737</v>
      </c>
      <c r="H58" t="s">
        <v>635</v>
      </c>
      <c r="I58" t="s">
        <v>420</v>
      </c>
    </row>
    <row r="59" spans="1:9">
      <c r="A59" s="1" t="s">
        <v>66</v>
      </c>
      <c r="B59">
        <f>HYPERLINK("https://www.suredividend.com/sure-analysis-BDX/","Becton, Dickinson &amp; Co.")</f>
        <v>0</v>
      </c>
      <c r="C59" t="s">
        <v>631</v>
      </c>
      <c r="D59">
        <v>0.012229795520934</v>
      </c>
      <c r="E59">
        <v>-0.06522682398054136</v>
      </c>
      <c r="F59">
        <v>0.1</v>
      </c>
      <c r="G59">
        <v>0.04272756881544493</v>
      </c>
      <c r="H59" t="s">
        <v>635</v>
      </c>
      <c r="I59" t="s">
        <v>381</v>
      </c>
    </row>
    <row r="60" spans="1:9">
      <c r="A60" s="1" t="s">
        <v>67</v>
      </c>
      <c r="B60">
        <f>HYPERLINK("https://www.suredividend.com/sure-analysis-KMB/","Kimberly-Clark Corp.")</f>
        <v>0</v>
      </c>
      <c r="C60" t="s">
        <v>631</v>
      </c>
      <c r="D60">
        <v>0.026567145296982</v>
      </c>
      <c r="E60">
        <v>-0.02395935822531492</v>
      </c>
      <c r="F60">
        <v>0.04</v>
      </c>
      <c r="G60">
        <v>0.04263743979012613</v>
      </c>
      <c r="H60" t="s">
        <v>635</v>
      </c>
      <c r="I60" t="s">
        <v>636</v>
      </c>
    </row>
    <row r="61" spans="1:9">
      <c r="A61" s="1" t="s">
        <v>68</v>
      </c>
      <c r="B61">
        <f>HYPERLINK("https://www.suredividend.com/sure-analysis-DCI/","Donaldson Co., Inc.")</f>
        <v>0</v>
      </c>
      <c r="C61" t="s">
        <v>631</v>
      </c>
      <c r="D61">
        <v>0.016225613289549</v>
      </c>
      <c r="E61">
        <v>-0.05166640528391864</v>
      </c>
      <c r="F61">
        <v>0.08</v>
      </c>
      <c r="G61">
        <v>0.04207448047516293</v>
      </c>
      <c r="H61" t="s">
        <v>635</v>
      </c>
      <c r="I61" t="s">
        <v>381</v>
      </c>
    </row>
    <row r="62" spans="1:9">
      <c r="A62" s="1" t="s">
        <v>69</v>
      </c>
      <c r="B62">
        <f>HYPERLINK("https://www.suredividend.com/sure-analysis-CL/","Colgate-Palmolive Co.")</f>
        <v>0</v>
      </c>
      <c r="C62" t="s">
        <v>631</v>
      </c>
      <c r="D62">
        <v>0.022570123939986</v>
      </c>
      <c r="E62">
        <v>-0.0398007847658598</v>
      </c>
      <c r="F62">
        <v>0.06</v>
      </c>
      <c r="G62">
        <v>0.04173831468576061</v>
      </c>
      <c r="H62" t="s">
        <v>635</v>
      </c>
      <c r="I62" t="s">
        <v>636</v>
      </c>
    </row>
    <row r="63" spans="1:9">
      <c r="A63" s="1" t="s">
        <v>70</v>
      </c>
      <c r="B63">
        <f>HYPERLINK("https://www.suredividend.com/sure-analysis-AROW/","Arrow Financial Corp.")</f>
        <v>0</v>
      </c>
      <c r="C63" t="s">
        <v>631</v>
      </c>
      <c r="D63">
        <v>0.035284688995215</v>
      </c>
      <c r="E63">
        <v>-0.005160514552689066</v>
      </c>
      <c r="F63">
        <v>0.01</v>
      </c>
      <c r="G63">
        <v>0.04082209478572496</v>
      </c>
      <c r="H63" t="s">
        <v>635</v>
      </c>
      <c r="I63" t="s">
        <v>635</v>
      </c>
    </row>
    <row r="64" spans="1:9">
      <c r="A64" s="1" t="s">
        <v>71</v>
      </c>
      <c r="B64">
        <f>HYPERLINK("https://www.suredividend.com/sure-analysis-CP/","Canadian Pacific Railway Ltd.")</f>
        <v>0</v>
      </c>
      <c r="C64" t="s">
        <v>631</v>
      </c>
      <c r="D64">
        <v>0.008621573202270002</v>
      </c>
      <c r="E64">
        <v>-0.04283457515429268</v>
      </c>
      <c r="F64">
        <v>0.075</v>
      </c>
      <c r="G64">
        <v>0.04037283032815697</v>
      </c>
      <c r="H64" t="s">
        <v>635</v>
      </c>
      <c r="I64" t="s">
        <v>420</v>
      </c>
    </row>
    <row r="65" spans="1:9">
      <c r="A65" s="1" t="s">
        <v>72</v>
      </c>
      <c r="B65">
        <f>HYPERLINK("https://www.suredividend.com/sure-analysis-TR/","Tootsie Roll Industries, Inc.")</f>
        <v>0</v>
      </c>
      <c r="C65" t="s">
        <v>631</v>
      </c>
      <c r="D65">
        <v>0.011279264544523</v>
      </c>
      <c r="E65">
        <v>-0.002941603609739274</v>
      </c>
      <c r="F65">
        <v>0.03</v>
      </c>
      <c r="G65">
        <v>0.0370575868741605</v>
      </c>
      <c r="H65" t="s">
        <v>635</v>
      </c>
      <c r="I65" t="s">
        <v>381</v>
      </c>
    </row>
    <row r="66" spans="1:9">
      <c r="A66" s="1" t="s">
        <v>73</v>
      </c>
      <c r="B66">
        <f>HYPERLINK("https://www.suredividend.com/sure-analysis-NWN/","Northwest Natural Holding Co.")</f>
        <v>0</v>
      </c>
      <c r="C66" t="s">
        <v>631</v>
      </c>
      <c r="D66">
        <v>0.03513612950699</v>
      </c>
      <c r="E66">
        <v>-0.02756533520359794</v>
      </c>
      <c r="F66">
        <v>0.029</v>
      </c>
      <c r="G66">
        <v>0.03582738265728702</v>
      </c>
      <c r="H66" t="s">
        <v>635</v>
      </c>
      <c r="I66" t="s">
        <v>635</v>
      </c>
    </row>
    <row r="67" spans="1:9">
      <c r="A67" s="1" t="s">
        <v>74</v>
      </c>
      <c r="B67">
        <f>HYPERLINK("https://www.suredividend.com/sure-analysis-PH/","Parker-Hannifin Corp.")</f>
        <v>0</v>
      </c>
      <c r="C67" t="s">
        <v>631</v>
      </c>
      <c r="D67">
        <v>0.017215239399422</v>
      </c>
      <c r="E67">
        <v>-0.07528029136474679</v>
      </c>
      <c r="F67">
        <v>0.1</v>
      </c>
      <c r="G67">
        <v>0.03558035168521156</v>
      </c>
      <c r="H67" t="s">
        <v>635</v>
      </c>
      <c r="I67" t="s">
        <v>636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631</v>
      </c>
      <c r="D68">
        <v>0.017737556561085</v>
      </c>
      <c r="E68">
        <v>-0.05877539365988926</v>
      </c>
      <c r="F68">
        <v>0.08</v>
      </c>
      <c r="G68">
        <v>0.03480337484081608</v>
      </c>
      <c r="H68" t="s">
        <v>635</v>
      </c>
      <c r="I68" t="s">
        <v>636</v>
      </c>
    </row>
    <row r="69" spans="1:9">
      <c r="A69" s="1" t="s">
        <v>76</v>
      </c>
      <c r="B69">
        <f>HYPERLINK("https://www.suredividend.com/sure-analysis-BRC/","Brady Corp.")</f>
        <v>0</v>
      </c>
      <c r="C69" t="s">
        <v>631</v>
      </c>
      <c r="D69">
        <v>0.017606350498676</v>
      </c>
      <c r="E69">
        <v>-0.03044990783568369</v>
      </c>
      <c r="F69">
        <v>0.05</v>
      </c>
      <c r="G69">
        <v>0.03419663791384253</v>
      </c>
      <c r="H69" t="s">
        <v>635</v>
      </c>
      <c r="I69" t="s">
        <v>636</v>
      </c>
    </row>
    <row r="70" spans="1:9">
      <c r="A70" s="1" t="s">
        <v>77</v>
      </c>
      <c r="B70">
        <f>HYPERLINK("https://www.suredividend.com/sure-analysis-TROW/","T. Rowe Price Group, Inc.")</f>
        <v>0</v>
      </c>
      <c r="C70" t="s">
        <v>631</v>
      </c>
      <c r="D70">
        <v>0.023943458820135</v>
      </c>
      <c r="E70">
        <v>-0.04228917590254799</v>
      </c>
      <c r="F70">
        <v>0.05</v>
      </c>
      <c r="G70">
        <v>0.03338656545705643</v>
      </c>
      <c r="H70" t="s">
        <v>635</v>
      </c>
      <c r="I70" t="s">
        <v>636</v>
      </c>
    </row>
    <row r="71" spans="1:9">
      <c r="A71" s="1" t="s">
        <v>78</v>
      </c>
      <c r="B71">
        <f>HYPERLINK("https://www.suredividend.com/sure-analysis-BRO/","Brown &amp; Brown, Inc.")</f>
        <v>0</v>
      </c>
      <c r="C71" t="s">
        <v>631</v>
      </c>
      <c r="D71">
        <v>0.007402569126932001</v>
      </c>
      <c r="E71">
        <v>-0.05178585977514327</v>
      </c>
      <c r="F71">
        <v>0.08</v>
      </c>
      <c r="G71">
        <v>0.03272353168188213</v>
      </c>
      <c r="H71" t="s">
        <v>635</v>
      </c>
      <c r="I71" t="s">
        <v>381</v>
      </c>
    </row>
    <row r="72" spans="1:9">
      <c r="A72" s="1" t="s">
        <v>79</v>
      </c>
      <c r="B72">
        <f>HYPERLINK("https://www.suredividend.com/sure-analysis-TGT/","Target Corp.")</f>
        <v>0</v>
      </c>
      <c r="C72" t="s">
        <v>631</v>
      </c>
      <c r="D72">
        <v>0.019858582819316</v>
      </c>
      <c r="E72">
        <v>-0.04985543173549134</v>
      </c>
      <c r="F72">
        <v>0.06</v>
      </c>
      <c r="G72">
        <v>0.02941405211129555</v>
      </c>
      <c r="H72" t="s">
        <v>635</v>
      </c>
      <c r="I72" t="s">
        <v>636</v>
      </c>
    </row>
    <row r="73" spans="1:9">
      <c r="A73" s="1" t="s">
        <v>80</v>
      </c>
      <c r="B73">
        <f>HYPERLINK("https://www.suredividend.com/sure-analysis-AAP/","Advance Auto Parts, Inc.")</f>
        <v>0</v>
      </c>
      <c r="C73" t="s">
        <v>631</v>
      </c>
      <c r="D73">
        <v>0.002804591703626</v>
      </c>
      <c r="E73">
        <v>-0.07301598873072823</v>
      </c>
      <c r="F73">
        <v>0.1</v>
      </c>
      <c r="G73">
        <v>0.02666322295026546</v>
      </c>
      <c r="H73" t="s">
        <v>635</v>
      </c>
      <c r="I73" t="s">
        <v>420</v>
      </c>
    </row>
    <row r="74" spans="1:9">
      <c r="A74" s="1" t="s">
        <v>81</v>
      </c>
      <c r="B74">
        <f>HYPERLINK("https://www.suredividend.com/sure-analysis-TSCO/","Tractor Supply Co.")</f>
        <v>0</v>
      </c>
      <c r="C74" t="s">
        <v>631</v>
      </c>
      <c r="D74">
        <v>0.009514101257220001</v>
      </c>
      <c r="E74">
        <v>-0.05565460224621421</v>
      </c>
      <c r="F74">
        <v>0.075</v>
      </c>
      <c r="G74">
        <v>0.0262345259245178</v>
      </c>
      <c r="H74" t="s">
        <v>635</v>
      </c>
      <c r="I74" t="s">
        <v>420</v>
      </c>
    </row>
    <row r="75" spans="1:9">
      <c r="A75" s="1" t="s">
        <v>82</v>
      </c>
      <c r="B75">
        <f>HYPERLINK("https://www.suredividend.com/sure-analysis-EMR/","Emerson Electric Co.")</f>
        <v>0</v>
      </c>
      <c r="C75" t="s">
        <v>631</v>
      </c>
      <c r="D75">
        <v>0.029191726565938</v>
      </c>
      <c r="E75">
        <v>-0.05136303554982413</v>
      </c>
      <c r="F75">
        <v>0.05</v>
      </c>
      <c r="G75">
        <v>0.0258583201460072</v>
      </c>
      <c r="H75" t="s">
        <v>635</v>
      </c>
      <c r="I75" t="s">
        <v>635</v>
      </c>
    </row>
    <row r="76" spans="1:9">
      <c r="A76" s="1" t="s">
        <v>83</v>
      </c>
      <c r="B76">
        <f>HYPERLINK("https://www.suredividend.com/sure-analysis-MSA/","MSA Safety, Inc.")</f>
        <v>0</v>
      </c>
      <c r="C76" t="s">
        <v>631</v>
      </c>
      <c r="D76">
        <v>0.013530824659727</v>
      </c>
      <c r="E76">
        <v>-0.05712307934729766</v>
      </c>
      <c r="F76">
        <v>0.07000000000000001</v>
      </c>
      <c r="G76">
        <v>0.02550764165169106</v>
      </c>
      <c r="H76" t="s">
        <v>635</v>
      </c>
      <c r="I76" t="s">
        <v>636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631</v>
      </c>
      <c r="D77">
        <v>0.013498920086393</v>
      </c>
      <c r="E77">
        <v>-0.06749312674224583</v>
      </c>
      <c r="F77">
        <v>0.08</v>
      </c>
      <c r="G77">
        <v>0.02503612421365875</v>
      </c>
      <c r="H77" t="s">
        <v>635</v>
      </c>
      <c r="I77" t="s">
        <v>381</v>
      </c>
    </row>
    <row r="78" spans="1:9">
      <c r="A78" s="1" t="s">
        <v>85</v>
      </c>
      <c r="B78">
        <f>HYPERLINK("https://www.suredividend.com/sure-analysis-COST/","Costco Wholesale Corp.")</f>
        <v>0</v>
      </c>
      <c r="C78" t="s">
        <v>631</v>
      </c>
      <c r="D78">
        <v>0.007794117647058001</v>
      </c>
      <c r="E78">
        <v>-0.07822552122579807</v>
      </c>
      <c r="F78">
        <v>0.1</v>
      </c>
      <c r="G78">
        <v>0.02444687009897595</v>
      </c>
      <c r="H78" t="s">
        <v>635</v>
      </c>
      <c r="I78" t="s">
        <v>420</v>
      </c>
    </row>
    <row r="79" spans="1:9">
      <c r="A79" s="1" t="s">
        <v>86</v>
      </c>
      <c r="B79">
        <f>HYPERLINK("https://www.suredividend.com/sure-analysis-ROP/","Roper Technologies, Inc.")</f>
        <v>0</v>
      </c>
      <c r="C79" t="s">
        <v>631</v>
      </c>
      <c r="D79">
        <v>0.004531858968548</v>
      </c>
      <c r="E79">
        <v>-0.06120249592741778</v>
      </c>
      <c r="F79">
        <v>0.08500000000000001</v>
      </c>
      <c r="G79">
        <v>0.02424292012646734</v>
      </c>
      <c r="H79" t="s">
        <v>635</v>
      </c>
      <c r="I79" t="s">
        <v>381</v>
      </c>
    </row>
    <row r="80" spans="1:9">
      <c r="A80" s="1" t="s">
        <v>87</v>
      </c>
      <c r="B80">
        <f>HYPERLINK("https://www.suredividend.com/sure-analysis-THFF/","First Financial Corp. (Indiana)")</f>
        <v>0</v>
      </c>
      <c r="C80" t="s">
        <v>631</v>
      </c>
      <c r="D80">
        <v>0.029221691486372</v>
      </c>
      <c r="E80">
        <v>-0.005120395204030626</v>
      </c>
      <c r="F80">
        <v>0</v>
      </c>
      <c r="G80">
        <v>0.0235842747059809</v>
      </c>
      <c r="H80" t="s">
        <v>635</v>
      </c>
      <c r="I80" t="s">
        <v>635</v>
      </c>
    </row>
    <row r="81" spans="1:9">
      <c r="A81" s="1" t="s">
        <v>88</v>
      </c>
      <c r="B81">
        <f>HYPERLINK("https://www.suredividend.com/sure-analysis-GRC/","The Gorman-Rupp Co.")</f>
        <v>0</v>
      </c>
      <c r="C81" t="s">
        <v>631</v>
      </c>
      <c r="D81">
        <v>0.016893894487255</v>
      </c>
      <c r="E81">
        <v>-0.07076261993262511</v>
      </c>
      <c r="F81">
        <v>0.08</v>
      </c>
      <c r="G81">
        <v>0.02082214014127337</v>
      </c>
      <c r="H81" t="s">
        <v>635</v>
      </c>
      <c r="I81" t="s">
        <v>381</v>
      </c>
    </row>
    <row r="82" spans="1:9">
      <c r="A82" s="1" t="s">
        <v>89</v>
      </c>
      <c r="B82">
        <f>HYPERLINK("https://www.suredividend.com/sure-analysis-CLX/","The Clorox Co.")</f>
        <v>0</v>
      </c>
      <c r="C82" t="s">
        <v>631</v>
      </c>
      <c r="D82">
        <v>0.018383613301336</v>
      </c>
      <c r="E82">
        <v>-0.04672167772566893</v>
      </c>
      <c r="F82">
        <v>0.045</v>
      </c>
      <c r="G82">
        <v>0.01803885841804664</v>
      </c>
      <c r="H82" t="s">
        <v>635</v>
      </c>
      <c r="I82" t="s">
        <v>381</v>
      </c>
    </row>
    <row r="83" spans="1:9">
      <c r="A83" s="1" t="s">
        <v>90</v>
      </c>
      <c r="B83">
        <f>HYPERLINK("https://www.suredividend.com/sure-analysis-MSFT/","Microsoft Corp.")</f>
        <v>0</v>
      </c>
      <c r="C83" t="s">
        <v>631</v>
      </c>
      <c r="D83">
        <v>0.009795918367346002</v>
      </c>
      <c r="E83">
        <v>-0.07750286435909159</v>
      </c>
      <c r="F83">
        <v>0.09</v>
      </c>
      <c r="G83">
        <v>0.01800078726179533</v>
      </c>
      <c r="H83" t="s">
        <v>635</v>
      </c>
      <c r="I83" t="s">
        <v>420</v>
      </c>
    </row>
    <row r="84" spans="1:9">
      <c r="A84" s="1" t="s">
        <v>91</v>
      </c>
      <c r="B84">
        <f>HYPERLINK("https://www.suredividend.com/sure-analysis-CHD/","Church &amp; Dwight Co., Inc.")</f>
        <v>0</v>
      </c>
      <c r="C84" t="s">
        <v>631</v>
      </c>
      <c r="D84">
        <v>0.009864950411479001</v>
      </c>
      <c r="E84">
        <v>-0.06011121757628113</v>
      </c>
      <c r="F84">
        <v>0.07000000000000001</v>
      </c>
      <c r="G84">
        <v>0.01786076775195844</v>
      </c>
      <c r="H84" t="s">
        <v>635</v>
      </c>
      <c r="I84" t="s">
        <v>381</v>
      </c>
    </row>
    <row r="85" spans="1:9">
      <c r="A85" s="1" t="s">
        <v>92</v>
      </c>
      <c r="B85">
        <f>HYPERLINK("https://www.suredividend.com/sure-analysis-GWW/","W.W. Grainger, Inc.")</f>
        <v>0</v>
      </c>
      <c r="C85" t="s">
        <v>631</v>
      </c>
      <c r="D85">
        <v>0.016360382878404</v>
      </c>
      <c r="E85">
        <v>-0.08609458725212538</v>
      </c>
      <c r="F85">
        <v>0.094</v>
      </c>
      <c r="G85">
        <v>0.01755934526499225</v>
      </c>
      <c r="H85" t="s">
        <v>635</v>
      </c>
      <c r="I85" t="s">
        <v>636</v>
      </c>
    </row>
    <row r="86" spans="1:9">
      <c r="A86" s="1" t="s">
        <v>93</v>
      </c>
      <c r="B86">
        <f>HYPERLINK("https://www.suredividend.com/sure-analysis-SHW/","The Sherwin-Williams Co.")</f>
        <v>0</v>
      </c>
      <c r="C86" t="s">
        <v>631</v>
      </c>
      <c r="D86">
        <v>0.007585412667946</v>
      </c>
      <c r="E86">
        <v>-0.06228807790741553</v>
      </c>
      <c r="F86">
        <v>0.07000000000000001</v>
      </c>
      <c r="G86">
        <v>0.01401690489912899</v>
      </c>
      <c r="H86" t="s">
        <v>635</v>
      </c>
      <c r="I86" t="s">
        <v>381</v>
      </c>
    </row>
    <row r="87" spans="1:9">
      <c r="A87" s="1" t="s">
        <v>94</v>
      </c>
      <c r="B87">
        <f>HYPERLINK("https://www.suredividend.com/sure-analysis-ABT/","Abbott Laboratories")</f>
        <v>0</v>
      </c>
      <c r="C87" t="s">
        <v>631</v>
      </c>
      <c r="D87">
        <v>0.013994402239104</v>
      </c>
      <c r="E87">
        <v>-0.07800381854838967</v>
      </c>
      <c r="F87">
        <v>0.08</v>
      </c>
      <c r="G87">
        <v>0.013846461422101</v>
      </c>
      <c r="H87" t="s">
        <v>635</v>
      </c>
      <c r="I87" t="s">
        <v>381</v>
      </c>
    </row>
    <row r="88" spans="1:9">
      <c r="A88" s="1" t="s">
        <v>95</v>
      </c>
      <c r="B88">
        <f>HYPERLINK("https://www.suredividend.com/sure-analysis-SJW/","SJW Group")</f>
        <v>0</v>
      </c>
      <c r="C88" t="s">
        <v>631</v>
      </c>
      <c r="D88">
        <v>0.017450042217844</v>
      </c>
      <c r="E88">
        <v>-0.07908894848625947</v>
      </c>
      <c r="F88">
        <v>0.076</v>
      </c>
      <c r="G88">
        <v>0.01140449129319454</v>
      </c>
      <c r="H88" t="s">
        <v>635</v>
      </c>
      <c r="I88" t="s">
        <v>381</v>
      </c>
    </row>
    <row r="89" spans="1:9">
      <c r="A89" s="1" t="s">
        <v>96</v>
      </c>
      <c r="B89">
        <f>HYPERLINK("https://www.suredividend.com/sure-analysis-CINF/","Cincinnati Financial Corp.")</f>
        <v>0</v>
      </c>
      <c r="C89" t="s">
        <v>631</v>
      </c>
      <c r="D89">
        <v>0.02781107648046</v>
      </c>
      <c r="E89">
        <v>-0.03370472437277405</v>
      </c>
      <c r="F89">
        <v>0.01</v>
      </c>
      <c r="G89">
        <v>0.01036568293713835</v>
      </c>
      <c r="H89" t="s">
        <v>635</v>
      </c>
      <c r="I89" t="s">
        <v>635</v>
      </c>
    </row>
    <row r="90" spans="1:9">
      <c r="A90" s="1" t="s">
        <v>97</v>
      </c>
      <c r="B90">
        <f>HYPERLINK("https://www.suredividend.com/sure-analysis-PG/","Procter &amp; Gamble Co.")</f>
        <v>0</v>
      </c>
      <c r="C90" t="s">
        <v>631</v>
      </c>
      <c r="D90">
        <v>0.022583146905294</v>
      </c>
      <c r="E90">
        <v>-0.06344380475803413</v>
      </c>
      <c r="F90">
        <v>0.05</v>
      </c>
      <c r="G90">
        <v>0.009347392302500035</v>
      </c>
      <c r="H90" t="s">
        <v>635</v>
      </c>
      <c r="I90" t="s">
        <v>636</v>
      </c>
    </row>
    <row r="91" spans="1:9">
      <c r="A91" s="1" t="s">
        <v>98</v>
      </c>
      <c r="B91">
        <f>HYPERLINK("https://www.suredividend.com/sure-analysis-SWK/","Stanley Black &amp; Decker, Inc.")</f>
        <v>0</v>
      </c>
      <c r="C91" t="s">
        <v>631</v>
      </c>
      <c r="D91">
        <v>0.017253234981559</v>
      </c>
      <c r="E91">
        <v>-0.08770783121297021</v>
      </c>
      <c r="F91">
        <v>0.08</v>
      </c>
      <c r="G91">
        <v>0.007555927455052958</v>
      </c>
      <c r="H91" t="s">
        <v>635</v>
      </c>
      <c r="I91" t="s">
        <v>636</v>
      </c>
    </row>
    <row r="92" spans="1:9">
      <c r="A92" s="1" t="s">
        <v>99</v>
      </c>
      <c r="B92">
        <f>HYPERLINK("https://www.suredividend.com/sure-analysis-WMT/","Walmart, Inc.")</f>
        <v>0</v>
      </c>
      <c r="C92" t="s">
        <v>631</v>
      </c>
      <c r="D92">
        <v>0.016151046405823</v>
      </c>
      <c r="E92">
        <v>-0.06109311400436124</v>
      </c>
      <c r="F92">
        <v>0.05</v>
      </c>
      <c r="G92">
        <v>0.005451722854532326</v>
      </c>
      <c r="H92" t="s">
        <v>635</v>
      </c>
      <c r="I92" t="s">
        <v>636</v>
      </c>
    </row>
    <row r="93" spans="1:9">
      <c r="A93" s="1" t="s">
        <v>100</v>
      </c>
      <c r="B93">
        <f>HYPERLINK("https://www.suredividend.com/sure-analysis-PPG/","PPG Industries, Inc.")</f>
        <v>0</v>
      </c>
      <c r="C93" t="s">
        <v>631</v>
      </c>
      <c r="D93">
        <v>0.017625712804561</v>
      </c>
      <c r="E93">
        <v>-0.09106217413794904</v>
      </c>
      <c r="F93">
        <v>0.08</v>
      </c>
      <c r="G93">
        <v>0.004890334778691274</v>
      </c>
      <c r="H93" t="s">
        <v>635</v>
      </c>
      <c r="I93" t="s">
        <v>636</v>
      </c>
    </row>
    <row r="94" spans="1:9">
      <c r="A94" s="1" t="s">
        <v>101</v>
      </c>
      <c r="B94">
        <f>HYPERLINK("https://www.suredividend.com/sure-analysis-CNI/","Canadian National Railway Co.")</f>
        <v>0</v>
      </c>
      <c r="C94" t="s">
        <v>631</v>
      </c>
      <c r="D94">
        <v>0.01633046084216</v>
      </c>
      <c r="E94">
        <v>-0.08033156162936284</v>
      </c>
      <c r="F94">
        <v>0.07000000000000001</v>
      </c>
      <c r="G94">
        <v>0.004325833736079865</v>
      </c>
      <c r="H94" t="s">
        <v>635</v>
      </c>
      <c r="I94" t="s">
        <v>381</v>
      </c>
    </row>
    <row r="95" spans="1:9">
      <c r="A95" s="1" t="s">
        <v>102</v>
      </c>
      <c r="B95">
        <f>HYPERLINK("https://www.suredividend.com/sure-analysis-BAM/","Brookfield Asset Management, Inc.")</f>
        <v>0</v>
      </c>
      <c r="C95" t="s">
        <v>631</v>
      </c>
      <c r="D95">
        <v>0.013412684203998</v>
      </c>
      <c r="E95">
        <v>-0.04421322228584823</v>
      </c>
      <c r="F95">
        <v>0.03</v>
      </c>
      <c r="G95">
        <v>0.001836754080542846</v>
      </c>
      <c r="H95" t="s">
        <v>635</v>
      </c>
      <c r="I95" t="s">
        <v>420</v>
      </c>
    </row>
    <row r="96" spans="1:9">
      <c r="A96" s="1" t="s">
        <v>103</v>
      </c>
      <c r="B96">
        <f>HYPERLINK("https://www.suredividend.com/sure-analysis-EBAY/","eBay, Inc.")</f>
        <v>0</v>
      </c>
      <c r="C96" t="s">
        <v>631</v>
      </c>
      <c r="D96">
        <v>0.011035497517013</v>
      </c>
      <c r="E96">
        <v>-0.07884538480907954</v>
      </c>
      <c r="F96">
        <v>0.07000000000000001</v>
      </c>
      <c r="G96">
        <v>-0.0005739092186264338</v>
      </c>
      <c r="H96" t="s">
        <v>635</v>
      </c>
      <c r="I96" t="s">
        <v>420</v>
      </c>
    </row>
    <row r="97" spans="1:9">
      <c r="A97" s="1" t="s">
        <v>104</v>
      </c>
      <c r="B97">
        <f>HYPERLINK("https://www.suredividend.com/sure-analysis-FELE/","Franklin Electric Co., Inc.")</f>
        <v>0</v>
      </c>
      <c r="C97" t="s">
        <v>631</v>
      </c>
      <c r="D97">
        <v>0.010023387905111</v>
      </c>
      <c r="E97">
        <v>-0.11982037478819</v>
      </c>
      <c r="F97">
        <v>0.12</v>
      </c>
      <c r="G97">
        <v>-0.001295703089299716</v>
      </c>
      <c r="H97" t="s">
        <v>635</v>
      </c>
      <c r="I97" t="s">
        <v>381</v>
      </c>
    </row>
    <row r="98" spans="1:9">
      <c r="A98" s="1" t="s">
        <v>105</v>
      </c>
      <c r="B98">
        <f>HYPERLINK("https://www.suredividend.com/sure-analysis-ECL/","Ecolab, Inc.")</f>
        <v>0</v>
      </c>
      <c r="C98" t="s">
        <v>631</v>
      </c>
      <c r="D98">
        <v>0.009575012800819</v>
      </c>
      <c r="E98">
        <v>-0.1443427241395185</v>
      </c>
      <c r="F98">
        <v>0.15</v>
      </c>
      <c r="G98">
        <v>-0.002988064628462905</v>
      </c>
      <c r="H98" t="s">
        <v>635</v>
      </c>
      <c r="I98" t="s">
        <v>381</v>
      </c>
    </row>
    <row r="99" spans="1:9">
      <c r="A99" s="1" t="s">
        <v>106</v>
      </c>
      <c r="B99">
        <f>HYPERLINK("https://www.suredividend.com/sure-analysis-LANC/","Lancaster Colony Corp.")</f>
        <v>0</v>
      </c>
      <c r="C99" t="s">
        <v>631</v>
      </c>
      <c r="D99">
        <v>0.016104020040558</v>
      </c>
      <c r="E99">
        <v>-0.07188337670463807</v>
      </c>
      <c r="F99">
        <v>0.04</v>
      </c>
      <c r="G99">
        <v>-0.01350774783868958</v>
      </c>
      <c r="H99" t="s">
        <v>635</v>
      </c>
      <c r="I99" t="s">
        <v>636</v>
      </c>
    </row>
    <row r="100" spans="1:9">
      <c r="A100" s="1" t="s">
        <v>107</v>
      </c>
      <c r="B100">
        <f>HYPERLINK("https://www.suredividend.com/sure-analysis-TMP/","Tompkins Financial Corp.")</f>
        <v>0</v>
      </c>
      <c r="C100" t="s">
        <v>631</v>
      </c>
      <c r="D100">
        <v>0.029798929553016</v>
      </c>
      <c r="E100">
        <v>-0.05155186735547257</v>
      </c>
      <c r="F100">
        <v>0</v>
      </c>
      <c r="G100">
        <v>-0.01356736377535805</v>
      </c>
      <c r="H100" t="s">
        <v>635</v>
      </c>
      <c r="I100" t="s">
        <v>636</v>
      </c>
    </row>
    <row r="101" spans="1:9">
      <c r="A101" s="1" t="s">
        <v>108</v>
      </c>
      <c r="B101">
        <f>HYPERLINK("https://www.suredividend.com/sure-analysis-ATR/","AptarGroup, Inc.")</f>
        <v>0</v>
      </c>
      <c r="C101" t="s">
        <v>631</v>
      </c>
      <c r="D101">
        <v>0.012307692307692</v>
      </c>
      <c r="E101">
        <v>-0.08468977298152613</v>
      </c>
      <c r="F101">
        <v>0.06</v>
      </c>
      <c r="G101">
        <v>-0.01411982385865562</v>
      </c>
      <c r="H101" t="s">
        <v>635</v>
      </c>
      <c r="I101" t="s">
        <v>381</v>
      </c>
    </row>
    <row r="102" spans="1:9">
      <c r="A102" s="1" t="s">
        <v>109</v>
      </c>
      <c r="B102">
        <f>HYPERLINK("https://www.suredividend.com/sure-analysis-MGEE/","MGE Energy, Inc.")</f>
        <v>0</v>
      </c>
      <c r="C102" t="s">
        <v>631</v>
      </c>
      <c r="D102">
        <v>0.020747498528546</v>
      </c>
      <c r="E102">
        <v>-0.07685034187685325</v>
      </c>
      <c r="F102">
        <v>0.04</v>
      </c>
      <c r="G102">
        <v>-0.01447202681936854</v>
      </c>
      <c r="H102" t="s">
        <v>635</v>
      </c>
      <c r="I102" t="s">
        <v>636</v>
      </c>
    </row>
    <row r="103" spans="1:9">
      <c r="A103" s="1" t="s">
        <v>110</v>
      </c>
      <c r="B103">
        <f>HYPERLINK("https://www.suredividend.com/sure-analysis-AWR/","American States Water Co.")</f>
        <v>0</v>
      </c>
      <c r="C103" t="s">
        <v>631</v>
      </c>
      <c r="D103">
        <v>0.015278647463994</v>
      </c>
      <c r="E103">
        <v>-0.06111714971301718</v>
      </c>
      <c r="F103">
        <v>0.027</v>
      </c>
      <c r="G103">
        <v>-0.01524613327667212</v>
      </c>
      <c r="H103" t="s">
        <v>635</v>
      </c>
      <c r="I103" t="s">
        <v>636</v>
      </c>
    </row>
    <row r="104" spans="1:9">
      <c r="A104" s="1" t="s">
        <v>111</v>
      </c>
      <c r="B104">
        <f>HYPERLINK("https://www.suredividend.com/sure-analysis-HRL/","Hormel Foods Corp.")</f>
        <v>0</v>
      </c>
      <c r="C104" t="s">
        <v>631</v>
      </c>
      <c r="D104">
        <v>0.017025779145825</v>
      </c>
      <c r="E104">
        <v>-0.08484792828476462</v>
      </c>
      <c r="F104">
        <v>0.05</v>
      </c>
      <c r="G104">
        <v>-0.01560627553594107</v>
      </c>
      <c r="H104" t="s">
        <v>635</v>
      </c>
      <c r="I104" t="s">
        <v>636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631</v>
      </c>
      <c r="D105">
        <v>0.013728813559322</v>
      </c>
      <c r="E105">
        <v>-0.09916924155668205</v>
      </c>
      <c r="F105">
        <v>0.07000000000000001</v>
      </c>
      <c r="G105">
        <v>-0.01626945313616546</v>
      </c>
      <c r="H105" t="s">
        <v>635</v>
      </c>
      <c r="I105" t="s">
        <v>381</v>
      </c>
    </row>
    <row r="106" spans="1:9">
      <c r="A106" s="1" t="s">
        <v>113</v>
      </c>
      <c r="B106">
        <f>HYPERLINK("https://www.suredividend.com/sure-analysis-SCL/","Stepan Co.")</f>
        <v>0</v>
      </c>
      <c r="C106" t="s">
        <v>631</v>
      </c>
      <c r="D106">
        <v>0.009417433201927001</v>
      </c>
      <c r="E106">
        <v>-0.07670594940134545</v>
      </c>
      <c r="F106">
        <v>0.05</v>
      </c>
      <c r="G106">
        <v>-0.01714581117419012</v>
      </c>
      <c r="H106" t="s">
        <v>635</v>
      </c>
      <c r="I106" t="s">
        <v>381</v>
      </c>
    </row>
    <row r="107" spans="1:9">
      <c r="A107" s="1" t="s">
        <v>114</v>
      </c>
      <c r="B107">
        <f>HYPERLINK("https://www.suredividend.com/sure-analysis-MKC/","McCormick &amp; Co., Inc.")</f>
        <v>0</v>
      </c>
      <c r="C107" t="s">
        <v>631</v>
      </c>
      <c r="D107">
        <v>0.011792686552373</v>
      </c>
      <c r="E107">
        <v>-0.1107037636268108</v>
      </c>
      <c r="F107">
        <v>0.08</v>
      </c>
      <c r="G107">
        <v>-0.0210472379599691</v>
      </c>
      <c r="H107" t="s">
        <v>635</v>
      </c>
      <c r="I107" t="s">
        <v>381</v>
      </c>
    </row>
    <row r="108" spans="1:9">
      <c r="A108" s="1" t="s">
        <v>115</v>
      </c>
      <c r="B108">
        <f>HYPERLINK("https://www.suredividend.com/sure-analysis-CARR/","Carrier Global Corp.")</f>
        <v>0</v>
      </c>
      <c r="C108" t="s">
        <v>631</v>
      </c>
      <c r="D108">
        <v>0.002715546503733</v>
      </c>
      <c r="E108">
        <v>-0.09401804738287101</v>
      </c>
      <c r="F108">
        <v>0.06</v>
      </c>
      <c r="G108">
        <v>-0.02301285931759478</v>
      </c>
      <c r="H108" t="s">
        <v>635</v>
      </c>
      <c r="I108" t="s">
        <v>381</v>
      </c>
    </row>
    <row r="109" spans="1:9">
      <c r="A109" s="1" t="s">
        <v>116</v>
      </c>
      <c r="B109">
        <f>HYPERLINK("https://www.suredividend.com/sure-analysis-EXPD/","Expeditors International of Washington, Inc.")</f>
        <v>0</v>
      </c>
      <c r="C109" t="s">
        <v>631</v>
      </c>
      <c r="D109">
        <v>0.011973236295339</v>
      </c>
      <c r="E109">
        <v>-0.08810796941393617</v>
      </c>
      <c r="F109">
        <v>0.05</v>
      </c>
      <c r="G109">
        <v>-0.02628603533769047</v>
      </c>
      <c r="H109" t="s">
        <v>635</v>
      </c>
      <c r="I109" t="s">
        <v>381</v>
      </c>
    </row>
    <row r="110" spans="1:9">
      <c r="A110" s="1" t="s">
        <v>117</v>
      </c>
      <c r="B110">
        <f>HYPERLINK("https://www.suredividend.com/sure-analysis-OTIS/","Otis Worldwide Corp.")</f>
        <v>0</v>
      </c>
      <c r="C110" t="s">
        <v>631</v>
      </c>
      <c r="D110">
        <v>0.003067014261616</v>
      </c>
      <c r="E110">
        <v>-0.1097257783693886</v>
      </c>
      <c r="F110">
        <v>0.07000000000000001</v>
      </c>
      <c r="G110">
        <v>-0.02953658093277223</v>
      </c>
      <c r="H110" t="s">
        <v>635</v>
      </c>
      <c r="I110" t="s">
        <v>381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631</v>
      </c>
      <c r="D111">
        <v>0.009806916426512</v>
      </c>
      <c r="E111">
        <v>-0.109408399846346</v>
      </c>
      <c r="F111">
        <v>0.07000000000000001</v>
      </c>
      <c r="G111">
        <v>-0.03289007237233232</v>
      </c>
      <c r="H111" t="s">
        <v>635</v>
      </c>
      <c r="I111" t="s">
        <v>420</v>
      </c>
    </row>
    <row r="112" spans="1:9">
      <c r="A112" s="1" t="s">
        <v>119</v>
      </c>
      <c r="B112">
        <f>HYPERLINK("https://www.suredividend.com/sure-analysis-AAPL/","Apple, Inc.")</f>
        <v>0</v>
      </c>
      <c r="C112" t="s">
        <v>631</v>
      </c>
      <c r="D112">
        <v>0.006941518263068</v>
      </c>
      <c r="E112">
        <v>-0.1276040884962134</v>
      </c>
      <c r="F112">
        <v>0.09</v>
      </c>
      <c r="G112">
        <v>-0.03740692694879266</v>
      </c>
      <c r="H112" t="s">
        <v>635</v>
      </c>
      <c r="I112" t="s">
        <v>420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631</v>
      </c>
      <c r="D113">
        <v>0.014545782263878</v>
      </c>
      <c r="E113">
        <v>-0.07832861533045476</v>
      </c>
      <c r="F113">
        <v>0.02</v>
      </c>
      <c r="G113">
        <v>-0.03942596969685419</v>
      </c>
      <c r="H113" t="s">
        <v>635</v>
      </c>
      <c r="I113" t="s">
        <v>381</v>
      </c>
    </row>
    <row r="114" spans="1:9">
      <c r="A114" s="1" t="s">
        <v>121</v>
      </c>
      <c r="B114">
        <f>HYPERLINK("https://www.suredividend.com/sure-analysis-RPM/","RPM International, Inc.")</f>
        <v>0</v>
      </c>
      <c r="C114" t="s">
        <v>631</v>
      </c>
      <c r="D114">
        <v>0.01703597807958</v>
      </c>
      <c r="E114">
        <v>-0.1095591293704985</v>
      </c>
      <c r="F114">
        <v>0.05</v>
      </c>
      <c r="G114">
        <v>-0.04031611124508683</v>
      </c>
      <c r="H114" t="s">
        <v>635</v>
      </c>
      <c r="I114" t="s">
        <v>636</v>
      </c>
    </row>
    <row r="115" spans="1:9">
      <c r="A115" s="1" t="s">
        <v>122</v>
      </c>
      <c r="B115">
        <f>HYPERLINK("https://www.suredividend.com/sure-analysis-JKHY/","Jack Henry &amp; Associates, Inc.")</f>
        <v>0</v>
      </c>
      <c r="C115" t="s">
        <v>631</v>
      </c>
      <c r="D115">
        <v>0.008869300250299</v>
      </c>
      <c r="E115">
        <v>-0.140082179474224</v>
      </c>
      <c r="F115">
        <v>0.095</v>
      </c>
      <c r="G115">
        <v>-0.04326315247272183</v>
      </c>
      <c r="H115" t="s">
        <v>635</v>
      </c>
      <c r="I115" t="s">
        <v>420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631</v>
      </c>
      <c r="D116">
        <v>0.008059418457648</v>
      </c>
      <c r="E116">
        <v>-0.1116718635098022</v>
      </c>
      <c r="F116">
        <v>0.06</v>
      </c>
      <c r="G116">
        <v>-0.04505461837694924</v>
      </c>
      <c r="H116" t="s">
        <v>635</v>
      </c>
      <c r="I116" t="s">
        <v>381</v>
      </c>
    </row>
    <row r="117" spans="1:9">
      <c r="A117" s="1" t="s">
        <v>124</v>
      </c>
      <c r="B117">
        <f>HYPERLINK("https://www.suredividend.com/sure-analysis-NDSN/","Nordson Corp.")</f>
        <v>0</v>
      </c>
      <c r="C117" t="s">
        <v>631</v>
      </c>
      <c r="D117">
        <v>0.007389406863717001</v>
      </c>
      <c r="E117">
        <v>-0.1283209524417174</v>
      </c>
      <c r="F117">
        <v>0.08</v>
      </c>
      <c r="G117">
        <v>-0.04690992030713315</v>
      </c>
      <c r="H117" t="s">
        <v>635</v>
      </c>
      <c r="I117" t="s">
        <v>381</v>
      </c>
    </row>
    <row r="118" spans="1:9">
      <c r="A118" s="1" t="s">
        <v>125</v>
      </c>
      <c r="B118">
        <f>HYPERLINK("https://www.suredividend.com/sure-analysis-ALB/","Albemarle Corp.")</f>
        <v>0</v>
      </c>
      <c r="C118" t="s">
        <v>631</v>
      </c>
      <c r="D118">
        <v>0.017255216693418</v>
      </c>
      <c r="E118">
        <v>-0.1500852071477663</v>
      </c>
      <c r="F118">
        <v>0.09</v>
      </c>
      <c r="G118">
        <v>-0.04701210911417497</v>
      </c>
      <c r="H118" t="s">
        <v>635</v>
      </c>
      <c r="I118" t="s">
        <v>381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631</v>
      </c>
      <c r="D119">
        <v>0.01674152715394</v>
      </c>
      <c r="E119">
        <v>-0.1084385804474958</v>
      </c>
      <c r="F119">
        <v>0.04</v>
      </c>
      <c r="G119">
        <v>-0.04754710264793482</v>
      </c>
      <c r="H119" t="s">
        <v>635</v>
      </c>
      <c r="I119" t="s">
        <v>381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631</v>
      </c>
      <c r="D120">
        <v>0.010196431249062</v>
      </c>
      <c r="E120">
        <v>-0.1161404481577305</v>
      </c>
      <c r="F120">
        <v>0.034</v>
      </c>
      <c r="G120">
        <v>-0.06763623551374298</v>
      </c>
      <c r="H120" t="s">
        <v>635</v>
      </c>
      <c r="I120" t="s">
        <v>420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0.010117493472584</v>
      </c>
      <c r="E121">
        <v>-0.121816758386878</v>
      </c>
      <c r="F121">
        <v>0.03</v>
      </c>
      <c r="G121">
        <v>-0.07827610440327026</v>
      </c>
      <c r="H121" t="s">
        <v>635</v>
      </c>
      <c r="I121" t="s">
        <v>381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0.002402582776484</v>
      </c>
      <c r="E122">
        <v>-0.1904270061954967</v>
      </c>
      <c r="F122">
        <v>0.09</v>
      </c>
      <c r="G122">
        <v>-0.1125679046768414</v>
      </c>
      <c r="H122" t="s">
        <v>635</v>
      </c>
      <c r="I122" t="s">
        <v>381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0.127293754818812</v>
      </c>
      <c r="E123">
        <v>0.07048006597832912</v>
      </c>
      <c r="F123">
        <v>0.015</v>
      </c>
      <c r="G123">
        <v>0.1663668983072504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HYPERLINK("https://www.suredividend.com/sure-analysis-EPD/","Enterprise Products Partners LP")</f>
        <v>0</v>
      </c>
      <c r="C124" t="s">
        <v>632</v>
      </c>
      <c r="D124">
        <v>0.09680502457673401</v>
      </c>
      <c r="E124">
        <v>0.02914677898763718</v>
      </c>
      <c r="F124">
        <v>0.037</v>
      </c>
      <c r="G124">
        <v>0.1379668476497906</v>
      </c>
      <c r="H124" t="s">
        <v>636</v>
      </c>
      <c r="I124" t="s">
        <v>635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631</v>
      </c>
      <c r="D125">
        <v>0.030634947800787</v>
      </c>
      <c r="E125">
        <v>0.04720085112905359</v>
      </c>
      <c r="F125">
        <v>0.06</v>
      </c>
      <c r="G125">
        <v>0.1338696098077854</v>
      </c>
      <c r="H125" t="s">
        <v>636</v>
      </c>
      <c r="I125" t="s">
        <v>636</v>
      </c>
    </row>
    <row r="126" spans="1:9">
      <c r="A126" s="1" t="s">
        <v>133</v>
      </c>
      <c r="B126">
        <f>HYPERLINK("https://www.suredividend.com/sure-analysis-JW.A/","John Wiley &amp; Sons, Inc.")</f>
        <v>0</v>
      </c>
      <c r="C126" t="s">
        <v>631</v>
      </c>
      <c r="D126">
        <v>0.039511911679256</v>
      </c>
      <c r="E126">
        <v>0.05739126286945018</v>
      </c>
      <c r="F126">
        <v>0.045</v>
      </c>
      <c r="G126">
        <v>0.1322974060712259</v>
      </c>
      <c r="H126" t="s">
        <v>636</v>
      </c>
      <c r="I126" t="s">
        <v>636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631</v>
      </c>
      <c r="D127">
        <v>0.068543046357615</v>
      </c>
      <c r="E127">
        <v>0.05247438012039551</v>
      </c>
      <c r="F127">
        <v>0.03</v>
      </c>
      <c r="G127">
        <v>0.1322767512957788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HYPERLINK("https://www.suredividend.com/sure-analysis-INTC/","Intel Corp.")</f>
        <v>0</v>
      </c>
      <c r="C128" t="s">
        <v>631</v>
      </c>
      <c r="D128">
        <v>0.026208858187728</v>
      </c>
      <c r="E128">
        <v>0.05508084193375251</v>
      </c>
      <c r="F128">
        <v>0.05</v>
      </c>
      <c r="G128">
        <v>0.1281439827087838</v>
      </c>
      <c r="H128" t="s">
        <v>636</v>
      </c>
      <c r="I128" t="s">
        <v>636</v>
      </c>
    </row>
    <row r="129" spans="1:9">
      <c r="A129" s="1" t="s">
        <v>136</v>
      </c>
      <c r="B129">
        <f>HYPERLINK("https://www.suredividend.com/sure-analysis-MTB/","M&amp;T Bank Corp.")</f>
        <v>0</v>
      </c>
      <c r="C129" t="s">
        <v>631</v>
      </c>
      <c r="D129">
        <v>0.03942422297607</v>
      </c>
      <c r="E129">
        <v>0.03617302962461078</v>
      </c>
      <c r="F129">
        <v>0.057</v>
      </c>
      <c r="G129">
        <v>0.1239057786794371</v>
      </c>
      <c r="H129" t="s">
        <v>636</v>
      </c>
      <c r="I129" t="s">
        <v>636</v>
      </c>
    </row>
    <row r="130" spans="1:9">
      <c r="A130" s="1" t="s">
        <v>137</v>
      </c>
      <c r="B130">
        <f>HYPERLINK("https://www.suredividend.com/sure-analysis-PBCT/","People's United Financial, Inc.")</f>
        <v>0</v>
      </c>
      <c r="C130" t="s">
        <v>631</v>
      </c>
      <c r="D130">
        <v>0.06168831168831101</v>
      </c>
      <c r="E130">
        <v>0.03752294159170777</v>
      </c>
      <c r="F130">
        <v>0.04</v>
      </c>
      <c r="G130">
        <v>0.1228163423114386</v>
      </c>
      <c r="H130" t="s">
        <v>636</v>
      </c>
      <c r="I130" t="s">
        <v>635</v>
      </c>
    </row>
    <row r="131" spans="1:9">
      <c r="A131" s="1" t="s">
        <v>138</v>
      </c>
      <c r="B131">
        <f>HYPERLINK("https://www.suredividend.com/sure-analysis-BAYRY/","Bayer AG")</f>
        <v>0</v>
      </c>
      <c r="C131" t="s">
        <v>631</v>
      </c>
      <c r="D131">
        <v>0.045884476534296</v>
      </c>
      <c r="E131">
        <v>0.04789472714861764</v>
      </c>
      <c r="F131">
        <v>0.035</v>
      </c>
      <c r="G131">
        <v>0.1204647478922312</v>
      </c>
      <c r="H131" t="s">
        <v>636</v>
      </c>
      <c r="I131" t="s">
        <v>635</v>
      </c>
    </row>
    <row r="132" spans="1:9">
      <c r="A132" s="1" t="s">
        <v>139</v>
      </c>
      <c r="B132">
        <f>HYPERLINK("https://www.suredividend.com/sure-analysis-FRT/","Federal Realty Investment Trust")</f>
        <v>0</v>
      </c>
      <c r="C132" t="s">
        <v>633</v>
      </c>
      <c r="D132">
        <v>0.052349495201296</v>
      </c>
      <c r="E132">
        <v>0.009128479294022052</v>
      </c>
      <c r="F132">
        <v>0.06900000000000001</v>
      </c>
      <c r="G132">
        <v>0.1189243428240796</v>
      </c>
      <c r="H132" t="s">
        <v>636</v>
      </c>
      <c r="I132" t="s">
        <v>635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631</v>
      </c>
      <c r="D133">
        <v>0.024148384113446</v>
      </c>
      <c r="E133">
        <v>-0.00513460962639678</v>
      </c>
      <c r="F133">
        <v>0.1</v>
      </c>
      <c r="G133">
        <v>0.1151868772432203</v>
      </c>
      <c r="H133" t="s">
        <v>636</v>
      </c>
      <c r="I133" t="s">
        <v>636</v>
      </c>
    </row>
    <row r="134" spans="1:9">
      <c r="A134" s="1" t="s">
        <v>141</v>
      </c>
      <c r="B134">
        <f>HYPERLINK("https://www.suredividend.com/sure-analysis-CVS/","CVS Health Corp.")</f>
        <v>0</v>
      </c>
      <c r="C134" t="s">
        <v>631</v>
      </c>
      <c r="D134">
        <v>0.030436767615279</v>
      </c>
      <c r="E134">
        <v>0.03895324620083196</v>
      </c>
      <c r="F134">
        <v>0.05</v>
      </c>
      <c r="G134">
        <v>0.1149143471703364</v>
      </c>
      <c r="H134" t="s">
        <v>636</v>
      </c>
      <c r="I134" t="s">
        <v>636</v>
      </c>
    </row>
    <row r="135" spans="1:9">
      <c r="A135" s="1" t="s">
        <v>142</v>
      </c>
      <c r="B135">
        <f>HYPERLINK("https://www.suredividend.com/sure-analysis-SLF/","Sun Life Financial, Inc.")</f>
        <v>0</v>
      </c>
      <c r="C135" t="s">
        <v>631</v>
      </c>
      <c r="D135">
        <v>0.038555399379797</v>
      </c>
      <c r="E135">
        <v>0.00705602868275168</v>
      </c>
      <c r="F135">
        <v>0.07000000000000001</v>
      </c>
      <c r="G135">
        <v>0.1110641030123025</v>
      </c>
      <c r="H135" t="s">
        <v>636</v>
      </c>
      <c r="I135" t="s">
        <v>636</v>
      </c>
    </row>
    <row r="136" spans="1:9">
      <c r="A136" s="1" t="s">
        <v>143</v>
      </c>
      <c r="B136">
        <f>HYPERLINK("https://www.suredividend.com/sure-analysis-MO/","Altria Group, Inc.")</f>
        <v>0</v>
      </c>
      <c r="C136" t="s">
        <v>631</v>
      </c>
      <c r="D136">
        <v>0.07774178621008701</v>
      </c>
      <c r="E136">
        <v>0.01513142845227056</v>
      </c>
      <c r="F136">
        <v>0.032</v>
      </c>
      <c r="G136">
        <v>0.1106753813624395</v>
      </c>
      <c r="H136" t="s">
        <v>636</v>
      </c>
      <c r="I136" t="s">
        <v>635</v>
      </c>
    </row>
    <row r="137" spans="1:9">
      <c r="A137" s="1" t="s">
        <v>144</v>
      </c>
      <c r="B137">
        <f>HYPERLINK("https://www.suredividend.com/sure-analysis-EIX/","Edison International")</f>
        <v>0</v>
      </c>
      <c r="C137" t="s">
        <v>631</v>
      </c>
      <c r="D137">
        <v>0.046543778801843</v>
      </c>
      <c r="E137">
        <v>0.02962195839592119</v>
      </c>
      <c r="F137">
        <v>0.04</v>
      </c>
      <c r="G137">
        <v>0.1087780195014532</v>
      </c>
      <c r="H137" t="s">
        <v>636</v>
      </c>
      <c r="I137" t="s">
        <v>635</v>
      </c>
    </row>
    <row r="138" spans="1:9">
      <c r="A138" s="1" t="s">
        <v>145</v>
      </c>
      <c r="B138">
        <f>HYPERLINK("https://www.suredividend.com/sure-analysis-HRB/","H&amp;R Block, Inc.")</f>
        <v>0</v>
      </c>
      <c r="C138" t="s">
        <v>631</v>
      </c>
      <c r="D138">
        <v>0.067313915857605</v>
      </c>
      <c r="E138">
        <v>0.03049103401413134</v>
      </c>
      <c r="F138">
        <v>0.026</v>
      </c>
      <c r="G138">
        <v>0.1083019546412645</v>
      </c>
      <c r="H138" t="s">
        <v>636</v>
      </c>
      <c r="I138" t="s">
        <v>635</v>
      </c>
    </row>
    <row r="139" spans="1:9">
      <c r="A139" s="1" t="s">
        <v>146</v>
      </c>
      <c r="B139">
        <f>HYPERLINK("https://www.suredividend.com/sure-analysis-AMX/","America Movil SAB de CV")</f>
        <v>0</v>
      </c>
      <c r="C139" t="s">
        <v>631</v>
      </c>
      <c r="D139">
        <v>0.027420634920634</v>
      </c>
      <c r="E139">
        <v>-0.04906286732068599</v>
      </c>
      <c r="F139">
        <v>0.14</v>
      </c>
      <c r="G139">
        <v>0.1082646931784357</v>
      </c>
      <c r="H139" t="s">
        <v>636</v>
      </c>
      <c r="I139" t="s">
        <v>381</v>
      </c>
    </row>
    <row r="140" spans="1:9">
      <c r="A140" s="1" t="s">
        <v>147</v>
      </c>
      <c r="B140">
        <f>HYPERLINK("https://www.suredividend.com/sure-analysis-GILD/","Gilead Sciences, Inc.")</f>
        <v>0</v>
      </c>
      <c r="C140" t="s">
        <v>631</v>
      </c>
      <c r="D140">
        <v>0.038242592322288</v>
      </c>
      <c r="E140">
        <v>0.02217891665281591</v>
      </c>
      <c r="F140">
        <v>0.05</v>
      </c>
      <c r="G140">
        <v>0.107980580130828</v>
      </c>
      <c r="H140" t="s">
        <v>636</v>
      </c>
      <c r="I140" t="s">
        <v>636</v>
      </c>
    </row>
    <row r="141" spans="1:9">
      <c r="A141" s="1" t="s">
        <v>148</v>
      </c>
      <c r="B141">
        <f>HYPERLINK("https://www.suredividend.com/sure-analysis-FDX/","FedEx Corp.")</f>
        <v>0</v>
      </c>
      <c r="C141" t="s">
        <v>631</v>
      </c>
      <c r="D141">
        <v>0.013001300130013</v>
      </c>
      <c r="E141">
        <v>0.03471507763768966</v>
      </c>
      <c r="F141">
        <v>0.06</v>
      </c>
      <c r="G141">
        <v>0.1075172407037881</v>
      </c>
      <c r="H141" t="s">
        <v>636</v>
      </c>
      <c r="I141" t="s">
        <v>420</v>
      </c>
    </row>
    <row r="142" spans="1:9">
      <c r="A142" s="1" t="s">
        <v>149</v>
      </c>
      <c r="B142">
        <f>HYPERLINK("https://www.suredividend.com/sure-analysis-MET/","MetLife, Inc.")</f>
        <v>0</v>
      </c>
      <c r="C142" t="s">
        <v>631</v>
      </c>
      <c r="D142">
        <v>0.044746103569632</v>
      </c>
      <c r="E142">
        <v>0.02544073327227503</v>
      </c>
      <c r="F142">
        <v>0.04</v>
      </c>
      <c r="G142">
        <v>0.1033339872577708</v>
      </c>
      <c r="H142" t="s">
        <v>636</v>
      </c>
      <c r="I142" t="s">
        <v>635</v>
      </c>
    </row>
    <row r="143" spans="1:9">
      <c r="A143" s="1" t="s">
        <v>150</v>
      </c>
      <c r="B143">
        <f>HYPERLINK("https://www.suredividend.com/sure-analysis-CMCSA/","Comcast Corp.")</f>
        <v>0</v>
      </c>
      <c r="C143" t="s">
        <v>631</v>
      </c>
      <c r="D143">
        <v>0.02045560204556</v>
      </c>
      <c r="E143">
        <v>0.01365036272505904</v>
      </c>
      <c r="F143">
        <v>0.07000000000000001</v>
      </c>
      <c r="G143">
        <v>0.103001572470655</v>
      </c>
      <c r="H143" t="s">
        <v>636</v>
      </c>
      <c r="I143" t="s">
        <v>381</v>
      </c>
    </row>
    <row r="144" spans="1:9">
      <c r="A144" s="1" t="s">
        <v>151</v>
      </c>
      <c r="B144">
        <f>HYPERLINK("https://www.suredividend.com/sure-analysis-GWLIF/","Great-West Lifeco, Inc.")</f>
        <v>0</v>
      </c>
      <c r="C144" t="s">
        <v>631</v>
      </c>
      <c r="D144">
        <v>0.063560331463257</v>
      </c>
      <c r="E144">
        <v>0.01041277414742225</v>
      </c>
      <c r="F144">
        <v>0.04</v>
      </c>
      <c r="G144">
        <v>0.1029939349517932</v>
      </c>
      <c r="H144" t="s">
        <v>636</v>
      </c>
      <c r="I144" t="s">
        <v>635</v>
      </c>
    </row>
    <row r="145" spans="1:9">
      <c r="A145" s="1" t="s">
        <v>152</v>
      </c>
      <c r="B145">
        <f>HYPERLINK("https://www.suredividend.com/sure-analysis-AXP/","American Express Co.")</f>
        <v>0</v>
      </c>
      <c r="C145" t="s">
        <v>631</v>
      </c>
      <c r="D145">
        <v>0.016925802007478</v>
      </c>
      <c r="E145">
        <v>0.0163825037442773</v>
      </c>
      <c r="F145">
        <v>0.07000000000000001</v>
      </c>
      <c r="G145">
        <v>0.1022264362197012</v>
      </c>
      <c r="H145" t="s">
        <v>636</v>
      </c>
      <c r="I145" t="s">
        <v>420</v>
      </c>
    </row>
    <row r="146" spans="1:9">
      <c r="A146" s="1" t="s">
        <v>153</v>
      </c>
      <c r="B146">
        <f>HYPERLINK("https://www.suredividend.com/sure-analysis-SRE/","Sempra Energy")</f>
        <v>0</v>
      </c>
      <c r="C146" t="s">
        <v>631</v>
      </c>
      <c r="D146">
        <v>0.030134012128471</v>
      </c>
      <c r="E146">
        <v>0.008827587420270788</v>
      </c>
      <c r="F146">
        <v>0.06</v>
      </c>
      <c r="G146">
        <v>0.0970136406225981</v>
      </c>
      <c r="H146" t="s">
        <v>636</v>
      </c>
      <c r="I146" t="s">
        <v>381</v>
      </c>
    </row>
    <row r="147" spans="1:9">
      <c r="A147" s="1" t="s">
        <v>154</v>
      </c>
      <c r="B147">
        <f>HYPERLINK("https://www.suredividend.com/sure-analysis-EMN/","Eastman Chemical Co.")</f>
        <v>0</v>
      </c>
      <c r="C147" t="s">
        <v>631</v>
      </c>
      <c r="D147">
        <v>0.035016835016835</v>
      </c>
      <c r="E147">
        <v>0.004742046262089961</v>
      </c>
      <c r="F147">
        <v>0.06</v>
      </c>
      <c r="G147">
        <v>0.09578941520161433</v>
      </c>
      <c r="H147" t="s">
        <v>636</v>
      </c>
      <c r="I147" t="s">
        <v>636</v>
      </c>
    </row>
    <row r="148" spans="1:9">
      <c r="A148" s="1" t="s">
        <v>155</v>
      </c>
      <c r="B148">
        <f>HYPERLINK("https://www.suredividend.com/sure-analysis-RTX/","Raytheon Technologies Corp.")</f>
        <v>0</v>
      </c>
      <c r="C148" t="s">
        <v>631</v>
      </c>
      <c r="D148">
        <v>0.041725050599408</v>
      </c>
      <c r="E148">
        <v>-0.0008105254122862116</v>
      </c>
      <c r="F148">
        <v>0.07000000000000001</v>
      </c>
      <c r="G148">
        <v>0.09560688151390107</v>
      </c>
      <c r="H148" t="s">
        <v>636</v>
      </c>
      <c r="I148" t="s">
        <v>636</v>
      </c>
    </row>
    <row r="149" spans="1:9">
      <c r="A149" s="1" t="s">
        <v>156</v>
      </c>
      <c r="B149">
        <f>HYPERLINK("https://www.suredividend.com/sure-analysis-CSCO/","Cisco Systems, Inc.")</f>
        <v>0</v>
      </c>
      <c r="C149" t="s">
        <v>631</v>
      </c>
      <c r="D149">
        <v>0.029541169076052</v>
      </c>
      <c r="E149">
        <v>0.007449341191869019</v>
      </c>
      <c r="F149">
        <v>0.06</v>
      </c>
      <c r="G149">
        <v>0.09458144413716285</v>
      </c>
      <c r="H149" t="s">
        <v>636</v>
      </c>
      <c r="I149" t="s">
        <v>636</v>
      </c>
    </row>
    <row r="150" spans="1:9">
      <c r="A150" s="1" t="s">
        <v>157</v>
      </c>
      <c r="B150">
        <f>HYPERLINK("https://www.suredividend.com/sure-analysis-NVS/","Novartis AG")</f>
        <v>0</v>
      </c>
      <c r="C150" t="s">
        <v>631</v>
      </c>
      <c r="D150">
        <v>0.037472994295424</v>
      </c>
      <c r="E150">
        <v>0.01997897224575751</v>
      </c>
      <c r="F150">
        <v>0.04</v>
      </c>
      <c r="G150">
        <v>0.09221531372864211</v>
      </c>
      <c r="H150" t="s">
        <v>636</v>
      </c>
      <c r="I150" t="s">
        <v>636</v>
      </c>
    </row>
    <row r="151" spans="1:9">
      <c r="A151" s="1" t="s">
        <v>158</v>
      </c>
      <c r="B151">
        <f>HYPERLINK("https://www.suredividend.com/sure-analysis-MSM/","MSC Industrial Direct Co., Inc.")</f>
        <v>0</v>
      </c>
      <c r="C151" t="s">
        <v>631</v>
      </c>
      <c r="D151">
        <v>0.042808219178082</v>
      </c>
      <c r="E151">
        <v>-0.005610208961349006</v>
      </c>
      <c r="F151">
        <v>0.06</v>
      </c>
      <c r="G151">
        <v>0.09160975044528552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HYPERLINK("https://www.suredividend.com/sure-analysis-OZK/","Bank OZK")</f>
        <v>0</v>
      </c>
      <c r="C152" t="s">
        <v>631</v>
      </c>
      <c r="D152">
        <v>0.039458413926499</v>
      </c>
      <c r="E152">
        <v>0.02679242169288298</v>
      </c>
      <c r="F152">
        <v>0.03</v>
      </c>
      <c r="G152">
        <v>0.09126677244601988</v>
      </c>
      <c r="H152" t="s">
        <v>636</v>
      </c>
      <c r="I152" t="s">
        <v>636</v>
      </c>
    </row>
    <row r="153" spans="1:9">
      <c r="A153" s="1" t="s">
        <v>160</v>
      </c>
      <c r="B153">
        <f>HYPERLINK("https://www.suredividend.com/sure-analysis-VZ/","Verizon Communications, Inc.")</f>
        <v>0</v>
      </c>
      <c r="C153" t="s">
        <v>631</v>
      </c>
      <c r="D153">
        <v>0.041701983387014</v>
      </c>
      <c r="E153">
        <v>0.01489728397457646</v>
      </c>
      <c r="F153">
        <v>0.04</v>
      </c>
      <c r="G153">
        <v>0.08925750523031284</v>
      </c>
      <c r="H153" t="s">
        <v>636</v>
      </c>
      <c r="I153" t="s">
        <v>635</v>
      </c>
    </row>
    <row r="154" spans="1:9">
      <c r="A154" s="1" t="s">
        <v>161</v>
      </c>
      <c r="B154">
        <f>HYPERLINK("https://www.suredividend.com/sure-analysis-MRK/","Merck &amp; Co., Inc.")</f>
        <v>0</v>
      </c>
      <c r="C154" t="s">
        <v>631</v>
      </c>
      <c r="D154">
        <v>0.029415399826968</v>
      </c>
      <c r="E154">
        <v>0.01227672188673967</v>
      </c>
      <c r="F154">
        <v>0.05</v>
      </c>
      <c r="G154">
        <v>0.08897398916639232</v>
      </c>
      <c r="H154" t="s">
        <v>636</v>
      </c>
      <c r="I154" t="s">
        <v>636</v>
      </c>
    </row>
    <row r="155" spans="1:9">
      <c r="A155" s="1" t="s">
        <v>162</v>
      </c>
      <c r="B155">
        <f>HYPERLINK("https://www.suredividend.com/sure-analysis-ICE/","Intercontinental Exchange, Inc.")</f>
        <v>0</v>
      </c>
      <c r="C155" t="s">
        <v>631</v>
      </c>
      <c r="D155">
        <v>0.011597418313836</v>
      </c>
      <c r="E155">
        <v>-0.0409664384744699</v>
      </c>
      <c r="F155">
        <v>0.12</v>
      </c>
      <c r="G155">
        <v>0.08680497384809649</v>
      </c>
      <c r="H155" t="s">
        <v>636</v>
      </c>
      <c r="I155" t="s">
        <v>420</v>
      </c>
    </row>
    <row r="156" spans="1:9">
      <c r="A156" s="1" t="s">
        <v>163</v>
      </c>
      <c r="B156">
        <f>HYPERLINK("https://www.suredividend.com/sure-analysis-CFR/","Cullen/Frost Bankers, Inc.")</f>
        <v>0</v>
      </c>
      <c r="C156" t="s">
        <v>631</v>
      </c>
      <c r="D156">
        <v>0.037993311036789</v>
      </c>
      <c r="E156">
        <v>0.003445588262704025</v>
      </c>
      <c r="F156">
        <v>0.05</v>
      </c>
      <c r="G156">
        <v>0.08636866801392729</v>
      </c>
      <c r="H156" t="s">
        <v>636</v>
      </c>
      <c r="I156" t="s">
        <v>636</v>
      </c>
    </row>
    <row r="157" spans="1:9">
      <c r="A157" s="1" t="s">
        <v>164</v>
      </c>
      <c r="B157">
        <f>HYPERLINK("https://www.suredividend.com/sure-analysis-TDS/","Telephone &amp; Data Systems, Inc.")</f>
        <v>0</v>
      </c>
      <c r="C157" t="s">
        <v>631</v>
      </c>
      <c r="D157">
        <v>0.02885443583118</v>
      </c>
      <c r="E157">
        <v>0.04618124147765812</v>
      </c>
      <c r="F157">
        <v>0.015</v>
      </c>
      <c r="G157">
        <v>0.08605831398760033</v>
      </c>
      <c r="H157" t="s">
        <v>636</v>
      </c>
      <c r="I157" t="s">
        <v>381</v>
      </c>
    </row>
    <row r="158" spans="1:9">
      <c r="A158" s="1" t="s">
        <v>165</v>
      </c>
      <c r="B158">
        <f>HYPERLINK("https://www.suredividend.com/sure-analysis-NTIOF/","National Bank of Canada")</f>
        <v>0</v>
      </c>
      <c r="C158" t="s">
        <v>631</v>
      </c>
      <c r="D158">
        <v>0.042377331487559</v>
      </c>
      <c r="E158">
        <v>0.003680287158249529</v>
      </c>
      <c r="F158">
        <v>0.036</v>
      </c>
      <c r="G158">
        <v>0.08413798686347396</v>
      </c>
      <c r="H158" t="s">
        <v>636</v>
      </c>
      <c r="I158" t="s">
        <v>636</v>
      </c>
    </row>
    <row r="159" spans="1:9">
      <c r="A159" s="1" t="s">
        <v>166</v>
      </c>
      <c r="B159">
        <f>HYPERLINK("https://www.suredividend.com/sure-analysis-RDEIY/","Red Eléctrica Corp. SA")</f>
        <v>0</v>
      </c>
      <c r="C159" t="s">
        <v>631</v>
      </c>
      <c r="D159">
        <v>0.061388308977035</v>
      </c>
      <c r="E159">
        <v>-0.02044314840117434</v>
      </c>
      <c r="F159">
        <v>0.05</v>
      </c>
      <c r="G159">
        <v>0.0820858352937921</v>
      </c>
      <c r="H159" t="s">
        <v>636</v>
      </c>
      <c r="I159" t="s">
        <v>635</v>
      </c>
    </row>
    <row r="160" spans="1:9">
      <c r="A160" s="1" t="s">
        <v>167</v>
      </c>
      <c r="B160">
        <f>HYPERLINK("https://www.suredividend.com/sure-analysis-AMGN/","Amgen, Inc.")</f>
        <v>0</v>
      </c>
      <c r="C160" t="s">
        <v>631</v>
      </c>
      <c r="D160">
        <v>0.025611957845236</v>
      </c>
      <c r="E160">
        <v>-0.03245382965317956</v>
      </c>
      <c r="F160">
        <v>0.09</v>
      </c>
      <c r="G160">
        <v>0.08193885562396264</v>
      </c>
      <c r="H160" t="s">
        <v>636</v>
      </c>
      <c r="I160" t="s">
        <v>381</v>
      </c>
    </row>
    <row r="161" spans="1:9">
      <c r="A161" s="1" t="s">
        <v>168</v>
      </c>
      <c r="B161">
        <f>HYPERLINK("https://www.suredividend.com/sure-analysis-DTE/","DTE Energy Co.")</f>
        <v>0</v>
      </c>
      <c r="C161" t="s">
        <v>631</v>
      </c>
      <c r="D161">
        <v>0.033124012309739</v>
      </c>
      <c r="E161">
        <v>-0.01113188163138801</v>
      </c>
      <c r="F161">
        <v>0.06</v>
      </c>
      <c r="G161">
        <v>0.08032436662207099</v>
      </c>
      <c r="H161" t="s">
        <v>636</v>
      </c>
      <c r="I161" t="s">
        <v>381</v>
      </c>
    </row>
    <row r="162" spans="1:9">
      <c r="A162" s="1" t="s">
        <v>169</v>
      </c>
      <c r="B162">
        <f>HYPERLINK("https://www.suredividend.com/sure-analysis-IBM/","International Business Machines Corp.")</f>
        <v>0</v>
      </c>
      <c r="C162" t="s">
        <v>631</v>
      </c>
      <c r="D162">
        <v>0.051058138620092</v>
      </c>
      <c r="E162">
        <v>-0.007610015630463485</v>
      </c>
      <c r="F162">
        <v>0.04</v>
      </c>
      <c r="G162">
        <v>0.08002200494204126</v>
      </c>
      <c r="H162" t="s">
        <v>636</v>
      </c>
      <c r="I162" t="s">
        <v>635</v>
      </c>
    </row>
    <row r="163" spans="1:9">
      <c r="A163" s="1" t="s">
        <v>170</v>
      </c>
      <c r="B163">
        <f>HYPERLINK("https://www.suredividend.com/sure-analysis-TSN/","Tyson Foods, Inc.")</f>
        <v>0</v>
      </c>
      <c r="C163" t="s">
        <v>631</v>
      </c>
      <c r="D163">
        <v>0.026022304832713</v>
      </c>
      <c r="E163">
        <v>-0.003738942292266789</v>
      </c>
      <c r="F163">
        <v>0.06</v>
      </c>
      <c r="G163">
        <v>0.0797181594369778</v>
      </c>
      <c r="H163" t="s">
        <v>636</v>
      </c>
      <c r="I163" t="s">
        <v>636</v>
      </c>
    </row>
    <row r="164" spans="1:9">
      <c r="A164" s="1" t="s">
        <v>171</v>
      </c>
      <c r="B164">
        <f>HYPERLINK("https://www.suredividend.com/sure-analysis-KDP/","Keurig Dr Pepper, Inc.")</f>
        <v>0</v>
      </c>
      <c r="C164" t="s">
        <v>631</v>
      </c>
      <c r="D164">
        <v>0.02016129032258</v>
      </c>
      <c r="E164">
        <v>-0.03301945417177843</v>
      </c>
      <c r="F164">
        <v>0.1</v>
      </c>
      <c r="G164">
        <v>0.07907730715825534</v>
      </c>
      <c r="H164" t="s">
        <v>636</v>
      </c>
      <c r="I164" t="s">
        <v>420</v>
      </c>
    </row>
    <row r="165" spans="1:9">
      <c r="A165" s="1" t="s">
        <v>172</v>
      </c>
      <c r="B165">
        <f>HYPERLINK("https://www.suredividend.com/sure-analysis-RY/","Royal Bank of Canada")</f>
        <v>0</v>
      </c>
      <c r="C165" t="s">
        <v>631</v>
      </c>
      <c r="D165">
        <v>0.043629215955727</v>
      </c>
      <c r="E165">
        <v>0.01984489837866565</v>
      </c>
      <c r="F165">
        <v>0.021</v>
      </c>
      <c r="G165">
        <v>0.07861980653653333</v>
      </c>
      <c r="H165" t="s">
        <v>636</v>
      </c>
      <c r="I165" t="s">
        <v>636</v>
      </c>
    </row>
    <row r="166" spans="1:9">
      <c r="A166" s="1" t="s">
        <v>173</v>
      </c>
      <c r="B166">
        <f>HYPERLINK("https://www.suredividend.com/sure-analysis-CONE/","CyrusOne, Inc.")</f>
        <v>0</v>
      </c>
      <c r="C166" t="s">
        <v>633</v>
      </c>
      <c r="D166">
        <v>0.024006721882126</v>
      </c>
      <c r="E166">
        <v>-0.04208617730256048</v>
      </c>
      <c r="F166">
        <v>0.1</v>
      </c>
      <c r="G166">
        <v>0.07608007892015478</v>
      </c>
      <c r="H166" t="s">
        <v>636</v>
      </c>
      <c r="I166" t="s">
        <v>381</v>
      </c>
    </row>
    <row r="167" spans="1:9">
      <c r="A167" s="1" t="s">
        <v>174</v>
      </c>
      <c r="B167">
        <f>HYPERLINK("https://www.suredividend.com/sure-analysis-MDLZ/","Mondelez International, Inc.")</f>
        <v>0</v>
      </c>
      <c r="C167" t="s">
        <v>631</v>
      </c>
      <c r="D167">
        <v>0.020544242205802</v>
      </c>
      <c r="E167">
        <v>-0.01954020066969919</v>
      </c>
      <c r="F167">
        <v>0.07000000000000001</v>
      </c>
      <c r="G167">
        <v>0.07134744479641242</v>
      </c>
      <c r="H167" t="s">
        <v>636</v>
      </c>
      <c r="I167" t="s">
        <v>381</v>
      </c>
    </row>
    <row r="168" spans="1:9">
      <c r="A168" s="1" t="s">
        <v>175</v>
      </c>
      <c r="B168">
        <f>HYPERLINK("https://www.suredividend.com/sure-analysis-GEF/","Greif, Inc.")</f>
        <v>0</v>
      </c>
      <c r="C168" t="s">
        <v>631</v>
      </c>
      <c r="D168">
        <v>0.043683296103251</v>
      </c>
      <c r="E168">
        <v>0.005518778439072225</v>
      </c>
      <c r="F168">
        <v>0.03</v>
      </c>
      <c r="G168">
        <v>0.07112122040769475</v>
      </c>
      <c r="H168" t="s">
        <v>636</v>
      </c>
      <c r="I168" t="s">
        <v>636</v>
      </c>
    </row>
    <row r="169" spans="1:9">
      <c r="A169" s="1" t="s">
        <v>176</v>
      </c>
      <c r="B169">
        <f>HYPERLINK("https://www.suredividend.com/sure-analysis-MDU/","MDU Resources Group, Inc.")</f>
        <v>0</v>
      </c>
      <c r="C169" t="s">
        <v>631</v>
      </c>
      <c r="D169">
        <v>0.034663865546218</v>
      </c>
      <c r="E169">
        <v>0.02033819400755355</v>
      </c>
      <c r="F169">
        <v>0.02</v>
      </c>
      <c r="G169">
        <v>0.07058244217675824</v>
      </c>
      <c r="H169" t="s">
        <v>636</v>
      </c>
      <c r="I169" t="s">
        <v>636</v>
      </c>
    </row>
    <row r="170" spans="1:9">
      <c r="A170" s="1" t="s">
        <v>177</v>
      </c>
      <c r="B170">
        <f>HYPERLINK("https://www.suredividend.com/sure-analysis-CTBI/","Community Trust Bancorp, Inc. (Kentucky)")</f>
        <v>0</v>
      </c>
      <c r="C170" t="s">
        <v>631</v>
      </c>
      <c r="D170">
        <v>0.04458785567615101</v>
      </c>
      <c r="E170">
        <v>-0.03295629425679691</v>
      </c>
      <c r="F170">
        <v>0.06</v>
      </c>
      <c r="G170">
        <v>0.06709596643576976</v>
      </c>
      <c r="H170" t="s">
        <v>636</v>
      </c>
      <c r="I170" t="s">
        <v>635</v>
      </c>
    </row>
    <row r="171" spans="1:9">
      <c r="A171" s="1" t="s">
        <v>178</v>
      </c>
      <c r="B171">
        <f>HYPERLINK("https://www.suredividend.com/sure-analysis-CPB/","Campbell Soup Co.")</f>
        <v>0</v>
      </c>
      <c r="C171" t="s">
        <v>631</v>
      </c>
      <c r="D171">
        <v>0.027777777777777</v>
      </c>
      <c r="E171">
        <v>-0.007216114304630761</v>
      </c>
      <c r="F171">
        <v>0.05</v>
      </c>
      <c r="G171">
        <v>0.06660756071081431</v>
      </c>
      <c r="H171" t="s">
        <v>636</v>
      </c>
      <c r="I171" t="s">
        <v>381</v>
      </c>
    </row>
    <row r="172" spans="1:9">
      <c r="A172" s="1" t="s">
        <v>179</v>
      </c>
      <c r="B172">
        <f>HYPERLINK("https://www.suredividend.com/sure-analysis-SJM/","The J. M. Smucker Co.")</f>
        <v>0</v>
      </c>
      <c r="C172" t="s">
        <v>631</v>
      </c>
      <c r="D172">
        <v>0.031194611839773</v>
      </c>
      <c r="E172">
        <v>-0.01595676985676842</v>
      </c>
      <c r="F172">
        <v>0.05</v>
      </c>
      <c r="G172">
        <v>0.06323756212784559</v>
      </c>
      <c r="H172" t="s">
        <v>636</v>
      </c>
      <c r="I172" t="s">
        <v>636</v>
      </c>
    </row>
    <row r="173" spans="1:9">
      <c r="A173" s="1" t="s">
        <v>180</v>
      </c>
      <c r="B173">
        <f>HYPERLINK("https://www.suredividend.com/sure-analysis-TTC/","The Toro Co.")</f>
        <v>0</v>
      </c>
      <c r="C173" t="s">
        <v>631</v>
      </c>
      <c r="D173">
        <v>0.012909362685147</v>
      </c>
      <c r="E173">
        <v>-0.06543252496041074</v>
      </c>
      <c r="F173">
        <v>0.12</v>
      </c>
      <c r="G173">
        <v>0.06134905154803083</v>
      </c>
      <c r="H173" t="s">
        <v>636</v>
      </c>
      <c r="I173" t="s">
        <v>420</v>
      </c>
    </row>
    <row r="174" spans="1:9">
      <c r="A174" s="1" t="s">
        <v>181</v>
      </c>
      <c r="B174">
        <f>HYPERLINK("https://www.suredividend.com/sure-analysis-KO/","The Coca-Cola Co.")</f>
        <v>0</v>
      </c>
      <c r="C174" t="s">
        <v>631</v>
      </c>
      <c r="D174">
        <v>0.033948030176026</v>
      </c>
      <c r="E174">
        <v>-0.04536965877746146</v>
      </c>
      <c r="F174">
        <v>0.075</v>
      </c>
      <c r="G174">
        <v>0.06065767829432001</v>
      </c>
      <c r="H174" t="s">
        <v>636</v>
      </c>
      <c r="I174" t="s">
        <v>636</v>
      </c>
    </row>
    <row r="175" spans="1:9">
      <c r="A175" s="1" t="s">
        <v>182</v>
      </c>
      <c r="B175">
        <f>HYPERLINK("https://www.suredividend.com/sure-analysis-FTS/","Fortis, Inc.")</f>
        <v>0</v>
      </c>
      <c r="C175" t="s">
        <v>631</v>
      </c>
      <c r="D175">
        <v>0.034569798910744</v>
      </c>
      <c r="E175">
        <v>-0.02303997222898757</v>
      </c>
      <c r="F175">
        <v>0.05</v>
      </c>
      <c r="G175">
        <v>0.06055142683222647</v>
      </c>
      <c r="H175" t="s">
        <v>636</v>
      </c>
      <c r="I175" t="s">
        <v>636</v>
      </c>
    </row>
    <row r="176" spans="1:9">
      <c r="A176" s="1" t="s">
        <v>183</v>
      </c>
      <c r="B176">
        <f>HYPERLINK("https://www.suredividend.com/sure-analysis-ADP/","Automatic Data Processing, Inc.")</f>
        <v>0</v>
      </c>
      <c r="C176" t="s">
        <v>631</v>
      </c>
      <c r="D176">
        <v>0.025475863067236</v>
      </c>
      <c r="E176">
        <v>-0.04450071264214028</v>
      </c>
      <c r="F176">
        <v>0.08</v>
      </c>
      <c r="G176">
        <v>0.05984432894534319</v>
      </c>
      <c r="H176" t="s">
        <v>636</v>
      </c>
      <c r="I176" t="s">
        <v>381</v>
      </c>
    </row>
    <row r="177" spans="1:9">
      <c r="A177" s="1" t="s">
        <v>184</v>
      </c>
      <c r="B177">
        <f>HYPERLINK("https://www.suredividend.com/sure-analysis-LNT/","Alliant Energy Corp.")</f>
        <v>0</v>
      </c>
      <c r="C177" t="s">
        <v>631</v>
      </c>
      <c r="D177">
        <v>0.026558265582655</v>
      </c>
      <c r="E177">
        <v>-0.02222885422179322</v>
      </c>
      <c r="F177">
        <v>0.055</v>
      </c>
      <c r="G177">
        <v>0.0590457018531656</v>
      </c>
      <c r="H177" t="s">
        <v>636</v>
      </c>
      <c r="I177" t="s">
        <v>381</v>
      </c>
    </row>
    <row r="178" spans="1:9">
      <c r="A178" s="1" t="s">
        <v>185</v>
      </c>
      <c r="B178">
        <f>HYPERLINK("https://www.suredividend.com/sure-analysis-CTSH/","Cognizant Technology Solutions Corp.")</f>
        <v>0</v>
      </c>
      <c r="C178" t="s">
        <v>631</v>
      </c>
      <c r="D178">
        <v>0.012516763522574</v>
      </c>
      <c r="E178">
        <v>-0.02361941341041307</v>
      </c>
      <c r="F178">
        <v>0.07000000000000001</v>
      </c>
      <c r="G178">
        <v>0.05809339105642453</v>
      </c>
      <c r="H178" t="s">
        <v>636</v>
      </c>
      <c r="I178" t="s">
        <v>420</v>
      </c>
    </row>
    <row r="179" spans="1:9">
      <c r="A179" s="1" t="s">
        <v>186</v>
      </c>
      <c r="B179">
        <f>HYPERLINK("https://www.suredividend.com/sure-analysis-FOXA/","Fox Corp.")</f>
        <v>0</v>
      </c>
      <c r="C179" t="s">
        <v>631</v>
      </c>
      <c r="D179">
        <v>0.018852459016393</v>
      </c>
      <c r="E179">
        <v>0.07254369553816953</v>
      </c>
      <c r="F179">
        <v>-0.03</v>
      </c>
      <c r="G179">
        <v>0.05582397901587233</v>
      </c>
      <c r="H179" t="s">
        <v>636</v>
      </c>
      <c r="I179" t="s">
        <v>381</v>
      </c>
    </row>
    <row r="180" spans="1:9">
      <c r="A180" s="1" t="s">
        <v>187</v>
      </c>
      <c r="B180">
        <f>HYPERLINK("https://www.suredividend.com/sure-analysis-RSG/","Republic Services, Inc.")</f>
        <v>0</v>
      </c>
      <c r="C180" t="s">
        <v>631</v>
      </c>
      <c r="D180">
        <v>0.017823742986027</v>
      </c>
      <c r="E180">
        <v>-0.02275526321099908</v>
      </c>
      <c r="F180">
        <v>0.06</v>
      </c>
      <c r="G180">
        <v>0.05408158451509903</v>
      </c>
      <c r="H180" t="s">
        <v>636</v>
      </c>
      <c r="I180" t="s">
        <v>420</v>
      </c>
    </row>
    <row r="181" spans="1:9">
      <c r="A181" s="1" t="s">
        <v>188</v>
      </c>
      <c r="B181">
        <f>HYPERLINK("https://www.suredividend.com/sure-analysis-ED/","Consolidated Edison, Inc.")</f>
        <v>0</v>
      </c>
      <c r="C181" t="s">
        <v>631</v>
      </c>
      <c r="D181">
        <v>0.03993101618466401</v>
      </c>
      <c r="E181">
        <v>-0.02364155179765437</v>
      </c>
      <c r="F181">
        <v>0.035</v>
      </c>
      <c r="G181">
        <v>0.05150117249263664</v>
      </c>
      <c r="H181" t="s">
        <v>636</v>
      </c>
      <c r="I181" t="s">
        <v>635</v>
      </c>
    </row>
    <row r="182" spans="1:9">
      <c r="A182" s="1" t="s">
        <v>189</v>
      </c>
      <c r="B182">
        <f>HYPERLINK("https://www.suredividend.com/sure-analysis-SYY/","Sysco Corp.")</f>
        <v>0</v>
      </c>
      <c r="C182" t="s">
        <v>631</v>
      </c>
      <c r="D182">
        <v>0.027953410981697</v>
      </c>
      <c r="E182">
        <v>-0.02721395276796346</v>
      </c>
      <c r="F182">
        <v>0.052</v>
      </c>
      <c r="G182">
        <v>0.05098048557632562</v>
      </c>
      <c r="H182" t="s">
        <v>636</v>
      </c>
      <c r="I182" t="s">
        <v>636</v>
      </c>
    </row>
    <row r="183" spans="1:9">
      <c r="A183" s="1" t="s">
        <v>190</v>
      </c>
      <c r="B183">
        <f>HYPERLINK("https://www.suredividend.com/sure-analysis-PPL/","PPL Corp.")</f>
        <v>0</v>
      </c>
      <c r="C183" t="s">
        <v>631</v>
      </c>
      <c r="D183">
        <v>0.057766143106457</v>
      </c>
      <c r="E183">
        <v>-0.02538603542787576</v>
      </c>
      <c r="F183">
        <v>0.02</v>
      </c>
      <c r="G183">
        <v>0.05069766884177485</v>
      </c>
      <c r="H183" t="s">
        <v>636</v>
      </c>
      <c r="I183" t="s">
        <v>635</v>
      </c>
    </row>
    <row r="184" spans="1:9">
      <c r="A184" s="1" t="s">
        <v>191</v>
      </c>
      <c r="B184">
        <f>HYPERLINK("https://www.suredividend.com/sure-analysis-BLK/","BlackRock, Inc.")</f>
        <v>0</v>
      </c>
      <c r="C184" t="s">
        <v>631</v>
      </c>
      <c r="D184">
        <v>0.023888314374353</v>
      </c>
      <c r="E184">
        <v>-0.04377469122902355</v>
      </c>
      <c r="F184">
        <v>0.07000000000000001</v>
      </c>
      <c r="G184">
        <v>0.04956162062292524</v>
      </c>
      <c r="H184" t="s">
        <v>636</v>
      </c>
      <c r="I184" t="s">
        <v>381</v>
      </c>
    </row>
    <row r="185" spans="1:9">
      <c r="A185" s="1" t="s">
        <v>192</v>
      </c>
      <c r="B185">
        <f>HYPERLINK("https://www.suredividend.com/sure-analysis-TRV/","The Travelers Cos., Inc.")</f>
        <v>0</v>
      </c>
      <c r="C185" t="s">
        <v>631</v>
      </c>
      <c r="D185">
        <v>0.027787105439892</v>
      </c>
      <c r="E185">
        <v>-0.04153551997327765</v>
      </c>
      <c r="F185">
        <v>0.06</v>
      </c>
      <c r="G185">
        <v>0.04767087380418755</v>
      </c>
      <c r="H185" t="s">
        <v>636</v>
      </c>
      <c r="I185" t="s">
        <v>636</v>
      </c>
    </row>
    <row r="186" spans="1:9">
      <c r="A186" s="1" t="s">
        <v>193</v>
      </c>
      <c r="B186">
        <f>HYPERLINK("https://www.suredividend.com/sure-analysis-ARTNA/","Artesian Resources Corp.")</f>
        <v>0</v>
      </c>
      <c r="C186" t="s">
        <v>631</v>
      </c>
      <c r="D186">
        <v>0.026517928286852</v>
      </c>
      <c r="E186">
        <v>-0.01430608663533295</v>
      </c>
      <c r="F186">
        <v>0.036</v>
      </c>
      <c r="G186">
        <v>0.04733861648345772</v>
      </c>
      <c r="H186" t="s">
        <v>636</v>
      </c>
      <c r="I186" t="s">
        <v>381</v>
      </c>
    </row>
    <row r="187" spans="1:9">
      <c r="A187" s="1" t="s">
        <v>194</v>
      </c>
      <c r="B187">
        <f>HYPERLINK("https://www.suredividend.com/sure-analysis-NEP/","NextEra Energy Partners LP")</f>
        <v>0</v>
      </c>
      <c r="C187" t="s">
        <v>632</v>
      </c>
      <c r="D187">
        <v>0.033202202989771</v>
      </c>
      <c r="E187">
        <v>-0.03025515665154643</v>
      </c>
      <c r="F187">
        <v>0.04</v>
      </c>
      <c r="G187">
        <v>0.04616229107093539</v>
      </c>
      <c r="H187" t="s">
        <v>636</v>
      </c>
      <c r="I187" t="s">
        <v>636</v>
      </c>
    </row>
    <row r="188" spans="1:9">
      <c r="A188" s="1" t="s">
        <v>195</v>
      </c>
      <c r="B188">
        <f>HYPERLINK("https://www.suredividend.com/sure-analysis-AEP/","American Electric Power Co., Inc.")</f>
        <v>0</v>
      </c>
      <c r="C188" t="s">
        <v>631</v>
      </c>
      <c r="D188">
        <v>0.03258087037468</v>
      </c>
      <c r="E188">
        <v>-0.03142535216122777</v>
      </c>
      <c r="F188">
        <v>0.045</v>
      </c>
      <c r="G188">
        <v>0.04590740528799508</v>
      </c>
      <c r="H188" t="s">
        <v>636</v>
      </c>
      <c r="I188" t="s">
        <v>381</v>
      </c>
    </row>
    <row r="189" spans="1:9">
      <c r="A189" s="1" t="s">
        <v>196</v>
      </c>
      <c r="B189">
        <f>HYPERLINK("https://www.suredividend.com/sure-analysis-PEG/","Public Service Enterprise Group, Inc.")</f>
        <v>0</v>
      </c>
      <c r="C189" t="s">
        <v>631</v>
      </c>
      <c r="D189">
        <v>0.034688346883468</v>
      </c>
      <c r="E189">
        <v>-0.02097947631718944</v>
      </c>
      <c r="F189">
        <v>0.03</v>
      </c>
      <c r="G189">
        <v>0.04481473897740984</v>
      </c>
      <c r="H189" t="s">
        <v>636</v>
      </c>
      <c r="I189" t="s">
        <v>636</v>
      </c>
    </row>
    <row r="190" spans="1:9">
      <c r="A190" s="1" t="s">
        <v>197</v>
      </c>
      <c r="B190">
        <f>HYPERLINK("https://www.suredividend.com/sure-analysis-XYL/","Xylem, Inc.")</f>
        <v>0</v>
      </c>
      <c r="C190" t="s">
        <v>631</v>
      </c>
      <c r="D190">
        <v>0.012658227848101</v>
      </c>
      <c r="E190">
        <v>-0.05661896555894774</v>
      </c>
      <c r="F190">
        <v>0.09</v>
      </c>
      <c r="G190">
        <v>0.0431978423591175</v>
      </c>
      <c r="H190" t="s">
        <v>636</v>
      </c>
      <c r="I190" t="s">
        <v>420</v>
      </c>
    </row>
    <row r="191" spans="1:9">
      <c r="A191" s="1" t="s">
        <v>198</v>
      </c>
      <c r="B191">
        <f>HYPERLINK("https://www.suredividend.com/sure-analysis-SAP/","SAP SE")</f>
        <v>0</v>
      </c>
      <c r="C191" t="s">
        <v>631</v>
      </c>
      <c r="D191">
        <v>0.010860060135304</v>
      </c>
      <c r="E191">
        <v>-0.05490618585591678</v>
      </c>
      <c r="F191">
        <v>0.09</v>
      </c>
      <c r="G191">
        <v>0.04213407997019791</v>
      </c>
      <c r="H191" t="s">
        <v>636</v>
      </c>
      <c r="I191" t="s">
        <v>420</v>
      </c>
    </row>
    <row r="192" spans="1:9">
      <c r="A192" s="1" t="s">
        <v>199</v>
      </c>
      <c r="B192">
        <f>HYPERLINK("https://www.suredividend.com/sure-analysis-AOS/","A. O. Smith Corp.")</f>
        <v>0</v>
      </c>
      <c r="C192" t="s">
        <v>631</v>
      </c>
      <c r="D192">
        <v>0.019258348699037</v>
      </c>
      <c r="E192">
        <v>-0.03802620155713565</v>
      </c>
      <c r="F192">
        <v>0.06</v>
      </c>
      <c r="G192">
        <v>0.04135472782112082</v>
      </c>
      <c r="H192" t="s">
        <v>636</v>
      </c>
      <c r="I192" t="s">
        <v>381</v>
      </c>
    </row>
    <row r="193" spans="1:9">
      <c r="A193" s="1" t="s">
        <v>200</v>
      </c>
      <c r="B193">
        <f>HYPERLINK("https://www.suredividend.com/sure-analysis-HON/","Honeywell International, Inc.")</f>
        <v>0</v>
      </c>
      <c r="C193" t="s">
        <v>631</v>
      </c>
      <c r="D193">
        <v>0.022078655209182</v>
      </c>
      <c r="E193">
        <v>-0.06917564561639133</v>
      </c>
      <c r="F193">
        <v>0.09</v>
      </c>
      <c r="G193">
        <v>0.04085970183431509</v>
      </c>
      <c r="H193" t="s">
        <v>636</v>
      </c>
      <c r="I193" t="s">
        <v>381</v>
      </c>
    </row>
    <row r="194" spans="1:9">
      <c r="A194" s="1" t="s">
        <v>201</v>
      </c>
      <c r="B194">
        <f>HYPERLINK("https://www.suredividend.com/sure-analysis-UBSI/","United Bankshares, Inc. (West Virginia)")</f>
        <v>0</v>
      </c>
      <c r="C194" t="s">
        <v>631</v>
      </c>
      <c r="D194">
        <v>0.04794756812694</v>
      </c>
      <c r="E194">
        <v>-0.03044836242069515</v>
      </c>
      <c r="F194">
        <v>0.02</v>
      </c>
      <c r="G194">
        <v>0.0373144343619829</v>
      </c>
      <c r="H194" t="s">
        <v>636</v>
      </c>
      <c r="I194" t="s">
        <v>635</v>
      </c>
    </row>
    <row r="195" spans="1:9">
      <c r="A195" s="1" t="s">
        <v>202</v>
      </c>
      <c r="B195">
        <f>HYPERLINK("https://www.suredividend.com/sure-analysis-K/","Kellogg Co.")</f>
        <v>0</v>
      </c>
      <c r="C195" t="s">
        <v>631</v>
      </c>
      <c r="D195">
        <v>0.033033903216459</v>
      </c>
      <c r="E195">
        <v>-0.02836595290898114</v>
      </c>
      <c r="F195">
        <v>0.03</v>
      </c>
      <c r="G195">
        <v>0.03579685026905444</v>
      </c>
      <c r="H195" t="s">
        <v>636</v>
      </c>
      <c r="I195" t="s">
        <v>636</v>
      </c>
    </row>
    <row r="196" spans="1:9">
      <c r="A196" s="1" t="s">
        <v>203</v>
      </c>
      <c r="B196">
        <f>HYPERLINK("https://www.suredividend.com/sure-analysis-WHR/","Whirlpool Corp.")</f>
        <v>0</v>
      </c>
      <c r="C196" t="s">
        <v>631</v>
      </c>
      <c r="D196">
        <v>0.027123241227326</v>
      </c>
      <c r="E196">
        <v>-0.07408523899882336</v>
      </c>
      <c r="F196">
        <v>0.09</v>
      </c>
      <c r="G196">
        <v>0.03568144288770969</v>
      </c>
      <c r="H196" t="s">
        <v>636</v>
      </c>
      <c r="I196" t="s">
        <v>636</v>
      </c>
    </row>
    <row r="197" spans="1:9">
      <c r="A197" s="1" t="s">
        <v>204</v>
      </c>
      <c r="B197">
        <f>HYPERLINK("https://www.suredividend.com/sure-analysis-HSY/","The Hershey Co.")</f>
        <v>0</v>
      </c>
      <c r="C197" t="s">
        <v>631</v>
      </c>
      <c r="D197">
        <v>0.02148415786548</v>
      </c>
      <c r="E197">
        <v>-0.04704029670543886</v>
      </c>
      <c r="F197">
        <v>0.06</v>
      </c>
      <c r="G197">
        <v>0.03480341655386709</v>
      </c>
      <c r="H197" t="s">
        <v>636</v>
      </c>
      <c r="I197" t="s">
        <v>381</v>
      </c>
    </row>
    <row r="198" spans="1:9">
      <c r="A198" s="1" t="s">
        <v>205</v>
      </c>
      <c r="B198">
        <f>HYPERLINK("https://www.suredividend.com/sure-analysis-AJG/","Arthur J. Gallagher &amp; Co.")</f>
        <v>0</v>
      </c>
      <c r="C198" t="s">
        <v>631</v>
      </c>
      <c r="D198">
        <v>0.016381236038719</v>
      </c>
      <c r="E198">
        <v>-0.04120168991839601</v>
      </c>
      <c r="F198">
        <v>0.06</v>
      </c>
      <c r="G198">
        <v>0.03395050867273586</v>
      </c>
      <c r="H198" t="s">
        <v>636</v>
      </c>
      <c r="I198" t="s">
        <v>420</v>
      </c>
    </row>
    <row r="199" spans="1:9">
      <c r="A199" s="1" t="s">
        <v>206</v>
      </c>
      <c r="B199">
        <f>HYPERLINK("https://www.suredividend.com/sure-analysis-NSC/","Norfolk Southern Corp.")</f>
        <v>0</v>
      </c>
      <c r="C199" t="s">
        <v>631</v>
      </c>
      <c r="D199">
        <v>0.018386308068459</v>
      </c>
      <c r="E199">
        <v>-0.04935837301253376</v>
      </c>
      <c r="F199">
        <v>0.065</v>
      </c>
      <c r="G199">
        <v>0.03352920262649661</v>
      </c>
      <c r="H199" t="s">
        <v>636</v>
      </c>
      <c r="I199" t="s">
        <v>420</v>
      </c>
    </row>
    <row r="200" spans="1:9">
      <c r="A200" s="1" t="s">
        <v>207</v>
      </c>
      <c r="B200">
        <f>HYPERLINK("https://www.suredividend.com/sure-analysis-UVV/","Universal Corp.")</f>
        <v>0</v>
      </c>
      <c r="C200" t="s">
        <v>631</v>
      </c>
      <c r="D200">
        <v>0.067477876106194</v>
      </c>
      <c r="E200">
        <v>-0.05086946766329181</v>
      </c>
      <c r="F200">
        <v>0.015</v>
      </c>
      <c r="G200">
        <v>0.03351225730202523</v>
      </c>
      <c r="H200" t="s">
        <v>636</v>
      </c>
      <c r="I200" t="s">
        <v>635</v>
      </c>
    </row>
    <row r="201" spans="1:9">
      <c r="A201" s="1" t="s">
        <v>208</v>
      </c>
      <c r="B201">
        <f>HYPERLINK("https://www.suredividend.com/sure-analysis-SNA/","Snap-On, Inc.")</f>
        <v>0</v>
      </c>
      <c r="C201" t="s">
        <v>631</v>
      </c>
      <c r="D201">
        <v>0.027916583383303</v>
      </c>
      <c r="E201">
        <v>0.0001559170597085213</v>
      </c>
      <c r="F201">
        <v>0</v>
      </c>
      <c r="G201">
        <v>0.03342864576488092</v>
      </c>
      <c r="H201" t="s">
        <v>636</v>
      </c>
      <c r="I201" t="s">
        <v>381</v>
      </c>
    </row>
    <row r="202" spans="1:9">
      <c r="A202" s="1" t="s">
        <v>209</v>
      </c>
      <c r="B202">
        <f>HYPERLINK("https://www.suredividend.com/sure-analysis-BAH/","Booz Allen Hamilton Holding Corp.")</f>
        <v>0</v>
      </c>
      <c r="C202" t="s">
        <v>631</v>
      </c>
      <c r="D202">
        <v>0.013229388140798</v>
      </c>
      <c r="E202">
        <v>-0.06043240568537556</v>
      </c>
      <c r="F202">
        <v>0.08</v>
      </c>
      <c r="G202">
        <v>0.03340331483665393</v>
      </c>
      <c r="H202" t="s">
        <v>636</v>
      </c>
      <c r="I202" t="s">
        <v>420</v>
      </c>
    </row>
    <row r="203" spans="1:9">
      <c r="A203" s="1" t="s">
        <v>210</v>
      </c>
      <c r="B203">
        <f>HYPERLINK("https://www.suredividend.com/sure-analysis-HD/","The Home Depot, Inc.")</f>
        <v>0</v>
      </c>
      <c r="C203" t="s">
        <v>631</v>
      </c>
      <c r="D203">
        <v>0.020310850653368</v>
      </c>
      <c r="E203">
        <v>-0.05792654569992917</v>
      </c>
      <c r="F203">
        <v>0.07000000000000001</v>
      </c>
      <c r="G203">
        <v>0.03279360844385559</v>
      </c>
      <c r="H203" t="s">
        <v>636</v>
      </c>
      <c r="I203" t="s">
        <v>420</v>
      </c>
    </row>
    <row r="204" spans="1:9">
      <c r="A204" s="1" t="s">
        <v>211</v>
      </c>
      <c r="B204">
        <f>HYPERLINK("https://www.suredividend.com/sure-analysis-IFF/","International Flavors &amp; Fragrances, Inc.")</f>
        <v>0</v>
      </c>
      <c r="C204" t="s">
        <v>631</v>
      </c>
      <c r="D204">
        <v>0.022826503255457</v>
      </c>
      <c r="E204">
        <v>-0.03106761065081021</v>
      </c>
      <c r="F204">
        <v>0.04</v>
      </c>
      <c r="G204">
        <v>0.0325901468897376</v>
      </c>
      <c r="H204" t="s">
        <v>636</v>
      </c>
      <c r="I204" t="s">
        <v>381</v>
      </c>
    </row>
    <row r="205" spans="1:9">
      <c r="A205" s="1" t="s">
        <v>212</v>
      </c>
      <c r="B205">
        <f>HYPERLINK("https://www.suredividend.com/sure-analysis-ETR/","Entergy Corp.")</f>
        <v>0</v>
      </c>
      <c r="C205" t="s">
        <v>631</v>
      </c>
      <c r="D205">
        <v>0.035004730368968</v>
      </c>
      <c r="E205">
        <v>-0.03829427371449046</v>
      </c>
      <c r="F205">
        <v>0.035</v>
      </c>
      <c r="G205">
        <v>0.03249028921808583</v>
      </c>
      <c r="H205" t="s">
        <v>636</v>
      </c>
      <c r="I205" t="s">
        <v>636</v>
      </c>
    </row>
    <row r="206" spans="1:9">
      <c r="A206" s="1" t="s">
        <v>213</v>
      </c>
      <c r="B206">
        <f>HYPERLINK("https://www.suredividend.com/sure-analysis-NVO/","Novo Nordisk A/S")</f>
        <v>0</v>
      </c>
      <c r="C206" t="s">
        <v>631</v>
      </c>
      <c r="D206">
        <v>0.014377901578458</v>
      </c>
      <c r="E206">
        <v>-0.04791036103089918</v>
      </c>
      <c r="F206">
        <v>0.06</v>
      </c>
      <c r="G206">
        <v>0.03215799926575169</v>
      </c>
      <c r="H206" t="s">
        <v>636</v>
      </c>
      <c r="I206" t="s">
        <v>420</v>
      </c>
    </row>
    <row r="207" spans="1:9">
      <c r="A207" s="1" t="s">
        <v>214</v>
      </c>
      <c r="B207">
        <f>HYPERLINK("https://www.suredividend.com/sure-analysis-INTU/","Intuit, Inc.")</f>
        <v>0</v>
      </c>
      <c r="C207" t="s">
        <v>631</v>
      </c>
      <c r="D207">
        <v>0.006772305871523001</v>
      </c>
      <c r="E207">
        <v>-0.08682187529947138</v>
      </c>
      <c r="F207">
        <v>0.12</v>
      </c>
      <c r="G207">
        <v>0.03181841734881563</v>
      </c>
      <c r="H207" t="s">
        <v>636</v>
      </c>
      <c r="I207" t="s">
        <v>420</v>
      </c>
    </row>
    <row r="208" spans="1:9">
      <c r="A208" s="1" t="s">
        <v>215</v>
      </c>
      <c r="B208">
        <f>HYPERLINK("https://www.suredividend.com/sure-analysis-UPS/","United Parcel Service, Inc.")</f>
        <v>0</v>
      </c>
      <c r="C208" t="s">
        <v>631</v>
      </c>
      <c r="D208">
        <v>0.024688263675668</v>
      </c>
      <c r="E208">
        <v>-0.07245413385160027</v>
      </c>
      <c r="F208">
        <v>0.08</v>
      </c>
      <c r="G208">
        <v>0.02999513294657996</v>
      </c>
      <c r="H208" t="s">
        <v>636</v>
      </c>
      <c r="I208" t="s">
        <v>381</v>
      </c>
    </row>
    <row r="209" spans="1:9">
      <c r="A209" s="1" t="s">
        <v>216</v>
      </c>
      <c r="B209">
        <f>HYPERLINK("https://www.suredividend.com/sure-analysis-PEP/","PepsiCo, Inc.")</f>
        <v>0</v>
      </c>
      <c r="C209" t="s">
        <v>631</v>
      </c>
      <c r="D209">
        <v>0.02858876305339</v>
      </c>
      <c r="E209">
        <v>-0.05656079535857195</v>
      </c>
      <c r="F209">
        <v>0.055</v>
      </c>
      <c r="G209">
        <v>0.02926922996957848</v>
      </c>
      <c r="H209" t="s">
        <v>636</v>
      </c>
      <c r="I209" t="s">
        <v>636</v>
      </c>
    </row>
    <row r="210" spans="1:9">
      <c r="A210" s="1" t="s">
        <v>217</v>
      </c>
      <c r="B210">
        <f>HYPERLINK("https://www.suredividend.com/sure-analysis-MGRC/","McGrath RentCorp")</f>
        <v>0</v>
      </c>
      <c r="C210" t="s">
        <v>631</v>
      </c>
      <c r="D210">
        <v>0.025853658536585</v>
      </c>
      <c r="E210">
        <v>-0.03134177442226005</v>
      </c>
      <c r="F210">
        <v>0.03</v>
      </c>
      <c r="G210">
        <v>0.02544012769560311</v>
      </c>
      <c r="H210" t="s">
        <v>636</v>
      </c>
      <c r="I210" t="s">
        <v>636</v>
      </c>
    </row>
    <row r="211" spans="1:9">
      <c r="A211" s="1" t="s">
        <v>218</v>
      </c>
      <c r="B211">
        <f>HYPERLINK("https://www.suredividend.com/sure-analysis-UHT/","Universal Health Realty Income Trust")</f>
        <v>0</v>
      </c>
      <c r="C211" t="s">
        <v>633</v>
      </c>
      <c r="D211">
        <v>0.03608586856315001</v>
      </c>
      <c r="E211">
        <v>-0.04924634950682638</v>
      </c>
      <c r="F211">
        <v>0.03</v>
      </c>
      <c r="G211">
        <v>0.01761964168940322</v>
      </c>
      <c r="H211" t="s">
        <v>636</v>
      </c>
      <c r="I211" t="s">
        <v>636</v>
      </c>
    </row>
    <row r="212" spans="1:9">
      <c r="A212" s="1" t="s">
        <v>219</v>
      </c>
      <c r="B212">
        <f>HYPERLINK("https://www.suredividend.com/sure-analysis-AMT/","American Tower Corp.")</f>
        <v>0</v>
      </c>
      <c r="C212" t="s">
        <v>633</v>
      </c>
      <c r="D212">
        <v>0.016337161122291</v>
      </c>
      <c r="E212">
        <v>-0.06071607184002659</v>
      </c>
      <c r="F212">
        <v>0.06</v>
      </c>
      <c r="G212">
        <v>0.0164879054845537</v>
      </c>
      <c r="H212" t="s">
        <v>636</v>
      </c>
      <c r="I212" t="s">
        <v>420</v>
      </c>
    </row>
    <row r="213" spans="1:9">
      <c r="A213" s="1" t="s">
        <v>220</v>
      </c>
      <c r="B213">
        <f>HYPERLINK("https://www.suredividend.com/sure-analysis-INFY/","Infosys Ltd.")</f>
        <v>0</v>
      </c>
      <c r="C213" t="s">
        <v>631</v>
      </c>
      <c r="D213">
        <v>0.018983320095313</v>
      </c>
      <c r="E213">
        <v>-0.06552468890100227</v>
      </c>
      <c r="F213">
        <v>0.06</v>
      </c>
      <c r="G213">
        <v>0.01618726639938295</v>
      </c>
      <c r="H213" t="s">
        <v>636</v>
      </c>
      <c r="I213" t="s">
        <v>420</v>
      </c>
    </row>
    <row r="214" spans="1:9">
      <c r="A214" s="1" t="s">
        <v>221</v>
      </c>
      <c r="B214">
        <f>HYPERLINK("https://www.suredividend.com/sure-analysis-MCD/","McDonald's Corp.")</f>
        <v>0</v>
      </c>
      <c r="C214" t="s">
        <v>631</v>
      </c>
      <c r="D214">
        <v>0.024054477758181</v>
      </c>
      <c r="E214">
        <v>-0.06949987612798747</v>
      </c>
      <c r="F214">
        <v>0.06</v>
      </c>
      <c r="G214">
        <v>0.01456634994573913</v>
      </c>
      <c r="H214" t="s">
        <v>636</v>
      </c>
      <c r="I214" t="s">
        <v>381</v>
      </c>
    </row>
    <row r="215" spans="1:9">
      <c r="A215" s="1" t="s">
        <v>222</v>
      </c>
      <c r="B215">
        <f>HYPERLINK("https://www.suredividend.com/sure-analysis-WEC/","WEC Energy Group, Inc.")</f>
        <v>0</v>
      </c>
      <c r="C215" t="s">
        <v>631</v>
      </c>
      <c r="D215">
        <v>0.026085564920516</v>
      </c>
      <c r="E215">
        <v>-0.06776969230684338</v>
      </c>
      <c r="F215">
        <v>0.052</v>
      </c>
      <c r="G215">
        <v>0.01355276193779997</v>
      </c>
      <c r="H215" t="s">
        <v>636</v>
      </c>
      <c r="I215" t="s">
        <v>381</v>
      </c>
    </row>
    <row r="216" spans="1:9">
      <c r="A216" s="1" t="s">
        <v>223</v>
      </c>
      <c r="B216">
        <f>HYPERLINK("https://www.suredividend.com/sure-analysis-RMD/","ResMed, Inc.")</f>
        <v>0</v>
      </c>
      <c r="C216" t="s">
        <v>631</v>
      </c>
      <c r="D216">
        <v>0.008906651441621</v>
      </c>
      <c r="E216">
        <v>-0.1074222912057405</v>
      </c>
      <c r="F216">
        <v>0.12</v>
      </c>
      <c r="G216">
        <v>0.0115239677392498</v>
      </c>
      <c r="H216" t="s">
        <v>636</v>
      </c>
      <c r="I216" t="s">
        <v>420</v>
      </c>
    </row>
    <row r="217" spans="1:9">
      <c r="A217" s="1" t="s">
        <v>224</v>
      </c>
      <c r="B217">
        <f>HYPERLINK("https://www.suredividend.com/sure-analysis-CBSH/","Commerce Bancshares, Inc. (Missouri)")</f>
        <v>0</v>
      </c>
      <c r="C217" t="s">
        <v>631</v>
      </c>
      <c r="D217">
        <v>0.017251093150385</v>
      </c>
      <c r="E217">
        <v>-0.06772866465473071</v>
      </c>
      <c r="F217">
        <v>0.06</v>
      </c>
      <c r="G217">
        <v>0.0100046979969608</v>
      </c>
      <c r="H217" t="s">
        <v>636</v>
      </c>
      <c r="I217" t="s">
        <v>420</v>
      </c>
    </row>
    <row r="218" spans="1:9">
      <c r="A218" s="1" t="s">
        <v>225</v>
      </c>
      <c r="B218">
        <f>HYPERLINK("https://www.suredividend.com/sure-analysis-WU/","The Western Union Co.")</f>
        <v>0</v>
      </c>
      <c r="C218" t="s">
        <v>631</v>
      </c>
      <c r="D218">
        <v>0.036355859709153</v>
      </c>
      <c r="E218">
        <v>-0.0497351633120704</v>
      </c>
      <c r="F218">
        <v>0.01</v>
      </c>
      <c r="G218">
        <v>0.007745580476645531</v>
      </c>
      <c r="H218" t="s">
        <v>636</v>
      </c>
      <c r="I218" t="s">
        <v>636</v>
      </c>
    </row>
    <row r="219" spans="1:9">
      <c r="A219" s="1" t="s">
        <v>226</v>
      </c>
      <c r="B219">
        <f>HYPERLINK("https://www.suredividend.com/sure-analysis-SWKS/","Skyworks Solutions, Inc.")</f>
        <v>0</v>
      </c>
      <c r="C219" t="s">
        <v>631</v>
      </c>
      <c r="D219">
        <v>0.012261390553155</v>
      </c>
      <c r="E219">
        <v>-0.09882531082282875</v>
      </c>
      <c r="F219">
        <v>0.1</v>
      </c>
      <c r="G219">
        <v>0.007581535197989986</v>
      </c>
      <c r="H219" t="s">
        <v>636</v>
      </c>
      <c r="I219" t="s">
        <v>420</v>
      </c>
    </row>
    <row r="220" spans="1:9">
      <c r="A220" s="1" t="s">
        <v>227</v>
      </c>
      <c r="B220">
        <f>HYPERLINK("https://www.suredividend.com/sure-analysis-LLY/","Eli Lilly &amp; Co.")</f>
        <v>0</v>
      </c>
      <c r="C220" t="s">
        <v>631</v>
      </c>
      <c r="D220">
        <v>0.018104575163398</v>
      </c>
      <c r="E220">
        <v>-0.0558665308321632</v>
      </c>
      <c r="F220">
        <v>0.04</v>
      </c>
      <c r="G220">
        <v>0.004632836100993964</v>
      </c>
      <c r="H220" t="s">
        <v>636</v>
      </c>
      <c r="I220" t="s">
        <v>381</v>
      </c>
    </row>
    <row r="221" spans="1:9">
      <c r="A221" s="1" t="s">
        <v>228</v>
      </c>
      <c r="B221">
        <f>HYPERLINK("https://www.suredividend.com/sure-analysis-UNP/","Union Pacific Corp.")</f>
        <v>0</v>
      </c>
      <c r="C221" t="s">
        <v>631</v>
      </c>
      <c r="D221">
        <v>0.02076531977522</v>
      </c>
      <c r="E221">
        <v>-0.08512577998394599</v>
      </c>
      <c r="F221">
        <v>0.07000000000000001</v>
      </c>
      <c r="G221">
        <v>0.003409482316234502</v>
      </c>
      <c r="H221" t="s">
        <v>636</v>
      </c>
      <c r="I221" t="s">
        <v>381</v>
      </c>
    </row>
    <row r="222" spans="1:9">
      <c r="A222" s="1" t="s">
        <v>229</v>
      </c>
      <c r="B222">
        <f>HYPERLINK("https://www.suredividend.com/sure-analysis-ROK/","Rockwell Automation, Inc.")</f>
        <v>0</v>
      </c>
      <c r="C222" t="s">
        <v>631</v>
      </c>
      <c r="D222">
        <v>0.017573696145124</v>
      </c>
      <c r="E222">
        <v>-0.08003072138233658</v>
      </c>
      <c r="F222">
        <v>0.065</v>
      </c>
      <c r="G222">
        <v>0.002180198769343056</v>
      </c>
      <c r="H222" t="s">
        <v>636</v>
      </c>
      <c r="I222" t="s">
        <v>420</v>
      </c>
    </row>
    <row r="223" spans="1:9">
      <c r="A223" s="1" t="s">
        <v>230</v>
      </c>
      <c r="B223">
        <f>HYPERLINK("https://www.suredividend.com/sure-analysis-WM/","Waste Management, Inc.")</f>
        <v>0</v>
      </c>
      <c r="C223" t="s">
        <v>631</v>
      </c>
      <c r="D223">
        <v>0.018949914882179</v>
      </c>
      <c r="E223">
        <v>-0.06911964535913773</v>
      </c>
      <c r="F223">
        <v>0.05</v>
      </c>
      <c r="G223">
        <v>0.0003667113103706932</v>
      </c>
      <c r="H223" t="s">
        <v>636</v>
      </c>
      <c r="I223" t="s">
        <v>420</v>
      </c>
    </row>
    <row r="224" spans="1:9">
      <c r="A224" s="1" t="s">
        <v>231</v>
      </c>
      <c r="B224">
        <f>HYPERLINK("https://www.suredividend.com/sure-analysis-NUE/","Nucor Corp.")</f>
        <v>0</v>
      </c>
      <c r="C224" t="s">
        <v>631</v>
      </c>
      <c r="D224">
        <v>0.034869848156182</v>
      </c>
      <c r="E224">
        <v>-0.2213211656586408</v>
      </c>
      <c r="F224">
        <v>0.231</v>
      </c>
      <c r="G224">
        <v>-0.0002224457327373308</v>
      </c>
      <c r="H224" t="s">
        <v>636</v>
      </c>
      <c r="I224" t="s">
        <v>636</v>
      </c>
    </row>
    <row r="225" spans="1:9">
      <c r="A225" s="1" t="s">
        <v>232</v>
      </c>
      <c r="B225">
        <f>HYPERLINK("https://www.suredividend.com/sure-analysis-WTRG/","Essential Utilities, Inc.")</f>
        <v>0</v>
      </c>
      <c r="C225" t="s">
        <v>631</v>
      </c>
      <c r="D225">
        <v>0.019602593599665</v>
      </c>
      <c r="E225">
        <v>-0.09325245748447009</v>
      </c>
      <c r="F225">
        <v>0.07000000000000001</v>
      </c>
      <c r="G225">
        <v>-0.002672507891029241</v>
      </c>
      <c r="H225" t="s">
        <v>636</v>
      </c>
      <c r="I225" t="s">
        <v>381</v>
      </c>
    </row>
    <row r="226" spans="1:9">
      <c r="A226" s="1" t="s">
        <v>233</v>
      </c>
      <c r="B226">
        <f>HYPERLINK("https://www.suredividend.com/sure-analysis-LIN/","Linde Plc")</f>
        <v>0</v>
      </c>
      <c r="C226" t="s">
        <v>631</v>
      </c>
      <c r="D226">
        <v>0.015106435440124</v>
      </c>
      <c r="E226">
        <v>-0.07928974324805937</v>
      </c>
      <c r="F226">
        <v>0.06</v>
      </c>
      <c r="G226">
        <v>-0.00359264287573835</v>
      </c>
      <c r="H226" t="s">
        <v>636</v>
      </c>
      <c r="I226" t="s">
        <v>420</v>
      </c>
    </row>
    <row r="227" spans="1:9">
      <c r="A227" s="1" t="s">
        <v>234</v>
      </c>
      <c r="B227">
        <f>HYPERLINK("https://www.suredividend.com/sure-analysis-BBY/","Best Buy Co., Inc.")</f>
        <v>0</v>
      </c>
      <c r="C227" t="s">
        <v>631</v>
      </c>
      <c r="D227">
        <v>0.019669928996353</v>
      </c>
      <c r="E227">
        <v>-0.08714467094631428</v>
      </c>
      <c r="F227">
        <v>0.06</v>
      </c>
      <c r="G227">
        <v>-0.003608209378805016</v>
      </c>
      <c r="H227" t="s">
        <v>636</v>
      </c>
      <c r="I227" t="s">
        <v>381</v>
      </c>
    </row>
    <row r="228" spans="1:9">
      <c r="A228" s="1" t="s">
        <v>235</v>
      </c>
      <c r="B228">
        <f>HYPERLINK("https://www.suredividend.com/sure-analysis-WABC/","Westamerica Bancorporation")</f>
        <v>0</v>
      </c>
      <c r="C228" t="s">
        <v>631</v>
      </c>
      <c r="D228">
        <v>0.025937055195318</v>
      </c>
      <c r="E228">
        <v>-0.05454947927605014</v>
      </c>
      <c r="F228">
        <v>0.02</v>
      </c>
      <c r="G228">
        <v>-0.005862568637847732</v>
      </c>
      <c r="H228" t="s">
        <v>636</v>
      </c>
      <c r="I228" t="s">
        <v>381</v>
      </c>
    </row>
    <row r="229" spans="1:9">
      <c r="A229" s="1" t="s">
        <v>236</v>
      </c>
      <c r="B229">
        <f>HYPERLINK("https://www.suredividend.com/sure-analysis-ITW/","Illinois Tool Works, Inc.")</f>
        <v>0</v>
      </c>
      <c r="C229" t="s">
        <v>631</v>
      </c>
      <c r="D229">
        <v>0.0218556911607</v>
      </c>
      <c r="E229">
        <v>-0.0952752250119866</v>
      </c>
      <c r="F229">
        <v>0.07000000000000001</v>
      </c>
      <c r="G229">
        <v>-0.006205760023333617</v>
      </c>
      <c r="H229" t="s">
        <v>636</v>
      </c>
      <c r="I229" t="s">
        <v>381</v>
      </c>
    </row>
    <row r="230" spans="1:9">
      <c r="A230" s="1" t="s">
        <v>237</v>
      </c>
      <c r="B230">
        <f>HYPERLINK("https://www.suredividend.com/sure-analysis-FAST/","Fastenal Co.")</f>
        <v>0</v>
      </c>
      <c r="C230" t="s">
        <v>631</v>
      </c>
      <c r="D230">
        <v>0.019611934070519</v>
      </c>
      <c r="E230">
        <v>-0.09991173257119301</v>
      </c>
      <c r="F230">
        <v>0.07000000000000001</v>
      </c>
      <c r="G230">
        <v>-0.009948801555095033</v>
      </c>
      <c r="H230" t="s">
        <v>636</v>
      </c>
      <c r="I230" t="s">
        <v>420</v>
      </c>
    </row>
    <row r="231" spans="1:9">
      <c r="A231" s="1" t="s">
        <v>238</v>
      </c>
      <c r="B231">
        <f>HYPERLINK("https://www.suredividend.com/sure-analysis-NKE/","NIKE, Inc.")</f>
        <v>0</v>
      </c>
      <c r="C231" t="s">
        <v>631</v>
      </c>
      <c r="D231">
        <v>0.009059861493216</v>
      </c>
      <c r="E231">
        <v>-0.1121317453150767</v>
      </c>
      <c r="F231">
        <v>0.1</v>
      </c>
      <c r="G231">
        <v>-0.01018947330404418</v>
      </c>
      <c r="H231" t="s">
        <v>636</v>
      </c>
      <c r="I231" t="s">
        <v>420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631</v>
      </c>
      <c r="D232">
        <v>0.018685657876181</v>
      </c>
      <c r="E232">
        <v>-0.1033522693517681</v>
      </c>
      <c r="F232">
        <v>0.07000000000000001</v>
      </c>
      <c r="G232">
        <v>-0.01202331040177218</v>
      </c>
      <c r="H232" t="s">
        <v>636</v>
      </c>
      <c r="I232" t="s">
        <v>420</v>
      </c>
    </row>
    <row r="233" spans="1:9">
      <c r="A233" s="1" t="s">
        <v>240</v>
      </c>
      <c r="B233">
        <f>HYPERLINK("https://www.suredividend.com/sure-analysis-QCOM/","QUALCOMM, Inc.")</f>
        <v>0</v>
      </c>
      <c r="C233" t="s">
        <v>631</v>
      </c>
      <c r="D233">
        <v>0.023599097405039</v>
      </c>
      <c r="E233">
        <v>-0.1121565188647713</v>
      </c>
      <c r="F233">
        <v>0.07000000000000001</v>
      </c>
      <c r="G233">
        <v>-0.01633817244472746</v>
      </c>
      <c r="H233" t="s">
        <v>636</v>
      </c>
      <c r="I233" t="s">
        <v>381</v>
      </c>
    </row>
    <row r="234" spans="1:9">
      <c r="A234" s="1" t="s">
        <v>241</v>
      </c>
      <c r="B234">
        <f>HYPERLINK("https://www.suredividend.com/sure-analysis-CBU/","Community Bank System, Inc.")</f>
        <v>0</v>
      </c>
      <c r="C234" t="s">
        <v>631</v>
      </c>
      <c r="D234">
        <v>0.027306027306027</v>
      </c>
      <c r="E234">
        <v>-0.09082178026325716</v>
      </c>
      <c r="F234">
        <v>0.04</v>
      </c>
      <c r="G234">
        <v>-0.01637278310313128</v>
      </c>
      <c r="H234" t="s">
        <v>636</v>
      </c>
      <c r="I234" t="s">
        <v>636</v>
      </c>
    </row>
    <row r="235" spans="1:9">
      <c r="A235" s="1" t="s">
        <v>242</v>
      </c>
      <c r="B235">
        <f>HYPERLINK("https://www.suredividend.com/sure-analysis-XEL/","Xcel Energy, Inc.")</f>
        <v>0</v>
      </c>
      <c r="C235" t="s">
        <v>631</v>
      </c>
      <c r="D235">
        <v>0.023050379572118</v>
      </c>
      <c r="E235">
        <v>-0.08995046271278828</v>
      </c>
      <c r="F235">
        <v>0.04</v>
      </c>
      <c r="G235">
        <v>-0.02155362370206815</v>
      </c>
      <c r="H235" t="s">
        <v>636</v>
      </c>
      <c r="I235" t="s">
        <v>381</v>
      </c>
    </row>
    <row r="236" spans="1:9">
      <c r="A236" s="1" t="s">
        <v>243</v>
      </c>
      <c r="B236">
        <f>HYPERLINK("https://www.suredividend.com/sure-analysis-MORN/","Morningstar, Inc.")</f>
        <v>0</v>
      </c>
      <c r="C236" t="s">
        <v>631</v>
      </c>
      <c r="D236">
        <v>0.007441977800201001</v>
      </c>
      <c r="E236">
        <v>-0.09746889006057602</v>
      </c>
      <c r="F236">
        <v>0.06</v>
      </c>
      <c r="G236">
        <v>-0.03215089963140272</v>
      </c>
      <c r="H236" t="s">
        <v>636</v>
      </c>
      <c r="I236" t="s">
        <v>420</v>
      </c>
    </row>
    <row r="237" spans="1:9">
      <c r="A237" s="1" t="s">
        <v>244</v>
      </c>
      <c r="B237">
        <f>HYPERLINK("https://www.suredividend.com/sure-analysis-APD/","Air Products &amp; Chemicals, Inc.")</f>
        <v>0</v>
      </c>
      <c r="C237" t="s">
        <v>631</v>
      </c>
      <c r="D237">
        <v>0.017778409899018</v>
      </c>
      <c r="E237">
        <v>-0.1171867163150921</v>
      </c>
      <c r="F237">
        <v>0.06</v>
      </c>
      <c r="G237">
        <v>-0.0354844152087721</v>
      </c>
      <c r="H237" t="s">
        <v>636</v>
      </c>
      <c r="I237" t="s">
        <v>381</v>
      </c>
    </row>
    <row r="238" spans="1:9">
      <c r="A238" s="1" t="s">
        <v>245</v>
      </c>
      <c r="B238">
        <f>HYPERLINK("https://www.suredividend.com/sure-analysis-CHRW/","C.H. Robinson Worldwide, Inc.")</f>
        <v>0</v>
      </c>
      <c r="C238" t="s">
        <v>631</v>
      </c>
      <c r="D238">
        <v>0.021005794701986</v>
      </c>
      <c r="E238">
        <v>-0.1108731807907145</v>
      </c>
      <c r="F238">
        <v>0.05</v>
      </c>
      <c r="G238">
        <v>-0.03553119058862919</v>
      </c>
      <c r="H238" t="s">
        <v>636</v>
      </c>
      <c r="I238" t="s">
        <v>420</v>
      </c>
    </row>
    <row r="239" spans="1:9">
      <c r="A239" s="1" t="s">
        <v>246</v>
      </c>
      <c r="B239">
        <f>HYPERLINK("https://www.suredividend.com/sure-analysis-OMI/","Owens &amp; Minor, Inc.")</f>
        <v>0</v>
      </c>
      <c r="C239" t="s">
        <v>631</v>
      </c>
      <c r="D239">
        <v>0.0007262164124900001</v>
      </c>
      <c r="E239">
        <v>-0.07751906739642034</v>
      </c>
      <c r="F239">
        <v>0.04</v>
      </c>
      <c r="G239">
        <v>-0.03982464374892547</v>
      </c>
      <c r="H239" t="s">
        <v>636</v>
      </c>
      <c r="I239" t="s">
        <v>596</v>
      </c>
    </row>
    <row r="240" spans="1:9">
      <c r="A240" s="1" t="s">
        <v>247</v>
      </c>
      <c r="B240">
        <f>HYPERLINK("https://www.suredividend.com/sure-analysis-WSM/","Williams-Sonoma, Inc.")</f>
        <v>0</v>
      </c>
      <c r="C240" t="s">
        <v>631</v>
      </c>
      <c r="D240">
        <v>0.020460358056265</v>
      </c>
      <c r="E240">
        <v>-0.1201701699120172</v>
      </c>
      <c r="F240">
        <v>0.05</v>
      </c>
      <c r="G240">
        <v>-0.04539242341036998</v>
      </c>
      <c r="H240" t="s">
        <v>636</v>
      </c>
      <c r="I240" t="s">
        <v>420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631</v>
      </c>
      <c r="D241">
        <v>0.017502997878424</v>
      </c>
      <c r="E241">
        <v>-0.126013186197477</v>
      </c>
      <c r="F241">
        <v>0.055</v>
      </c>
      <c r="G241">
        <v>-0.05107516800206235</v>
      </c>
      <c r="H241" t="s">
        <v>636</v>
      </c>
      <c r="I241" t="s">
        <v>420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631</v>
      </c>
      <c r="D242">
        <v>0.007522609341351001</v>
      </c>
      <c r="E242">
        <v>-0.1166245611171753</v>
      </c>
      <c r="F242">
        <v>0.018</v>
      </c>
      <c r="G242">
        <v>-0.05546167647246802</v>
      </c>
      <c r="H242" t="s">
        <v>636</v>
      </c>
      <c r="I242" t="s">
        <v>420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632</v>
      </c>
      <c r="D243">
        <v>0.187403993855606</v>
      </c>
      <c r="E243">
        <v>0.05165483042172747</v>
      </c>
      <c r="F243">
        <v>0.074</v>
      </c>
      <c r="G243">
        <v>0.2230699293467093</v>
      </c>
      <c r="H243" t="s">
        <v>381</v>
      </c>
      <c r="I243" t="s">
        <v>635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0.123097286565188</v>
      </c>
      <c r="E244">
        <v>0.07444112937014591</v>
      </c>
      <c r="F244">
        <v>0.03</v>
      </c>
      <c r="G244">
        <v>0.1814175560200062</v>
      </c>
      <c r="H244" t="s">
        <v>381</v>
      </c>
      <c r="I244" t="s">
        <v>635</v>
      </c>
    </row>
    <row r="245" spans="1:9">
      <c r="A245" s="1" t="s">
        <v>252</v>
      </c>
      <c r="B245">
        <f>HYPERLINK("https://www.suredividend.com/sure-analysis-MMP/","Magellan Midstream Partners LP")</f>
        <v>0</v>
      </c>
      <c r="C245" t="s">
        <v>632</v>
      </c>
      <c r="D245">
        <v>0.09971944376677201</v>
      </c>
      <c r="E245">
        <v>0.05704049889376561</v>
      </c>
      <c r="F245">
        <v>0.04</v>
      </c>
      <c r="G245">
        <v>0.1677339155425421</v>
      </c>
      <c r="H245" t="s">
        <v>381</v>
      </c>
      <c r="I245" t="s">
        <v>635</v>
      </c>
    </row>
    <row r="246" spans="1:9">
      <c r="A246" s="1" t="s">
        <v>253</v>
      </c>
      <c r="B246">
        <f>HYPERLINK("https://www.suredividend.com/sure-analysis-CWCO/","Consolidated Water Co. Ltd.")</f>
        <v>0</v>
      </c>
      <c r="C246" t="s">
        <v>631</v>
      </c>
      <c r="D246">
        <v>0.026541764246682</v>
      </c>
      <c r="E246">
        <v>0.06334218861527896</v>
      </c>
      <c r="F246">
        <v>0.07000000000000001</v>
      </c>
      <c r="G246">
        <v>0.1608692614814715</v>
      </c>
      <c r="H246" t="s">
        <v>381</v>
      </c>
      <c r="I246" t="s">
        <v>420</v>
      </c>
    </row>
    <row r="247" spans="1:9">
      <c r="A247" s="1" t="s">
        <v>254</v>
      </c>
      <c r="B247">
        <f>HYPERLINK("https://www.suredividend.com/sure-analysis-NTAP/","NetApp, Inc.")</f>
        <v>0</v>
      </c>
      <c r="C247" t="s">
        <v>631</v>
      </c>
      <c r="D247">
        <v>0.04337022814547</v>
      </c>
      <c r="E247">
        <v>0.06620960630158423</v>
      </c>
      <c r="F247">
        <v>0.06</v>
      </c>
      <c r="G247">
        <v>0.1603743038740644</v>
      </c>
      <c r="H247" t="s">
        <v>381</v>
      </c>
      <c r="I247" t="s">
        <v>381</v>
      </c>
    </row>
    <row r="248" spans="1:9">
      <c r="A248" s="1" t="s">
        <v>255</v>
      </c>
      <c r="B248">
        <f>HYPERLINK("https://www.suredividend.com/sure-analysis-SAXPY/","Sampo Oyj")</f>
        <v>0</v>
      </c>
      <c r="C248" t="s">
        <v>631</v>
      </c>
      <c r="D248">
        <v>0.112321135991261</v>
      </c>
      <c r="E248">
        <v>0.07264744032402315</v>
      </c>
      <c r="F248">
        <v>0.046</v>
      </c>
      <c r="G248">
        <v>0.1569504313103458</v>
      </c>
      <c r="H248" t="s">
        <v>381</v>
      </c>
      <c r="I248" t="s">
        <v>635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632</v>
      </c>
      <c r="D249">
        <v>0.140350877192982</v>
      </c>
      <c r="E249">
        <v>0.03537862858726859</v>
      </c>
      <c r="F249">
        <v>0.02</v>
      </c>
      <c r="G249">
        <v>0.1565661338507507</v>
      </c>
      <c r="H249" t="s">
        <v>381</v>
      </c>
      <c r="I249" t="s">
        <v>635</v>
      </c>
    </row>
    <row r="250" spans="1:9">
      <c r="A250" s="1" t="s">
        <v>257</v>
      </c>
      <c r="B250">
        <f>HYPERLINK("https://www.suredividend.com/sure-analysis-NAVI/","Navient Corp.")</f>
        <v>0</v>
      </c>
      <c r="C250" t="s">
        <v>631</v>
      </c>
      <c r="D250">
        <v>0.071668533034714</v>
      </c>
      <c r="E250">
        <v>0.1263855109564782</v>
      </c>
      <c r="F250">
        <v>-0.02</v>
      </c>
      <c r="G250">
        <v>0.1478627759050755</v>
      </c>
      <c r="H250" t="s">
        <v>381</v>
      </c>
      <c r="I250" t="s">
        <v>635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631</v>
      </c>
      <c r="D251">
        <v>0.04872695346795401</v>
      </c>
      <c r="E251">
        <v>0.05733548320102555</v>
      </c>
      <c r="F251">
        <v>0.05</v>
      </c>
      <c r="G251">
        <v>0.1460093902626307</v>
      </c>
      <c r="H251" t="s">
        <v>381</v>
      </c>
      <c r="I251" t="s">
        <v>636</v>
      </c>
    </row>
    <row r="252" spans="1:9">
      <c r="A252" s="1" t="s">
        <v>259</v>
      </c>
      <c r="B252">
        <f>HYPERLINK("https://www.suredividend.com/sure-analysis-BTI/","British American Tobacco plc")</f>
        <v>0</v>
      </c>
      <c r="C252" t="s">
        <v>631</v>
      </c>
      <c r="D252">
        <v>0.0775</v>
      </c>
      <c r="E252">
        <v>0.05291848906511043</v>
      </c>
      <c r="F252">
        <v>0.03</v>
      </c>
      <c r="G252">
        <v>0.1397446747844207</v>
      </c>
      <c r="H252" t="s">
        <v>381</v>
      </c>
      <c r="I252" t="s">
        <v>635</v>
      </c>
    </row>
    <row r="253" spans="1:9">
      <c r="A253" s="1" t="s">
        <v>260</v>
      </c>
      <c r="B253">
        <f>HYPERLINK("https://www.suredividend.com/sure-analysis-KMI/","Kinder Morgan, Inc.")</f>
        <v>0</v>
      </c>
      <c r="C253" t="s">
        <v>631</v>
      </c>
      <c r="D253">
        <v>0.069635488308115</v>
      </c>
      <c r="E253">
        <v>0.06761077191543419</v>
      </c>
      <c r="F253">
        <v>0.02</v>
      </c>
      <c r="G253">
        <v>0.1388768557965481</v>
      </c>
      <c r="H253" t="s">
        <v>381</v>
      </c>
      <c r="I253" t="s">
        <v>636</v>
      </c>
    </row>
    <row r="254" spans="1:9">
      <c r="A254" s="1" t="s">
        <v>261</v>
      </c>
      <c r="B254">
        <f>HYPERLINK("https://www.suredividend.com/sure-analysis-BNS/","The Bank of Nova Scotia")</f>
        <v>0</v>
      </c>
      <c r="C254" t="s">
        <v>631</v>
      </c>
      <c r="D254">
        <v>0.061661136912702</v>
      </c>
      <c r="E254">
        <v>0.06883353514087021</v>
      </c>
      <c r="F254">
        <v>0.02</v>
      </c>
      <c r="G254">
        <v>0.1356865669264848</v>
      </c>
      <c r="H254" t="s">
        <v>381</v>
      </c>
      <c r="I254" t="s">
        <v>635</v>
      </c>
    </row>
    <row r="255" spans="1:9">
      <c r="A255" s="1" t="s">
        <v>262</v>
      </c>
      <c r="B255">
        <f>HYPERLINK("https://www.suredividend.com/sure-analysis-ENB/","Enbridge, Inc.")</f>
        <v>0</v>
      </c>
      <c r="C255" t="s">
        <v>631</v>
      </c>
      <c r="D255">
        <v>0.06879931955763401</v>
      </c>
      <c r="E255">
        <v>0.02540614878343095</v>
      </c>
      <c r="F255">
        <v>0.05</v>
      </c>
      <c r="G255">
        <v>0.1317848924522993</v>
      </c>
      <c r="H255" t="s">
        <v>381</v>
      </c>
      <c r="I255" t="s">
        <v>635</v>
      </c>
    </row>
    <row r="256" spans="1:9">
      <c r="A256" s="1" t="s">
        <v>263</v>
      </c>
      <c r="B256">
        <f>HYPERLINK("https://www.suredividend.com/sure-analysis-SYF/","Synchrony Financial")</f>
        <v>0</v>
      </c>
      <c r="C256" t="s">
        <v>631</v>
      </c>
      <c r="D256">
        <v>0.035786905246034</v>
      </c>
      <c r="E256">
        <v>0.04977264413928073</v>
      </c>
      <c r="F256">
        <v>0.05</v>
      </c>
      <c r="G256">
        <v>0.129318603420886</v>
      </c>
      <c r="H256" t="s">
        <v>381</v>
      </c>
      <c r="I256" t="s">
        <v>381</v>
      </c>
    </row>
    <row r="257" spans="1:9">
      <c r="A257" s="1" t="s">
        <v>264</v>
      </c>
      <c r="B257">
        <f>HYPERLINK("https://www.suredividend.com/sure-analysis-PFE/","Pfizer Inc.")</f>
        <v>0</v>
      </c>
      <c r="C257" t="s">
        <v>631</v>
      </c>
      <c r="D257">
        <v>0.039072675175827</v>
      </c>
      <c r="E257">
        <v>0.0401026142411629</v>
      </c>
      <c r="F257">
        <v>0.06</v>
      </c>
      <c r="G257">
        <v>0.1292560593244154</v>
      </c>
      <c r="H257" t="s">
        <v>381</v>
      </c>
      <c r="I257" t="s">
        <v>381</v>
      </c>
    </row>
    <row r="258" spans="1:9">
      <c r="A258" s="1" t="s">
        <v>265</v>
      </c>
      <c r="B258">
        <f>HYPERLINK("https://www.suredividend.com/sure-analysis-NC/","NACCO Industries, Inc.")</f>
        <v>0</v>
      </c>
      <c r="C258" t="s">
        <v>631</v>
      </c>
      <c r="D258">
        <v>0.03325337985172201</v>
      </c>
      <c r="E258">
        <v>0.09194396012359474</v>
      </c>
      <c r="F258">
        <v>0.01</v>
      </c>
      <c r="G258">
        <v>0.1287574643955791</v>
      </c>
      <c r="H258" t="s">
        <v>381</v>
      </c>
      <c r="I258" t="s">
        <v>381</v>
      </c>
    </row>
    <row r="259" spans="1:9">
      <c r="A259" s="1" t="s">
        <v>266</v>
      </c>
      <c r="B259">
        <f>HYPERLINK("https://www.suredividend.com/sure-analysis-ALLY/","Ally Financial, Inc.")</f>
        <v>0</v>
      </c>
      <c r="C259" t="s">
        <v>631</v>
      </c>
      <c r="D259">
        <v>0.032742155525238</v>
      </c>
      <c r="E259">
        <v>0.04535969541335882</v>
      </c>
      <c r="F259">
        <v>0.05</v>
      </c>
      <c r="G259">
        <v>0.1272706024869195</v>
      </c>
      <c r="H259" t="s">
        <v>381</v>
      </c>
      <c r="I259" t="s">
        <v>420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631</v>
      </c>
      <c r="D260">
        <v>0.047264133793855</v>
      </c>
      <c r="E260">
        <v>0.05252666312872356</v>
      </c>
      <c r="F260">
        <v>0.035</v>
      </c>
      <c r="G260">
        <v>0.1258552541375741</v>
      </c>
      <c r="H260" t="s">
        <v>381</v>
      </c>
      <c r="I260" t="s">
        <v>636</v>
      </c>
    </row>
    <row r="261" spans="1:9">
      <c r="A261" s="1" t="s">
        <v>268</v>
      </c>
      <c r="B261">
        <f>HYPERLINK("https://www.suredividend.com/sure-analysis-TFC/","Truist Financial Corp.")</f>
        <v>0</v>
      </c>
      <c r="C261" t="s">
        <v>631</v>
      </c>
      <c r="D261">
        <v>0.045662100456621</v>
      </c>
      <c r="E261">
        <v>0.020289978423083</v>
      </c>
      <c r="F261">
        <v>0.07000000000000001</v>
      </c>
      <c r="G261">
        <v>0.125683692915822</v>
      </c>
      <c r="H261" t="s">
        <v>381</v>
      </c>
      <c r="I261" t="s">
        <v>381</v>
      </c>
    </row>
    <row r="262" spans="1:9">
      <c r="A262" s="1" t="s">
        <v>269</v>
      </c>
      <c r="B262">
        <f>HYPERLINK("https://www.suredividend.com/sure-analysis-ALL/","The Allstate Corp.")</f>
        <v>0</v>
      </c>
      <c r="C262" t="s">
        <v>631</v>
      </c>
      <c r="D262">
        <v>0.021388174807197</v>
      </c>
      <c r="E262">
        <v>0.05239800523217508</v>
      </c>
      <c r="F262">
        <v>0.05</v>
      </c>
      <c r="G262">
        <v>0.1233443610310196</v>
      </c>
      <c r="H262" t="s">
        <v>381</v>
      </c>
      <c r="I262" t="s">
        <v>420</v>
      </c>
    </row>
    <row r="263" spans="1:9">
      <c r="A263" s="1" t="s">
        <v>270</v>
      </c>
      <c r="B263">
        <f>HYPERLINK("https://www.suredividend.com/sure-analysis-FTI/","TechnipFMC Plc")</f>
        <v>0</v>
      </c>
      <c r="C263" t="s">
        <v>631</v>
      </c>
      <c r="D263">
        <v>0.045243619489559</v>
      </c>
      <c r="E263">
        <v>0.02966808427901979</v>
      </c>
      <c r="F263">
        <v>0.09</v>
      </c>
      <c r="G263">
        <v>0.1223382118641316</v>
      </c>
      <c r="H263" t="s">
        <v>381</v>
      </c>
      <c r="I263" t="s">
        <v>381</v>
      </c>
    </row>
    <row r="264" spans="1:9">
      <c r="A264" s="1" t="s">
        <v>271</v>
      </c>
      <c r="B264">
        <f>HYPERLINK("https://www.suredividend.com/sure-analysis-OPI/","Office Properties Income Trust")</f>
        <v>0</v>
      </c>
      <c r="C264" t="s">
        <v>633</v>
      </c>
      <c r="D264">
        <v>0.064277366575769</v>
      </c>
      <c r="E264">
        <v>0.04927147937666043</v>
      </c>
      <c r="F264">
        <v>0.01</v>
      </c>
      <c r="G264">
        <v>0.1214702782793862</v>
      </c>
      <c r="H264" t="s">
        <v>381</v>
      </c>
      <c r="I264" t="s">
        <v>636</v>
      </c>
    </row>
    <row r="265" spans="1:9">
      <c r="A265" s="1" t="s">
        <v>272</v>
      </c>
      <c r="B265">
        <f>HYPERLINK("https://www.suredividend.com/sure-analysis-PRU/","Prudential Financial, Inc.")</f>
        <v>0</v>
      </c>
      <c r="C265" t="s">
        <v>631</v>
      </c>
      <c r="D265">
        <v>0.060396893874029</v>
      </c>
      <c r="E265">
        <v>0.01444780635049558</v>
      </c>
      <c r="F265">
        <v>0.05</v>
      </c>
      <c r="G265">
        <v>0.1161465322732753</v>
      </c>
      <c r="H265" t="s">
        <v>381</v>
      </c>
      <c r="I265" t="s">
        <v>636</v>
      </c>
    </row>
    <row r="266" spans="1:9">
      <c r="A266" s="1" t="s">
        <v>273</v>
      </c>
      <c r="B266">
        <f>HYPERLINK("https://www.suredividend.com/sure-analysis-BMO/","Bank of Montreal")</f>
        <v>0</v>
      </c>
      <c r="C266" t="s">
        <v>631</v>
      </c>
      <c r="D266">
        <v>0.054525191848949</v>
      </c>
      <c r="E266">
        <v>0.05736285339244263</v>
      </c>
      <c r="F266">
        <v>0.012</v>
      </c>
      <c r="G266">
        <v>0.1119861441428494</v>
      </c>
      <c r="H266" t="s">
        <v>381</v>
      </c>
      <c r="I266" t="s">
        <v>635</v>
      </c>
    </row>
    <row r="267" spans="1:9">
      <c r="A267" s="1" t="s">
        <v>274</v>
      </c>
      <c r="B267">
        <f>HYPERLINK("https://www.suredividend.com/sure-analysis-DD/","DuPont de Nemours, Inc.")</f>
        <v>0</v>
      </c>
      <c r="C267" t="s">
        <v>631</v>
      </c>
      <c r="D267">
        <v>0.0208080457777</v>
      </c>
      <c r="E267">
        <v>0.02236287455595032</v>
      </c>
      <c r="F267">
        <v>0.07000000000000001</v>
      </c>
      <c r="G267">
        <v>0.111842243027283</v>
      </c>
      <c r="H267" t="s">
        <v>381</v>
      </c>
      <c r="I267" t="s">
        <v>420</v>
      </c>
    </row>
    <row r="268" spans="1:9">
      <c r="A268" s="1" t="s">
        <v>275</v>
      </c>
      <c r="B268">
        <f>HYPERLINK("https://www.suredividend.com/sure-analysis-BIP/","Brookfield Infrastructure Partners LP")</f>
        <v>0</v>
      </c>
      <c r="C268" t="s">
        <v>632</v>
      </c>
      <c r="D268">
        <v>0.046184510250569</v>
      </c>
      <c r="E268">
        <v>-0.01096331976727316</v>
      </c>
      <c r="F268">
        <v>0.08</v>
      </c>
      <c r="G268">
        <v>0.1066059996808413</v>
      </c>
      <c r="H268" t="s">
        <v>381</v>
      </c>
      <c r="I268" t="s">
        <v>636</v>
      </c>
    </row>
    <row r="269" spans="1:9">
      <c r="A269" s="1" t="s">
        <v>276</v>
      </c>
      <c r="B269">
        <f>HYPERLINK("https://www.suredividend.com/sure-analysis-BAC/","Bank of America Corp.")</f>
        <v>0</v>
      </c>
      <c r="C269" t="s">
        <v>631</v>
      </c>
      <c r="D269">
        <v>0.027108433734939</v>
      </c>
      <c r="E269">
        <v>0.01499660234214906</v>
      </c>
      <c r="F269">
        <v>0.06</v>
      </c>
      <c r="G269">
        <v>0.1014676681727076</v>
      </c>
      <c r="H269" t="s">
        <v>381</v>
      </c>
      <c r="I269" t="s">
        <v>420</v>
      </c>
    </row>
    <row r="270" spans="1:9">
      <c r="A270" s="1" t="s">
        <v>277</v>
      </c>
      <c r="B270">
        <f>HYPERLINK("https://www.suredividend.com/sure-analysis-ORI/","Old Republic International Corp.")</f>
        <v>0</v>
      </c>
      <c r="C270" t="s">
        <v>631</v>
      </c>
      <c r="D270">
        <v>0.04767441860465101</v>
      </c>
      <c r="E270">
        <v>0.02141517931834724</v>
      </c>
      <c r="F270">
        <v>0.04</v>
      </c>
      <c r="G270">
        <v>0.1013977155702648</v>
      </c>
      <c r="H270" t="s">
        <v>381</v>
      </c>
      <c r="I270" t="s">
        <v>636</v>
      </c>
    </row>
    <row r="271" spans="1:9">
      <c r="A271" s="1" t="s">
        <v>278</v>
      </c>
      <c r="B271">
        <f>HYPERLINK("https://www.suredividend.com/sure-analysis-TYCB/","Calvin B. Taylor Bankshares, Inc.")</f>
        <v>0</v>
      </c>
      <c r="C271" t="s">
        <v>631</v>
      </c>
      <c r="D271">
        <v>0.033027522935779</v>
      </c>
      <c r="E271">
        <v>0.01368742341740226</v>
      </c>
      <c r="F271">
        <v>0.06</v>
      </c>
      <c r="G271">
        <v>0.1008996743492658</v>
      </c>
      <c r="H271" t="s">
        <v>381</v>
      </c>
      <c r="I271" t="s">
        <v>381</v>
      </c>
    </row>
    <row r="272" spans="1:9">
      <c r="A272" s="1" t="s">
        <v>279</v>
      </c>
      <c r="B272">
        <f>HYPERLINK("https://www.suredividend.com/sure-analysis-AON/","Aon Plc")</f>
        <v>0</v>
      </c>
      <c r="C272" t="s">
        <v>631</v>
      </c>
      <c r="D272">
        <v>0.004563368595727001</v>
      </c>
      <c r="E272">
        <v>-0.008995308334179386</v>
      </c>
      <c r="F272">
        <v>0.1</v>
      </c>
      <c r="G272">
        <v>0.099115222294063</v>
      </c>
      <c r="H272" t="s">
        <v>381</v>
      </c>
      <c r="I272" t="s">
        <v>596</v>
      </c>
    </row>
    <row r="273" spans="1:9">
      <c r="A273" s="1" t="s">
        <v>280</v>
      </c>
      <c r="B273">
        <f>HYPERLINK("https://www.suredividend.com/sure-analysis-BK/","The Bank of New York Mellon Corp.")</f>
        <v>0</v>
      </c>
      <c r="C273" t="s">
        <v>631</v>
      </c>
      <c r="D273">
        <v>0.032683183974696</v>
      </c>
      <c r="E273">
        <v>0.02899768464691133</v>
      </c>
      <c r="F273">
        <v>0.04</v>
      </c>
      <c r="G273">
        <v>0.09827161307794086</v>
      </c>
      <c r="H273" t="s">
        <v>381</v>
      </c>
      <c r="I273" t="s">
        <v>381</v>
      </c>
    </row>
    <row r="274" spans="1:9">
      <c r="A274" s="1" t="s">
        <v>281</v>
      </c>
      <c r="B274">
        <f>HYPERLINK("https://www.suredividend.com/sure-analysis-YUM/","Yum! Brands, Inc.")</f>
        <v>0</v>
      </c>
      <c r="C274" t="s">
        <v>631</v>
      </c>
      <c r="D274">
        <v>0.019487628640245</v>
      </c>
      <c r="E274">
        <v>-0.04406052238945457</v>
      </c>
      <c r="F274">
        <v>0.13</v>
      </c>
      <c r="G274">
        <v>0.09747005591887081</v>
      </c>
      <c r="H274" t="s">
        <v>381</v>
      </c>
      <c r="I274" t="s">
        <v>420</v>
      </c>
    </row>
    <row r="275" spans="1:9">
      <c r="A275" s="1" t="s">
        <v>282</v>
      </c>
      <c r="B275">
        <f>HYPERLINK("https://www.suredividend.com/sure-analysis-CM/","Canadian Imperial Bank of Commerce")</f>
        <v>0</v>
      </c>
      <c r="C275" t="s">
        <v>631</v>
      </c>
      <c r="D275">
        <v>0.05981593761229501</v>
      </c>
      <c r="E275">
        <v>0.03411518697450378</v>
      </c>
      <c r="F275">
        <v>0.012</v>
      </c>
      <c r="G275">
        <v>0.09549061071629961</v>
      </c>
      <c r="H275" t="s">
        <v>381</v>
      </c>
      <c r="I275" t="s">
        <v>635</v>
      </c>
    </row>
    <row r="276" spans="1:9">
      <c r="A276" s="1" t="s">
        <v>283</v>
      </c>
      <c r="B276">
        <f>HYPERLINK("https://www.suredividend.com/sure-analysis-TD/","The Toronto-Dominion Bank")</f>
        <v>0</v>
      </c>
      <c r="C276" t="s">
        <v>631</v>
      </c>
      <c r="D276">
        <v>0.048495702775849</v>
      </c>
      <c r="E276">
        <v>0.04088260884778427</v>
      </c>
      <c r="F276">
        <v>0.012</v>
      </c>
      <c r="G276">
        <v>0.09360006992952252</v>
      </c>
      <c r="H276" t="s">
        <v>381</v>
      </c>
      <c r="I276" t="s">
        <v>636</v>
      </c>
    </row>
    <row r="277" spans="1:9">
      <c r="A277" s="1" t="s">
        <v>284</v>
      </c>
      <c r="B277">
        <f>HYPERLINK("https://www.suredividend.com/sure-analysis-SNY/","Sanofi")</f>
        <v>0</v>
      </c>
      <c r="C277" t="s">
        <v>631</v>
      </c>
      <c r="D277">
        <v>0.033380475348654</v>
      </c>
      <c r="E277">
        <v>0.02325796097266308</v>
      </c>
      <c r="F277">
        <v>0.04</v>
      </c>
      <c r="G277">
        <v>0.09335575445398114</v>
      </c>
      <c r="H277" t="s">
        <v>381</v>
      </c>
      <c r="I277" t="s">
        <v>381</v>
      </c>
    </row>
    <row r="278" spans="1:9">
      <c r="A278" s="1" t="s">
        <v>285</v>
      </c>
      <c r="B278">
        <f>HYPERLINK("https://www.suredividend.com/sure-analysis-OTTR/","Otter Tail Corp.")</f>
        <v>0</v>
      </c>
      <c r="C278" t="s">
        <v>631</v>
      </c>
      <c r="D278">
        <v>0.034740651387213</v>
      </c>
      <c r="E278">
        <v>0.01348323122290651</v>
      </c>
      <c r="F278">
        <v>0.046</v>
      </c>
      <c r="G278">
        <v>0.09009770290573771</v>
      </c>
      <c r="H278" t="s">
        <v>381</v>
      </c>
      <c r="I278" t="s">
        <v>381</v>
      </c>
    </row>
    <row r="279" spans="1:9">
      <c r="A279" s="1" t="s">
        <v>286</v>
      </c>
      <c r="B279">
        <f>HYPERLINK("https://www.suredividend.com/sure-analysis-MCY/","Mercury General Corp.")</f>
        <v>0</v>
      </c>
      <c r="C279" t="s">
        <v>631</v>
      </c>
      <c r="D279">
        <v>0.054514941533131</v>
      </c>
      <c r="E279">
        <v>0.0309409885581442</v>
      </c>
      <c r="F279">
        <v>0.015</v>
      </c>
      <c r="G279">
        <v>0.08954106378008331</v>
      </c>
      <c r="H279" t="s">
        <v>381</v>
      </c>
      <c r="I279" t="s">
        <v>636</v>
      </c>
    </row>
    <row r="280" spans="1:9">
      <c r="A280" s="1" t="s">
        <v>287</v>
      </c>
      <c r="B280">
        <f>HYPERLINK("https://www.suredividend.com/sure-analysis-HPQ/","HP, Inc.")</f>
        <v>0</v>
      </c>
      <c r="C280" t="s">
        <v>631</v>
      </c>
      <c r="D280">
        <v>0.03544783983140101</v>
      </c>
      <c r="E280">
        <v>0.004588817283560864</v>
      </c>
      <c r="F280">
        <v>0.05</v>
      </c>
      <c r="G280">
        <v>0.08899747074696851</v>
      </c>
      <c r="H280" t="s">
        <v>381</v>
      </c>
      <c r="I280" t="s">
        <v>381</v>
      </c>
    </row>
    <row r="281" spans="1:9">
      <c r="A281" s="1" t="s">
        <v>288</v>
      </c>
      <c r="B281">
        <f>HYPERLINK("https://www.suredividend.com/sure-analysis-ERF/","Enerplus Corp.")</f>
        <v>0</v>
      </c>
      <c r="C281" t="s">
        <v>631</v>
      </c>
      <c r="D281">
        <v>0.029311986600822</v>
      </c>
      <c r="E281">
        <v>0.007324351455680889</v>
      </c>
      <c r="F281">
        <v>0.057</v>
      </c>
      <c r="G281">
        <v>0.08741333030768139</v>
      </c>
      <c r="H281" t="s">
        <v>381</v>
      </c>
      <c r="I281" t="s">
        <v>381</v>
      </c>
    </row>
    <row r="282" spans="1:9">
      <c r="A282" s="1" t="s">
        <v>289</v>
      </c>
      <c r="B282">
        <f>HYPERLINK("https://www.suredividend.com/sure-analysis-KLAC/","KLA Corp.")</f>
        <v>0</v>
      </c>
      <c r="C282" t="s">
        <v>631</v>
      </c>
      <c r="D282">
        <v>0.016248953665862</v>
      </c>
      <c r="E282">
        <v>-0.01499960851450766</v>
      </c>
      <c r="F282">
        <v>0.08500000000000001</v>
      </c>
      <c r="G282">
        <v>0.0856402680318078</v>
      </c>
      <c r="H282" t="s">
        <v>381</v>
      </c>
      <c r="I282" t="s">
        <v>420</v>
      </c>
    </row>
    <row r="283" spans="1:9">
      <c r="A283" s="1" t="s">
        <v>290</v>
      </c>
      <c r="B283">
        <f>HYPERLINK("https://www.suredividend.com/sure-analysis-VALE/","Vale SA")</f>
        <v>0</v>
      </c>
      <c r="C283" t="s">
        <v>631</v>
      </c>
      <c r="D283">
        <v>0.030572183098591</v>
      </c>
      <c r="E283">
        <v>0.03080860626760407</v>
      </c>
      <c r="F283">
        <v>0.03</v>
      </c>
      <c r="G283">
        <v>0.08313863013590672</v>
      </c>
      <c r="H283" t="s">
        <v>381</v>
      </c>
      <c r="I283" t="s">
        <v>420</v>
      </c>
    </row>
    <row r="284" spans="1:9">
      <c r="A284" s="1" t="s">
        <v>291</v>
      </c>
      <c r="B284">
        <f>HYPERLINK("https://www.suredividend.com/sure-analysis-PM/","Philip Morris International, Inc.")</f>
        <v>0</v>
      </c>
      <c r="C284" t="s">
        <v>631</v>
      </c>
      <c r="D284">
        <v>0.059716728339925</v>
      </c>
      <c r="E284">
        <v>-0.009635109839811196</v>
      </c>
      <c r="F284">
        <v>0.04</v>
      </c>
      <c r="G284">
        <v>0.08205062348867553</v>
      </c>
      <c r="H284" t="s">
        <v>381</v>
      </c>
      <c r="I284" t="s">
        <v>636</v>
      </c>
    </row>
    <row r="285" spans="1:9">
      <c r="A285" s="1" t="s">
        <v>292</v>
      </c>
      <c r="B285">
        <f>HYPERLINK("https://www.suredividend.com/sure-analysis-PSA/","Public Storage")</f>
        <v>0</v>
      </c>
      <c r="C285" t="s">
        <v>633</v>
      </c>
      <c r="D285">
        <v>0.039508123857968</v>
      </c>
      <c r="E285">
        <v>0.01559707541748434</v>
      </c>
      <c r="F285">
        <v>0.03</v>
      </c>
      <c r="G285">
        <v>0.08103419555347013</v>
      </c>
      <c r="H285" t="s">
        <v>381</v>
      </c>
      <c r="I285" t="s">
        <v>381</v>
      </c>
    </row>
    <row r="286" spans="1:9">
      <c r="A286" s="1" t="s">
        <v>293</v>
      </c>
      <c r="B286">
        <f>HYPERLINK("https://www.suredividend.com/sure-analysis-AVB/","AvalonBay Communities, Inc.")</f>
        <v>0</v>
      </c>
      <c r="C286" t="s">
        <v>633</v>
      </c>
      <c r="D286">
        <v>0.040442132639791</v>
      </c>
      <c r="E286">
        <v>0.01317155168782902</v>
      </c>
      <c r="F286">
        <v>0.031</v>
      </c>
      <c r="G286">
        <v>0.08101377720119096</v>
      </c>
      <c r="H286" t="s">
        <v>381</v>
      </c>
      <c r="I286" t="s">
        <v>636</v>
      </c>
    </row>
    <row r="287" spans="1:9">
      <c r="A287" s="1" t="s">
        <v>294</v>
      </c>
      <c r="B287">
        <f>HYPERLINK("https://www.suredividend.com/sure-analysis-O/","Realty Income Corp.")</f>
        <v>0</v>
      </c>
      <c r="C287" t="s">
        <v>633</v>
      </c>
      <c r="D287">
        <v>0.04417227025296101</v>
      </c>
      <c r="E287">
        <v>0.001018980589055696</v>
      </c>
      <c r="F287">
        <v>0.04</v>
      </c>
      <c r="G287">
        <v>0.08024595482323171</v>
      </c>
      <c r="H287" t="s">
        <v>381</v>
      </c>
      <c r="I287" t="s">
        <v>636</v>
      </c>
    </row>
    <row r="288" spans="1:9">
      <c r="A288" s="1" t="s">
        <v>295</v>
      </c>
      <c r="B288">
        <f>HYPERLINK("https://www.suredividend.com/sure-analysis-NNN/","National Retail Properties, Inc.")</f>
        <v>0</v>
      </c>
      <c r="C288" t="s">
        <v>633</v>
      </c>
      <c r="D288">
        <v>0.05622107269262101</v>
      </c>
      <c r="E288">
        <v>-0.00906258800593962</v>
      </c>
      <c r="F288">
        <v>0.037</v>
      </c>
      <c r="G288">
        <v>0.07669306592589487</v>
      </c>
      <c r="H288" t="s">
        <v>381</v>
      </c>
      <c r="I288" t="s">
        <v>635</v>
      </c>
    </row>
    <row r="289" spans="1:9">
      <c r="A289" s="1" t="s">
        <v>296</v>
      </c>
      <c r="B289">
        <f>HYPERLINK("https://www.suredividend.com/sure-analysis-AVGO/","Broadcom, Inc.")</f>
        <v>0</v>
      </c>
      <c r="C289" t="s">
        <v>631</v>
      </c>
      <c r="D289">
        <v>0.036045943304007</v>
      </c>
      <c r="E289">
        <v>-0.03648113599363134</v>
      </c>
      <c r="F289">
        <v>0.075</v>
      </c>
      <c r="G289">
        <v>0.07661535542111197</v>
      </c>
      <c r="H289" t="s">
        <v>381</v>
      </c>
      <c r="I289" t="s">
        <v>420</v>
      </c>
    </row>
    <row r="290" spans="1:9">
      <c r="A290" s="1" t="s">
        <v>297</v>
      </c>
      <c r="B290">
        <f>HYPERLINK("https://www.suredividend.com/sure-analysis-GM/","General Motors Co.")</f>
        <v>0</v>
      </c>
      <c r="C290" t="s">
        <v>631</v>
      </c>
      <c r="D290">
        <v>0.040743388134381</v>
      </c>
      <c r="E290">
        <v>0.003343624370828913</v>
      </c>
      <c r="F290">
        <v>0.03</v>
      </c>
      <c r="G290">
        <v>0.07643913052052742</v>
      </c>
      <c r="H290" t="s">
        <v>381</v>
      </c>
      <c r="I290" t="s">
        <v>381</v>
      </c>
    </row>
    <row r="291" spans="1:9">
      <c r="A291" s="1" t="s">
        <v>298</v>
      </c>
      <c r="B291">
        <f>HYPERLINK("https://www.suredividend.com/sure-analysis-ASML/","ASML Holding NV")</f>
        <v>0</v>
      </c>
      <c r="C291" t="s">
        <v>631</v>
      </c>
      <c r="D291">
        <v>0.007190279412167001</v>
      </c>
      <c r="E291">
        <v>-0.0469217707348526</v>
      </c>
      <c r="F291">
        <v>0.12</v>
      </c>
      <c r="G291">
        <v>0.07600767535211972</v>
      </c>
      <c r="H291" t="s">
        <v>381</v>
      </c>
      <c r="I291" t="s">
        <v>596</v>
      </c>
    </row>
    <row r="292" spans="1:9">
      <c r="A292" s="1" t="s">
        <v>299</v>
      </c>
      <c r="B292">
        <f>HYPERLINK("https://www.suredividend.com/sure-analysis-DNKN/","Dunkin' Brands Group, Inc.")</f>
        <v>0</v>
      </c>
      <c r="C292" t="s">
        <v>631</v>
      </c>
      <c r="D292">
        <v>0.016676313124005</v>
      </c>
      <c r="E292">
        <v>-0.02082103638377197</v>
      </c>
      <c r="F292">
        <v>0.08</v>
      </c>
      <c r="G292">
        <v>0.07423214029185332</v>
      </c>
      <c r="H292" t="s">
        <v>381</v>
      </c>
      <c r="I292" t="s">
        <v>596</v>
      </c>
    </row>
    <row r="293" spans="1:9">
      <c r="A293" s="1" t="s">
        <v>300</v>
      </c>
      <c r="B293">
        <f>HYPERLINK("https://www.suredividend.com/sure-analysis-ESS/","Essex Property Trust, Inc.")</f>
        <v>0</v>
      </c>
      <c r="C293" t="s">
        <v>633</v>
      </c>
      <c r="D293">
        <v>0.03604349382495</v>
      </c>
      <c r="E293">
        <v>0.01284828251849279</v>
      </c>
      <c r="F293">
        <v>0.029</v>
      </c>
      <c r="G293">
        <v>0.07389951559093011</v>
      </c>
      <c r="H293" t="s">
        <v>381</v>
      </c>
      <c r="I293" t="s">
        <v>381</v>
      </c>
    </row>
    <row r="294" spans="1:9">
      <c r="A294" s="1" t="s">
        <v>301</v>
      </c>
      <c r="B294">
        <f>HYPERLINK("https://www.suredividend.com/sure-analysis-SO/","The Southern Co.")</f>
        <v>0</v>
      </c>
      <c r="C294" t="s">
        <v>631</v>
      </c>
      <c r="D294">
        <v>0.04539676775013601</v>
      </c>
      <c r="E294">
        <v>-0.008216591953397301</v>
      </c>
      <c r="F294">
        <v>0.04</v>
      </c>
      <c r="G294">
        <v>0.07318595304184305</v>
      </c>
      <c r="H294" t="s">
        <v>381</v>
      </c>
      <c r="I294" t="s">
        <v>636</v>
      </c>
    </row>
    <row r="295" spans="1:9">
      <c r="A295" s="1" t="s">
        <v>302</v>
      </c>
      <c r="B295">
        <f>HYPERLINK("https://www.suredividend.com/sure-analysis-GS/","The Goldman Sachs Group, Inc.")</f>
        <v>0</v>
      </c>
      <c r="C295" t="s">
        <v>631</v>
      </c>
      <c r="D295">
        <v>0.023880026745629</v>
      </c>
      <c r="E295">
        <v>-0.01070728189988102</v>
      </c>
      <c r="F295">
        <v>0.06</v>
      </c>
      <c r="G295">
        <v>0.071696286799392</v>
      </c>
      <c r="H295" t="s">
        <v>381</v>
      </c>
      <c r="I295" t="s">
        <v>420</v>
      </c>
    </row>
    <row r="296" spans="1:9">
      <c r="A296" s="1" t="s">
        <v>303</v>
      </c>
      <c r="B296">
        <f>HYPERLINK("https://www.suredividend.com/sure-analysis-RCI/","Rogers Communications, Inc.")</f>
        <v>0</v>
      </c>
      <c r="C296" t="s">
        <v>631</v>
      </c>
      <c r="D296">
        <v>0.036104336940679</v>
      </c>
      <c r="E296">
        <v>-0.02934071542016403</v>
      </c>
      <c r="F296">
        <v>0.07000000000000001</v>
      </c>
      <c r="G296">
        <v>0.07036132991606059</v>
      </c>
      <c r="H296" t="s">
        <v>381</v>
      </c>
      <c r="I296" t="s">
        <v>381</v>
      </c>
    </row>
    <row r="297" spans="1:9">
      <c r="A297" s="1" t="s">
        <v>304</v>
      </c>
      <c r="B297">
        <f>HYPERLINK("https://www.suredividend.com/sure-analysis-CAT/","Caterpillar, Inc.")</f>
        <v>0</v>
      </c>
      <c r="C297" t="s">
        <v>631</v>
      </c>
      <c r="D297">
        <v>0.029009998591747</v>
      </c>
      <c r="E297">
        <v>-0.03382678786679072</v>
      </c>
      <c r="F297">
        <v>0.08</v>
      </c>
      <c r="G297">
        <v>0.06992165069270295</v>
      </c>
      <c r="H297" t="s">
        <v>381</v>
      </c>
      <c r="I297" t="s">
        <v>381</v>
      </c>
    </row>
    <row r="298" spans="1:9">
      <c r="A298" s="1" t="s">
        <v>305</v>
      </c>
      <c r="B298">
        <f>HYPERLINK("https://www.suredividend.com/sure-analysis-DUK/","Duke Energy Corp.")</f>
        <v>0</v>
      </c>
      <c r="C298" t="s">
        <v>631</v>
      </c>
      <c r="D298">
        <v>0.044596507786691</v>
      </c>
      <c r="E298">
        <v>-0.01142080927597566</v>
      </c>
      <c r="F298">
        <v>0.04</v>
      </c>
      <c r="G298">
        <v>0.06966563451284635</v>
      </c>
      <c r="H298" t="s">
        <v>381</v>
      </c>
      <c r="I298" t="s">
        <v>636</v>
      </c>
    </row>
    <row r="299" spans="1:9">
      <c r="A299" s="1" t="s">
        <v>306</v>
      </c>
      <c r="B299">
        <f>HYPERLINK("https://www.suredividend.com/sure-analysis-TU/","TELUS Corp.")</f>
        <v>0</v>
      </c>
      <c r="C299" t="s">
        <v>631</v>
      </c>
      <c r="D299">
        <v>0.04748166974146401</v>
      </c>
      <c r="E299">
        <v>-0.03888465601906166</v>
      </c>
      <c r="F299">
        <v>0.07000000000000001</v>
      </c>
      <c r="G299">
        <v>0.06903462792793746</v>
      </c>
      <c r="H299" t="s">
        <v>381</v>
      </c>
      <c r="I299" t="s">
        <v>636</v>
      </c>
    </row>
    <row r="300" spans="1:9">
      <c r="A300" s="1" t="s">
        <v>307</v>
      </c>
      <c r="B300">
        <f>HYPERLINK("https://www.suredividend.com/sure-analysis-LEG/","Leggett &amp; Platt, Inc.")</f>
        <v>0</v>
      </c>
      <c r="C300" t="s">
        <v>631</v>
      </c>
      <c r="D300">
        <v>0.038957876795714</v>
      </c>
      <c r="E300">
        <v>-0.01637439475629976</v>
      </c>
      <c r="F300">
        <v>0.05</v>
      </c>
      <c r="G300">
        <v>0.06865722376093286</v>
      </c>
      <c r="H300" t="s">
        <v>381</v>
      </c>
      <c r="I300" t="s">
        <v>381</v>
      </c>
    </row>
    <row r="301" spans="1:9">
      <c r="A301" s="1" t="s">
        <v>308</v>
      </c>
      <c r="B301">
        <f>HYPERLINK("https://www.suredividend.com/sure-analysis-EXC/","Exelon Corp.")</f>
        <v>0</v>
      </c>
      <c r="C301" t="s">
        <v>631</v>
      </c>
      <c r="D301">
        <v>0.03889323936309001</v>
      </c>
      <c r="E301">
        <v>0.01076404836376699</v>
      </c>
      <c r="F301">
        <v>0.02</v>
      </c>
      <c r="G301">
        <v>0.06639061207808505</v>
      </c>
      <c r="H301" t="s">
        <v>381</v>
      </c>
      <c r="I301" t="s">
        <v>381</v>
      </c>
    </row>
    <row r="302" spans="1:9">
      <c r="A302" s="1" t="s">
        <v>309</v>
      </c>
      <c r="B302">
        <f>HYPERLINK("https://www.suredividend.com/sure-analysis-BUD/","Anheuser-Busch InBev SA/NV")</f>
        <v>0</v>
      </c>
      <c r="C302" t="s">
        <v>631</v>
      </c>
      <c r="D302">
        <v>0.026625114573785</v>
      </c>
      <c r="E302">
        <v>0.020820479121338</v>
      </c>
      <c r="F302">
        <v>0.03</v>
      </c>
      <c r="G302">
        <v>0.06623696408484148</v>
      </c>
      <c r="H302" t="s">
        <v>381</v>
      </c>
      <c r="I302" t="s">
        <v>420</v>
      </c>
    </row>
    <row r="303" spans="1:9">
      <c r="A303" s="1" t="s">
        <v>310</v>
      </c>
      <c r="B303">
        <f>HYPERLINK("https://www.suredividend.com/sure-analysis-NLSN/","Nielsen Holdings Plc")</f>
        <v>0</v>
      </c>
      <c r="C303" t="s">
        <v>631</v>
      </c>
      <c r="D303">
        <v>0.032858028518288</v>
      </c>
      <c r="E303">
        <v>0.02016468184820908</v>
      </c>
      <c r="F303">
        <v>0.03</v>
      </c>
      <c r="G303">
        <v>0.06426289273896768</v>
      </c>
      <c r="H303" t="s">
        <v>381</v>
      </c>
      <c r="I303" t="s">
        <v>420</v>
      </c>
    </row>
    <row r="304" spans="1:9">
      <c r="A304" s="1" t="s">
        <v>311</v>
      </c>
      <c r="B304">
        <f>HYPERLINK("https://www.suredividend.com/sure-analysis-RELX/","RELX Plc")</f>
        <v>0</v>
      </c>
      <c r="C304" t="s">
        <v>631</v>
      </c>
      <c r="D304">
        <v>0.025624650112866</v>
      </c>
      <c r="E304">
        <v>-0.02223613591459395</v>
      </c>
      <c r="F304">
        <v>0.06</v>
      </c>
      <c r="G304">
        <v>0.06381606572455079</v>
      </c>
      <c r="H304" t="s">
        <v>381</v>
      </c>
      <c r="I304" t="s">
        <v>420</v>
      </c>
    </row>
    <row r="305" spans="1:9">
      <c r="A305" s="1" t="s">
        <v>312</v>
      </c>
      <c r="B305">
        <f>HYPERLINK("https://www.suredividend.com/sure-analysis-BEP/","Brookfield Renewable Partners LP")</f>
        <v>0</v>
      </c>
      <c r="C305" t="s">
        <v>632</v>
      </c>
      <c r="D305">
        <v>0.046487128779648</v>
      </c>
      <c r="E305">
        <v>-0.04193819081854466</v>
      </c>
      <c r="F305">
        <v>0.06</v>
      </c>
      <c r="G305">
        <v>0.06362079456740677</v>
      </c>
      <c r="H305" t="s">
        <v>381</v>
      </c>
      <c r="I305" t="s">
        <v>636</v>
      </c>
    </row>
    <row r="306" spans="1:9">
      <c r="A306" s="1" t="s">
        <v>313</v>
      </c>
      <c r="B306">
        <f>HYPERLINK("https://www.suredividend.com/sure-analysis-JACK/","Jack in the Box, Inc.")</f>
        <v>0</v>
      </c>
      <c r="C306" t="s">
        <v>631</v>
      </c>
      <c r="D306">
        <v>0.015182186234817</v>
      </c>
      <c r="E306">
        <v>-0.05092835276059482</v>
      </c>
      <c r="F306">
        <v>0.12</v>
      </c>
      <c r="G306">
        <v>0.0629602449081339</v>
      </c>
      <c r="H306" t="s">
        <v>381</v>
      </c>
      <c r="I306" t="s">
        <v>596</v>
      </c>
    </row>
    <row r="307" spans="1:9">
      <c r="A307" s="1" t="s">
        <v>314</v>
      </c>
      <c r="B307">
        <f>HYPERLINK("https://www.suredividend.com/sure-analysis-VIAC/","ViacomCBS, Inc.")</f>
        <v>0</v>
      </c>
      <c r="C307" t="s">
        <v>631</v>
      </c>
      <c r="D307">
        <v>0.034207525655644</v>
      </c>
      <c r="E307">
        <v>-0.003839979633273205</v>
      </c>
      <c r="F307">
        <v>0.03</v>
      </c>
      <c r="G307">
        <v>0.06151808595781949</v>
      </c>
      <c r="H307" t="s">
        <v>381</v>
      </c>
      <c r="I307" t="s">
        <v>381</v>
      </c>
    </row>
    <row r="308" spans="1:9">
      <c r="A308" s="1" t="s">
        <v>315</v>
      </c>
      <c r="B308">
        <f>HYPERLINK("https://www.suredividend.com/sure-analysis-GE/","General Electric Co.")</f>
        <v>0</v>
      </c>
      <c r="C308" t="s">
        <v>631</v>
      </c>
      <c r="D308">
        <v>0.005997001499250001</v>
      </c>
      <c r="E308">
        <v>-0.03956157905242119</v>
      </c>
      <c r="F308">
        <v>0.1</v>
      </c>
      <c r="G308">
        <v>0.06121060290697589</v>
      </c>
      <c r="H308" t="s">
        <v>381</v>
      </c>
      <c r="I308" t="s">
        <v>596</v>
      </c>
    </row>
    <row r="309" spans="1:9">
      <c r="A309" s="1" t="s">
        <v>316</v>
      </c>
      <c r="B309">
        <f>HYPERLINK("https://www.suredividend.com/sure-analysis-DEO/","Diageo Plc")</f>
        <v>0</v>
      </c>
      <c r="C309" t="s">
        <v>631</v>
      </c>
      <c r="D309">
        <v>0.026271866212816</v>
      </c>
      <c r="E309">
        <v>-0.04294404045689892</v>
      </c>
      <c r="F309">
        <v>0.08</v>
      </c>
      <c r="G309">
        <v>0.05893259817312857</v>
      </c>
      <c r="H309" t="s">
        <v>381</v>
      </c>
      <c r="I309" t="s">
        <v>381</v>
      </c>
    </row>
    <row r="310" spans="1:9">
      <c r="A310" s="1" t="s">
        <v>317</v>
      </c>
      <c r="B310">
        <f>HYPERLINK("https://www.suredividend.com/sure-analysis-WPC/","W.P. Carey, Inc.")</f>
        <v>0</v>
      </c>
      <c r="C310" t="s">
        <v>633</v>
      </c>
      <c r="D310">
        <v>0.05686918445539101</v>
      </c>
      <c r="E310">
        <v>-0.02858222059176152</v>
      </c>
      <c r="F310">
        <v>0.035</v>
      </c>
      <c r="G310">
        <v>0.05876674566549545</v>
      </c>
      <c r="H310" t="s">
        <v>381</v>
      </c>
      <c r="I310" t="s">
        <v>635</v>
      </c>
    </row>
    <row r="311" spans="1:9">
      <c r="A311" s="1" t="s">
        <v>318</v>
      </c>
      <c r="B311">
        <f>HYPERLINK("https://www.suredividend.com/sure-analysis-SUUIF/","Superior Plus Corp.")</f>
        <v>0</v>
      </c>
      <c r="C311" t="s">
        <v>631</v>
      </c>
      <c r="D311">
        <v>0.060926050337793</v>
      </c>
      <c r="E311">
        <v>0.002688210842791472</v>
      </c>
      <c r="F311">
        <v>0</v>
      </c>
      <c r="G311">
        <v>0.05670698744665148</v>
      </c>
      <c r="H311" t="s">
        <v>381</v>
      </c>
      <c r="I311" t="s">
        <v>636</v>
      </c>
    </row>
    <row r="312" spans="1:9">
      <c r="A312" s="1" t="s">
        <v>319</v>
      </c>
      <c r="B312">
        <f>HYPERLINK("https://www.suredividend.com/sure-analysis-COR/","CoreSite Realty Corp.")</f>
        <v>0</v>
      </c>
      <c r="C312" t="s">
        <v>633</v>
      </c>
      <c r="D312">
        <v>0.038962075848303</v>
      </c>
      <c r="E312">
        <v>-0.04154139192994122</v>
      </c>
      <c r="F312">
        <v>0.063</v>
      </c>
      <c r="G312">
        <v>0.05629645730466248</v>
      </c>
      <c r="H312" t="s">
        <v>381</v>
      </c>
      <c r="I312" t="s">
        <v>381</v>
      </c>
    </row>
    <row r="313" spans="1:9">
      <c r="A313" s="1" t="s">
        <v>320</v>
      </c>
      <c r="B313">
        <f>HYPERLINK("https://www.suredividend.com/sure-analysis-OSK/","Oshkosh Corp.")</f>
        <v>0</v>
      </c>
      <c r="C313" t="s">
        <v>631</v>
      </c>
      <c r="D313">
        <v>0.014116795366795</v>
      </c>
      <c r="E313">
        <v>0.0008832881594009745</v>
      </c>
      <c r="F313">
        <v>0.04</v>
      </c>
      <c r="G313">
        <v>0.05552706878303781</v>
      </c>
      <c r="H313" t="s">
        <v>381</v>
      </c>
      <c r="I313" t="s">
        <v>420</v>
      </c>
    </row>
    <row r="314" spans="1:9">
      <c r="A314" s="1" t="s">
        <v>321</v>
      </c>
      <c r="B314">
        <f>HYPERLINK("https://www.suredividend.com/sure-analysis-SRCE/","1st Source Corp.")</f>
        <v>0</v>
      </c>
      <c r="C314" t="s">
        <v>631</v>
      </c>
      <c r="D314">
        <v>0.03125</v>
      </c>
      <c r="E314">
        <v>0.005239247623000765</v>
      </c>
      <c r="F314">
        <v>0.02</v>
      </c>
      <c r="G314">
        <v>0.05336659588137449</v>
      </c>
      <c r="H314" t="s">
        <v>381</v>
      </c>
      <c r="I314" t="s">
        <v>381</v>
      </c>
    </row>
    <row r="315" spans="1:9">
      <c r="A315" s="1" t="s">
        <v>322</v>
      </c>
      <c r="B315">
        <f>HYPERLINK("https://www.suredividend.com/sure-analysis-TRSWF/","TransAlta Renewables, Inc.")</f>
        <v>0</v>
      </c>
      <c r="C315" t="s">
        <v>631</v>
      </c>
      <c r="D315">
        <v>0.059145474044337</v>
      </c>
      <c r="E315">
        <v>-0.03321554325357468</v>
      </c>
      <c r="F315">
        <v>0.032</v>
      </c>
      <c r="G315">
        <v>0.05323275430562657</v>
      </c>
      <c r="H315" t="s">
        <v>381</v>
      </c>
      <c r="I315" t="s">
        <v>635</v>
      </c>
    </row>
    <row r="316" spans="1:9">
      <c r="A316" s="1" t="s">
        <v>323</v>
      </c>
      <c r="B316">
        <f>HYPERLINK("https://www.suredividend.com/sure-analysis-WDC/","Western Digital Corp.")</f>
        <v>0</v>
      </c>
      <c r="C316" t="s">
        <v>631</v>
      </c>
      <c r="D316">
        <v>0.040149892933618</v>
      </c>
      <c r="E316">
        <v>-0.01655655284834412</v>
      </c>
      <c r="F316">
        <v>0.07000000000000001</v>
      </c>
      <c r="G316">
        <v>0.05228448845227174</v>
      </c>
      <c r="H316" t="s">
        <v>381</v>
      </c>
      <c r="I316" t="s">
        <v>381</v>
      </c>
    </row>
    <row r="317" spans="1:9">
      <c r="A317" s="1" t="s">
        <v>324</v>
      </c>
      <c r="B317">
        <f>HYPERLINK("https://www.suredividend.com/sure-analysis-GIS/","General Mills, Inc.")</f>
        <v>0</v>
      </c>
      <c r="C317" t="s">
        <v>631</v>
      </c>
      <c r="D317">
        <v>0.030745098039215</v>
      </c>
      <c r="E317">
        <v>-0.00698456211771159</v>
      </c>
      <c r="F317">
        <v>0.03</v>
      </c>
      <c r="G317">
        <v>0.05107141813051053</v>
      </c>
      <c r="H317" t="s">
        <v>381</v>
      </c>
      <c r="I317" t="s">
        <v>381</v>
      </c>
    </row>
    <row r="318" spans="1:9">
      <c r="A318" s="1" t="s">
        <v>325</v>
      </c>
      <c r="B318">
        <f>HYPERLINK("https://www.suredividend.com/sure-analysis-UMBF/","UMB Financial Corp.")</f>
        <v>0</v>
      </c>
      <c r="C318" t="s">
        <v>631</v>
      </c>
      <c r="D318">
        <v>0.023042337954289</v>
      </c>
      <c r="E318">
        <v>-0.02903395179663637</v>
      </c>
      <c r="F318">
        <v>0.06</v>
      </c>
      <c r="G318">
        <v>0.05053829931704912</v>
      </c>
      <c r="H318" t="s">
        <v>381</v>
      </c>
      <c r="I318" t="s">
        <v>420</v>
      </c>
    </row>
    <row r="319" spans="1:9">
      <c r="A319" s="1" t="s">
        <v>326</v>
      </c>
      <c r="B319">
        <f>HYPERLINK("https://www.suredividend.com/sure-analysis-LRCX/","Lam Research Corp.")</f>
        <v>0</v>
      </c>
      <c r="C319" t="s">
        <v>631</v>
      </c>
      <c r="D319">
        <v>0.012241856504151</v>
      </c>
      <c r="E319">
        <v>-0.09261732446108806</v>
      </c>
      <c r="F319">
        <v>0.14</v>
      </c>
      <c r="G319">
        <v>0.04824806855996577</v>
      </c>
      <c r="H319" t="s">
        <v>381</v>
      </c>
      <c r="I319" t="s">
        <v>596</v>
      </c>
    </row>
    <row r="320" spans="1:9">
      <c r="A320" s="1" t="s">
        <v>327</v>
      </c>
      <c r="B320">
        <f>HYPERLINK("https://www.suredividend.com/sure-analysis-STZ/","Constellation Brands, Inc.")</f>
        <v>0</v>
      </c>
      <c r="C320" t="s">
        <v>631</v>
      </c>
      <c r="D320">
        <v>0.017497812773403</v>
      </c>
      <c r="E320">
        <v>-0.01907454620286697</v>
      </c>
      <c r="F320">
        <v>0.05</v>
      </c>
      <c r="G320">
        <v>0.04727743244331251</v>
      </c>
      <c r="H320" t="s">
        <v>381</v>
      </c>
      <c r="I320" t="s">
        <v>420</v>
      </c>
    </row>
    <row r="321" spans="1:9">
      <c r="A321" s="1" t="s">
        <v>328</v>
      </c>
      <c r="B321">
        <f>HYPERLINK("https://www.suredividend.com/sure-analysis-SAN/","Banco Santander SA")</f>
        <v>0</v>
      </c>
      <c r="C321" t="s">
        <v>631</v>
      </c>
      <c r="D321">
        <v>0.049910313901345</v>
      </c>
      <c r="E321">
        <v>0.01096383488931774</v>
      </c>
      <c r="F321">
        <v>0</v>
      </c>
      <c r="G321">
        <v>0.04563955259127317</v>
      </c>
      <c r="H321" t="s">
        <v>381</v>
      </c>
      <c r="I321" t="s">
        <v>636</v>
      </c>
    </row>
    <row r="322" spans="1:9">
      <c r="A322" s="1" t="s">
        <v>329</v>
      </c>
      <c r="B322">
        <f>HYPERLINK("https://www.suredividend.com/sure-analysis-PAYX/","Paychex, Inc.")</f>
        <v>0</v>
      </c>
      <c r="C322" t="s">
        <v>631</v>
      </c>
      <c r="D322">
        <v>0.033337814222341</v>
      </c>
      <c r="E322">
        <v>-0.04740190327102345</v>
      </c>
      <c r="F322">
        <v>0.06</v>
      </c>
      <c r="G322">
        <v>0.04472020380680308</v>
      </c>
      <c r="H322" t="s">
        <v>381</v>
      </c>
      <c r="I322" t="s">
        <v>381</v>
      </c>
    </row>
    <row r="323" spans="1:9">
      <c r="A323" s="1" t="s">
        <v>330</v>
      </c>
      <c r="B323">
        <f>HYPERLINK("https://www.suredividend.com/sure-analysis-TXN/","Texas Instruments Incorporated")</f>
        <v>0</v>
      </c>
      <c r="C323" t="s">
        <v>631</v>
      </c>
      <c r="D323">
        <v>0.02562587696625</v>
      </c>
      <c r="E323">
        <v>-0.06164282567290635</v>
      </c>
      <c r="F323">
        <v>0.08</v>
      </c>
      <c r="G323">
        <v>0.04422191714156387</v>
      </c>
      <c r="H323" t="s">
        <v>381</v>
      </c>
      <c r="I323" t="s">
        <v>420</v>
      </c>
    </row>
    <row r="324" spans="1:9">
      <c r="A324" s="1" t="s">
        <v>331</v>
      </c>
      <c r="B324">
        <f>HYPERLINK("https://www.suredividend.com/sure-analysis-LAZ/","Lazard Ltd.")</f>
        <v>0</v>
      </c>
      <c r="C324" t="s">
        <v>631</v>
      </c>
      <c r="D324">
        <v>0.058548738710682</v>
      </c>
      <c r="E324">
        <v>-0.06565973984350282</v>
      </c>
      <c r="F324">
        <v>0.05</v>
      </c>
      <c r="G324">
        <v>0.0434400767217924</v>
      </c>
      <c r="H324" t="s">
        <v>381</v>
      </c>
      <c r="I324" t="s">
        <v>636</v>
      </c>
    </row>
    <row r="325" spans="1:9">
      <c r="A325" s="1" t="s">
        <v>332</v>
      </c>
      <c r="B325">
        <f>HYPERLINK("https://www.suredividend.com/sure-analysis-PDCO/","Patterson Cos., Inc.")</f>
        <v>0</v>
      </c>
      <c r="C325" t="s">
        <v>631</v>
      </c>
      <c r="D325">
        <v>0.037585833032164</v>
      </c>
      <c r="E325">
        <v>-0.03163150779222634</v>
      </c>
      <c r="F325">
        <v>0.04</v>
      </c>
      <c r="G325">
        <v>0.04202528278222362</v>
      </c>
      <c r="H325" t="s">
        <v>381</v>
      </c>
      <c r="I325" t="s">
        <v>381</v>
      </c>
    </row>
    <row r="326" spans="1:9">
      <c r="A326" s="1" t="s">
        <v>333</v>
      </c>
      <c r="B326">
        <f>HYPERLINK("https://www.suredividend.com/sure-analysis-CCI/","Crown Castle International Corp.")</f>
        <v>0</v>
      </c>
      <c r="C326" t="s">
        <v>633</v>
      </c>
      <c r="D326">
        <v>0.028433024431339</v>
      </c>
      <c r="E326">
        <v>-0.05028856403289428</v>
      </c>
      <c r="F326">
        <v>0.06</v>
      </c>
      <c r="G326">
        <v>0.03996357855510535</v>
      </c>
      <c r="H326" t="s">
        <v>381</v>
      </c>
      <c r="I326" t="s">
        <v>420</v>
      </c>
    </row>
    <row r="327" spans="1:9">
      <c r="A327" s="1" t="s">
        <v>334</v>
      </c>
      <c r="B327">
        <f>HYPERLINK("https://www.suredividend.com/sure-analysis-DOC/","Physicians Realty Trust")</f>
        <v>0</v>
      </c>
      <c r="C327" t="s">
        <v>633</v>
      </c>
      <c r="D327">
        <v>0.04972972972972901</v>
      </c>
      <c r="E327">
        <v>-0.02575841604842233</v>
      </c>
      <c r="F327">
        <v>0.017</v>
      </c>
      <c r="G327">
        <v>0.03837677141030538</v>
      </c>
      <c r="H327" t="s">
        <v>381</v>
      </c>
      <c r="I327" t="s">
        <v>636</v>
      </c>
    </row>
    <row r="328" spans="1:9">
      <c r="A328" s="1" t="s">
        <v>335</v>
      </c>
      <c r="B328">
        <f>HYPERLINK("https://www.suredividend.com/sure-analysis-MAR/","Marriott International, Inc.")</f>
        <v>0</v>
      </c>
      <c r="C328" t="s">
        <v>631</v>
      </c>
      <c r="D328">
        <v>0.014825491609183</v>
      </c>
      <c r="E328">
        <v>-0.042821429444448</v>
      </c>
      <c r="F328">
        <v>0.08</v>
      </c>
      <c r="G328">
        <v>0.03804660721095088</v>
      </c>
      <c r="H328" t="s">
        <v>381</v>
      </c>
      <c r="I328" t="s">
        <v>420</v>
      </c>
    </row>
    <row r="329" spans="1:9">
      <c r="A329" s="1" t="s">
        <v>336</v>
      </c>
      <c r="B329">
        <f>HYPERLINK("https://www.suredividend.com/sure-analysis-DEA/","Easterly Government Properties, Inc.")</f>
        <v>0</v>
      </c>
      <c r="C329" t="s">
        <v>633</v>
      </c>
      <c r="D329">
        <v>0.04083235178641501</v>
      </c>
      <c r="E329">
        <v>-0.0411025377973645</v>
      </c>
      <c r="F329">
        <v>0.034</v>
      </c>
      <c r="G329">
        <v>0.03798957065295516</v>
      </c>
      <c r="H329" t="s">
        <v>381</v>
      </c>
      <c r="I329" t="s">
        <v>381</v>
      </c>
    </row>
    <row r="330" spans="1:9">
      <c r="A330" s="1" t="s">
        <v>337</v>
      </c>
      <c r="B330">
        <f>HYPERLINK("https://www.suredividend.com/sure-analysis-UL/","Unilever Plc")</f>
        <v>0</v>
      </c>
      <c r="C330" t="s">
        <v>631</v>
      </c>
      <c r="D330">
        <v>0.030169548430417</v>
      </c>
      <c r="E330">
        <v>-0.05202565017907568</v>
      </c>
      <c r="F330">
        <v>0.06</v>
      </c>
      <c r="G330">
        <v>0.03695617583786426</v>
      </c>
      <c r="H330" t="s">
        <v>381</v>
      </c>
      <c r="I330" t="s">
        <v>381</v>
      </c>
    </row>
    <row r="331" spans="1:9">
      <c r="A331" s="1" t="s">
        <v>338</v>
      </c>
      <c r="B331">
        <f>HYPERLINK("https://www.suredividend.com/sure-analysis-MRVL/","Marvell Technology Group Ltd.")</f>
        <v>0</v>
      </c>
      <c r="C331" t="s">
        <v>631</v>
      </c>
      <c r="D331">
        <v>0.006789250353606001</v>
      </c>
      <c r="E331">
        <v>-0.1434393848273673</v>
      </c>
      <c r="F331">
        <v>0.2</v>
      </c>
      <c r="G331">
        <v>0.03399554308314334</v>
      </c>
      <c r="H331" t="s">
        <v>381</v>
      </c>
      <c r="I331" t="s">
        <v>596</v>
      </c>
    </row>
    <row r="332" spans="1:9">
      <c r="A332" s="1" t="s">
        <v>339</v>
      </c>
      <c r="B332">
        <f>HYPERLINK("https://www.suredividend.com/sure-analysis-CAG/","Conagra Brands, Inc.")</f>
        <v>0</v>
      </c>
      <c r="C332" t="s">
        <v>631</v>
      </c>
      <c r="D332">
        <v>0.022522522522522</v>
      </c>
      <c r="E332">
        <v>-0.02992627809148296</v>
      </c>
      <c r="F332">
        <v>0.04</v>
      </c>
      <c r="G332">
        <v>0.03236261505941407</v>
      </c>
      <c r="H332" t="s">
        <v>381</v>
      </c>
      <c r="I332" t="s">
        <v>420</v>
      </c>
    </row>
    <row r="333" spans="1:9">
      <c r="A333" s="1" t="s">
        <v>340</v>
      </c>
      <c r="B333">
        <f>HYPERLINK("https://www.suredividend.com/sure-analysis-HPE/","Hewlett-Packard Enterprise Co.")</f>
        <v>0</v>
      </c>
      <c r="C333" t="s">
        <v>631</v>
      </c>
      <c r="D333">
        <v>0.045543584720861</v>
      </c>
      <c r="E333">
        <v>-0.00790336181959117</v>
      </c>
      <c r="F333">
        <v>-0.01</v>
      </c>
      <c r="G333">
        <v>0.03150760141773379</v>
      </c>
      <c r="H333" t="s">
        <v>381</v>
      </c>
      <c r="I333" t="s">
        <v>636</v>
      </c>
    </row>
    <row r="334" spans="1:9">
      <c r="A334" s="1" t="s">
        <v>341</v>
      </c>
      <c r="B334">
        <f>HYPERLINK("https://www.suredividend.com/sure-analysis-SIEGY/","Siemens AG")</f>
        <v>0</v>
      </c>
      <c r="C334" t="s">
        <v>631</v>
      </c>
      <c r="D334">
        <v>0.031058185548878</v>
      </c>
      <c r="E334">
        <v>-0.04926364818570927</v>
      </c>
      <c r="F334">
        <v>0.045</v>
      </c>
      <c r="G334">
        <v>0.02757493593299887</v>
      </c>
      <c r="H334" t="s">
        <v>381</v>
      </c>
      <c r="I334" t="s">
        <v>420</v>
      </c>
    </row>
    <row r="335" spans="1:9">
      <c r="A335" s="1" t="s">
        <v>342</v>
      </c>
      <c r="B335">
        <f>HYPERLINK("https://www.suredividend.com/sure-analysis-CME/","CME Group, Inc.")</f>
        <v>0</v>
      </c>
      <c r="C335" t="s">
        <v>631</v>
      </c>
      <c r="D335">
        <v>0.0193540583041</v>
      </c>
      <c r="E335">
        <v>-0.03592223984258458</v>
      </c>
      <c r="F335">
        <v>0.043</v>
      </c>
      <c r="G335">
        <v>0.02708382653730435</v>
      </c>
      <c r="H335" t="s">
        <v>381</v>
      </c>
      <c r="I335" t="s">
        <v>420</v>
      </c>
    </row>
    <row r="336" spans="1:9">
      <c r="A336" s="1" t="s">
        <v>343</v>
      </c>
      <c r="B336">
        <f>HYPERLINK("https://www.suredividend.com/sure-analysis-FLO/","Flowers Foods, Inc.")</f>
        <v>0</v>
      </c>
      <c r="C336" t="s">
        <v>631</v>
      </c>
      <c r="D336">
        <v>0.031990029081844</v>
      </c>
      <c r="E336">
        <v>-0.0477811709088608</v>
      </c>
      <c r="F336">
        <v>0.04</v>
      </c>
      <c r="G336">
        <v>0.02357829526828215</v>
      </c>
      <c r="H336" t="s">
        <v>381</v>
      </c>
      <c r="I336" t="s">
        <v>381</v>
      </c>
    </row>
    <row r="337" spans="1:9">
      <c r="A337" s="1" t="s">
        <v>344</v>
      </c>
      <c r="B337">
        <f>HYPERLINK("https://www.suredividend.com/sure-analysis-CMI/","Cummins, Inc.")</f>
        <v>0</v>
      </c>
      <c r="C337" t="s">
        <v>631</v>
      </c>
      <c r="D337">
        <v>0.024951229956701</v>
      </c>
      <c r="E337">
        <v>-0.07836223215747162</v>
      </c>
      <c r="F337">
        <v>0.08</v>
      </c>
      <c r="G337">
        <v>0.02300975479774392</v>
      </c>
      <c r="H337" t="s">
        <v>381</v>
      </c>
      <c r="I337" t="s">
        <v>420</v>
      </c>
    </row>
    <row r="338" spans="1:9">
      <c r="A338" s="1" t="s">
        <v>345</v>
      </c>
      <c r="B338">
        <f>HYPERLINK("https://www.suredividend.com/sure-analysis-V/","Visa, Inc.")</f>
        <v>0</v>
      </c>
      <c r="C338" t="s">
        <v>631</v>
      </c>
      <c r="D338">
        <v>0.005843792875654</v>
      </c>
      <c r="E338">
        <v>-0.1107037636268108</v>
      </c>
      <c r="F338">
        <v>0.14</v>
      </c>
      <c r="G338">
        <v>0.02233281227075956</v>
      </c>
      <c r="H338" t="s">
        <v>381</v>
      </c>
      <c r="I338" t="s">
        <v>596</v>
      </c>
    </row>
    <row r="339" spans="1:9">
      <c r="A339" s="1" t="s">
        <v>346</v>
      </c>
      <c r="B339">
        <f>HYPERLINK("https://www.suredividend.com/sure-analysis-NEM/","Newmont Corp.")</f>
        <v>0</v>
      </c>
      <c r="C339" t="s">
        <v>631</v>
      </c>
      <c r="D339">
        <v>0.009868905582560001</v>
      </c>
      <c r="E339">
        <v>-0.04477581694282551</v>
      </c>
      <c r="F339">
        <v>0.05</v>
      </c>
      <c r="G339">
        <v>0.02012643315610196</v>
      </c>
      <c r="H339" t="s">
        <v>381</v>
      </c>
      <c r="I339" t="s">
        <v>596</v>
      </c>
    </row>
    <row r="340" spans="1:9">
      <c r="A340" s="1" t="s">
        <v>347</v>
      </c>
      <c r="B340">
        <f>HYPERLINK("https://www.suredividend.com/sure-analysis-KSU/","Kansas City Southern")</f>
        <v>0</v>
      </c>
      <c r="C340" t="s">
        <v>631</v>
      </c>
      <c r="D340">
        <v>0.008455742858691001</v>
      </c>
      <c r="E340">
        <v>-0.06617735527958279</v>
      </c>
      <c r="F340">
        <v>0.08</v>
      </c>
      <c r="G340">
        <v>0.01923129106897092</v>
      </c>
      <c r="H340" t="s">
        <v>381</v>
      </c>
      <c r="I340" t="s">
        <v>596</v>
      </c>
    </row>
    <row r="341" spans="1:9">
      <c r="A341" s="1" t="s">
        <v>348</v>
      </c>
      <c r="B341">
        <f>HYPERLINK("https://www.suredividend.com/sure-analysis-NSRGY/","Nestlé SA")</f>
        <v>0</v>
      </c>
      <c r="C341" t="s">
        <v>631</v>
      </c>
      <c r="D341">
        <v>0.023414201183431</v>
      </c>
      <c r="E341">
        <v>-0.0532145983964134</v>
      </c>
      <c r="F341">
        <v>0.05</v>
      </c>
      <c r="G341">
        <v>0.01897736004397621</v>
      </c>
      <c r="H341" t="s">
        <v>381</v>
      </c>
      <c r="I341" t="s">
        <v>420</v>
      </c>
    </row>
    <row r="342" spans="1:9">
      <c r="A342" s="1" t="s">
        <v>349</v>
      </c>
      <c r="B342">
        <f>HYPERLINK("https://www.suredividend.com/sure-analysis-SKM/","SK Telecom Co., Ltd.")</f>
        <v>0</v>
      </c>
      <c r="C342" t="s">
        <v>631</v>
      </c>
      <c r="D342">
        <v>0.036190263510495</v>
      </c>
      <c r="E342">
        <v>-0.07390660050654374</v>
      </c>
      <c r="F342">
        <v>0.05</v>
      </c>
      <c r="G342">
        <v>0.01858947745103823</v>
      </c>
      <c r="H342" t="s">
        <v>381</v>
      </c>
      <c r="I342" t="s">
        <v>636</v>
      </c>
    </row>
    <row r="343" spans="1:9">
      <c r="A343" s="1" t="s">
        <v>350</v>
      </c>
      <c r="B343">
        <f>HYPERLINK("https://www.suredividend.com/sure-analysis-PKX/","POSCO")</f>
        <v>0</v>
      </c>
      <c r="C343" t="s">
        <v>631</v>
      </c>
      <c r="D343">
        <v>0.036317280453257</v>
      </c>
      <c r="E343">
        <v>-0.04069110820854893</v>
      </c>
      <c r="F343">
        <v>0.02</v>
      </c>
      <c r="G343">
        <v>0.01710583603545102</v>
      </c>
      <c r="H343" t="s">
        <v>381</v>
      </c>
      <c r="I343" t="s">
        <v>381</v>
      </c>
    </row>
    <row r="344" spans="1:9">
      <c r="A344" s="1" t="s">
        <v>351</v>
      </c>
      <c r="B344">
        <f>HYPERLINK("https://www.suredividend.com/sure-analysis-ERIC/","Telefonaktiebolaget LM Ericsson")</f>
        <v>0</v>
      </c>
      <c r="C344" t="s">
        <v>631</v>
      </c>
      <c r="D344">
        <v>0.006423043852106</v>
      </c>
      <c r="E344">
        <v>-0.06612257934755306</v>
      </c>
      <c r="F344">
        <v>0.08</v>
      </c>
      <c r="G344">
        <v>0.01655358504485327</v>
      </c>
      <c r="H344" t="s">
        <v>381</v>
      </c>
      <c r="I344" t="s">
        <v>596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633</v>
      </c>
      <c r="D345">
        <v>0.027805864509605</v>
      </c>
      <c r="E345">
        <v>-0.09707588646086729</v>
      </c>
      <c r="F345">
        <v>0.08</v>
      </c>
      <c r="G345">
        <v>0.01142429001217549</v>
      </c>
      <c r="H345" t="s">
        <v>381</v>
      </c>
      <c r="I345" t="s">
        <v>381</v>
      </c>
    </row>
    <row r="346" spans="1:9">
      <c r="A346" s="1" t="s">
        <v>353</v>
      </c>
      <c r="B346">
        <f>HYPERLINK("https://www.suredividend.com/sure-analysis-TSM/","Taiwan Semiconductor Manufacturing Co., Ltd.")</f>
        <v>0</v>
      </c>
      <c r="C346" t="s">
        <v>631</v>
      </c>
      <c r="D346">
        <v>0.01980468260924</v>
      </c>
      <c r="E346">
        <v>-0.1040362836999968</v>
      </c>
      <c r="F346">
        <v>0.09</v>
      </c>
      <c r="G346">
        <v>0.005268752306380575</v>
      </c>
      <c r="H346" t="s">
        <v>381</v>
      </c>
      <c r="I346" t="s">
        <v>420</v>
      </c>
    </row>
    <row r="347" spans="1:9">
      <c r="A347" s="1" t="s">
        <v>354</v>
      </c>
      <c r="B347">
        <f>HYPERLINK("https://www.suredividend.com/sure-analysis-MA/","Mastercard, Inc.")</f>
        <v>0</v>
      </c>
      <c r="C347" t="s">
        <v>631</v>
      </c>
      <c r="D347">
        <v>0.004738602576808</v>
      </c>
      <c r="E347">
        <v>-0.1351082105509102</v>
      </c>
      <c r="F347">
        <v>0.15</v>
      </c>
      <c r="G347">
        <v>0.00222806843900214</v>
      </c>
      <c r="H347" t="s">
        <v>381</v>
      </c>
      <c r="I347" t="s">
        <v>596</v>
      </c>
    </row>
    <row r="348" spans="1:9">
      <c r="A348" s="1" t="s">
        <v>355</v>
      </c>
      <c r="B348">
        <f>HYPERLINK("https://www.suredividend.com/sure-analysis-HBI/","Hanesbrands, Inc.")</f>
        <v>0</v>
      </c>
      <c r="C348" t="s">
        <v>631</v>
      </c>
      <c r="D348">
        <v>0.038022813688212</v>
      </c>
      <c r="E348">
        <v>-0.1289043200816099</v>
      </c>
      <c r="F348">
        <v>0.1</v>
      </c>
      <c r="G348">
        <v>0.001032090870326519</v>
      </c>
      <c r="H348" t="s">
        <v>381</v>
      </c>
      <c r="I348" t="s">
        <v>381</v>
      </c>
    </row>
    <row r="349" spans="1:9">
      <c r="A349" s="1" t="s">
        <v>356</v>
      </c>
      <c r="B349">
        <f>HYPERLINK("https://www.suredividend.com/sure-analysis-LM/","Legg Mason, Inc.")</f>
        <v>0</v>
      </c>
      <c r="C349" t="s">
        <v>631</v>
      </c>
      <c r="D349">
        <v>0.032006401280256</v>
      </c>
      <c r="E349">
        <v>-0.08535330735042068</v>
      </c>
      <c r="F349">
        <v>0.05</v>
      </c>
      <c r="G349">
        <v>0.0005127571700831446</v>
      </c>
      <c r="H349" t="s">
        <v>381</v>
      </c>
      <c r="I349" t="s">
        <v>420</v>
      </c>
    </row>
    <row r="350" spans="1:9">
      <c r="A350" s="1" t="s">
        <v>357</v>
      </c>
      <c r="B350">
        <f>HYPERLINK("https://www.suredividend.com/sure-analysis-APTV/","Aptiv Plc")</f>
        <v>0</v>
      </c>
      <c r="C350" t="s">
        <v>631</v>
      </c>
      <c r="D350">
        <v>0.005090236001850001</v>
      </c>
      <c r="E350">
        <v>-0.06643104776813624</v>
      </c>
      <c r="F350">
        <v>0.07000000000000001</v>
      </c>
      <c r="G350">
        <v>-0.001081221111905672</v>
      </c>
      <c r="H350" t="s">
        <v>381</v>
      </c>
      <c r="I350" t="s">
        <v>596</v>
      </c>
    </row>
    <row r="351" spans="1:9">
      <c r="A351" s="1" t="s">
        <v>358</v>
      </c>
      <c r="B351">
        <f>HYPERLINK("https://www.suredividend.com/sure-analysis-PCAR/","PACCAR, Inc.")</f>
        <v>0</v>
      </c>
      <c r="C351" t="s">
        <v>631</v>
      </c>
      <c r="D351">
        <v>0.014245965498052</v>
      </c>
      <c r="E351">
        <v>-0.1152023274489772</v>
      </c>
      <c r="F351">
        <v>0.1</v>
      </c>
      <c r="G351">
        <v>-0.002014272041063525</v>
      </c>
      <c r="H351" t="s">
        <v>381</v>
      </c>
      <c r="I351" t="s">
        <v>596</v>
      </c>
    </row>
    <row r="352" spans="1:9">
      <c r="A352" s="1" t="s">
        <v>359</v>
      </c>
      <c r="B352">
        <f>HYPERLINK("https://www.suredividend.com/sure-analysis-HNI/","HNI Corp.")</f>
        <v>0</v>
      </c>
      <c r="C352" t="s">
        <v>631</v>
      </c>
      <c r="D352">
        <v>0.037947122861586</v>
      </c>
      <c r="E352">
        <v>-0.1006883577224251</v>
      </c>
      <c r="F352">
        <v>0.055</v>
      </c>
      <c r="G352">
        <v>-0.003434555216869417</v>
      </c>
      <c r="H352" t="s">
        <v>381</v>
      </c>
      <c r="I352" t="s">
        <v>381</v>
      </c>
    </row>
    <row r="353" spans="1:9">
      <c r="A353" s="1" t="s">
        <v>360</v>
      </c>
      <c r="B353">
        <f>HYPERLINK("https://www.suredividend.com/sure-analysis-TT/","Trane Technologies Plc")</f>
        <v>0</v>
      </c>
      <c r="C353" t="s">
        <v>631</v>
      </c>
      <c r="D353">
        <v>0.017837610433319</v>
      </c>
      <c r="E353">
        <v>-0.1178749973519302</v>
      </c>
      <c r="F353">
        <v>0.1</v>
      </c>
      <c r="G353">
        <v>-0.005665473310053959</v>
      </c>
      <c r="H353" t="s">
        <v>381</v>
      </c>
      <c r="I353" t="s">
        <v>596</v>
      </c>
    </row>
    <row r="354" spans="1:9">
      <c r="A354" s="1" t="s">
        <v>361</v>
      </c>
      <c r="B354">
        <f>HYPERLINK("https://www.suredividend.com/sure-analysis-TIF/","Tiffany &amp; Co.")</f>
        <v>0</v>
      </c>
      <c r="C354" t="s">
        <v>631</v>
      </c>
      <c r="D354">
        <v>0.018533312030675</v>
      </c>
      <c r="E354">
        <v>-0.08536062581201198</v>
      </c>
      <c r="F354">
        <v>0.06</v>
      </c>
      <c r="G354">
        <v>-0.007902706108669277</v>
      </c>
      <c r="H354" t="s">
        <v>381</v>
      </c>
      <c r="I354" t="s">
        <v>420</v>
      </c>
    </row>
    <row r="355" spans="1:9">
      <c r="A355" s="1" t="s">
        <v>362</v>
      </c>
      <c r="B355">
        <f>HYPERLINK("https://www.suredividend.com/sure-analysis-ACN/","Accenture Plc")</f>
        <v>0</v>
      </c>
      <c r="C355" t="s">
        <v>631</v>
      </c>
      <c r="D355">
        <v>0.016757836242076</v>
      </c>
      <c r="E355">
        <v>-0.09599262894306948</v>
      </c>
      <c r="F355">
        <v>0.075</v>
      </c>
      <c r="G355">
        <v>-0.00907353644340958</v>
      </c>
      <c r="H355" t="s">
        <v>381</v>
      </c>
      <c r="I355" t="s">
        <v>596</v>
      </c>
    </row>
    <row r="356" spans="1:9">
      <c r="A356" s="1" t="s">
        <v>363</v>
      </c>
      <c r="B356">
        <f>HYPERLINK("https://www.suredividend.com/sure-analysis-DE/","Deere &amp; Co.")</f>
        <v>0</v>
      </c>
      <c r="C356" t="s">
        <v>631</v>
      </c>
      <c r="D356">
        <v>0.016007582539097</v>
      </c>
      <c r="E356">
        <v>-0.1033288660432328</v>
      </c>
      <c r="F356">
        <v>0.08</v>
      </c>
      <c r="G356">
        <v>-0.01106667032680297</v>
      </c>
      <c r="H356" t="s">
        <v>381</v>
      </c>
      <c r="I356" t="s">
        <v>420</v>
      </c>
    </row>
    <row r="357" spans="1:9">
      <c r="A357" s="1" t="s">
        <v>364</v>
      </c>
      <c r="B357">
        <f>HYPERLINK("https://www.suredividend.com/sure-analysis-GPS/","Gap, Inc.")</f>
        <v>0</v>
      </c>
      <c r="C357" t="s">
        <v>631</v>
      </c>
      <c r="D357">
        <v>0.033128415300546</v>
      </c>
      <c r="E357">
        <v>-0.04390232372064917</v>
      </c>
      <c r="F357">
        <v>0.01</v>
      </c>
      <c r="G357">
        <v>-0.03434134695785573</v>
      </c>
      <c r="H357" t="s">
        <v>381</v>
      </c>
      <c r="I357" t="s">
        <v>420</v>
      </c>
    </row>
    <row r="358" spans="1:9">
      <c r="A358" s="1" t="s">
        <v>365</v>
      </c>
      <c r="B358">
        <f>HYPERLINK("https://www.suredividend.com/sure-analysis-LOGI/","Logitech International SA")</f>
        <v>0</v>
      </c>
      <c r="C358" t="s">
        <v>631</v>
      </c>
      <c r="D358">
        <v>0.010129041209934</v>
      </c>
      <c r="E358">
        <v>-0.1148594631828753</v>
      </c>
      <c r="F358">
        <v>0.07000000000000001</v>
      </c>
      <c r="G358">
        <v>-0.03480862175254618</v>
      </c>
      <c r="H358" t="s">
        <v>381</v>
      </c>
      <c r="I358" t="s">
        <v>596</v>
      </c>
    </row>
    <row r="359" spans="1:9">
      <c r="A359" s="1" t="s">
        <v>366</v>
      </c>
      <c r="B359">
        <f>HYPERLINK("https://www.suredividend.com/sure-analysis-SNE/","Sony Corp.")</f>
        <v>0</v>
      </c>
      <c r="C359" t="s">
        <v>631</v>
      </c>
      <c r="D359">
        <v>0.005139287945034</v>
      </c>
      <c r="E359">
        <v>-0.06728252296562098</v>
      </c>
      <c r="F359">
        <v>0.017</v>
      </c>
      <c r="G359">
        <v>-0.04546365707027045</v>
      </c>
      <c r="H359" t="s">
        <v>381</v>
      </c>
      <c r="I359" t="s">
        <v>596</v>
      </c>
    </row>
    <row r="360" spans="1:9">
      <c r="A360" s="1" t="s">
        <v>367</v>
      </c>
      <c r="B360">
        <f>HYPERLINK("https://www.suredividend.com/sure-analysis-NVDA/","NVIDIA Corp.")</f>
        <v>0</v>
      </c>
      <c r="C360" t="s">
        <v>631</v>
      </c>
      <c r="D360">
        <v>0.001433049708911</v>
      </c>
      <c r="E360">
        <v>-0.1737462926803307</v>
      </c>
      <c r="F360">
        <v>0.15</v>
      </c>
      <c r="G360">
        <v>-0.04800465052188641</v>
      </c>
      <c r="H360" t="s">
        <v>381</v>
      </c>
      <c r="I360" t="s">
        <v>596</v>
      </c>
    </row>
    <row r="361" spans="1:9">
      <c r="A361" s="1" t="s">
        <v>368</v>
      </c>
      <c r="B361">
        <f>HYPERLINK("https://www.suredividend.com/sure-analysis-TRI/","Thomson Reuters Corp.")</f>
        <v>0</v>
      </c>
      <c r="C361" t="s">
        <v>631</v>
      </c>
      <c r="D361">
        <v>0.019989033194672</v>
      </c>
      <c r="E361">
        <v>-0.1214664481843309</v>
      </c>
      <c r="F361">
        <v>0.05</v>
      </c>
      <c r="G361">
        <v>-0.0490038903773794</v>
      </c>
      <c r="H361" t="s">
        <v>381</v>
      </c>
      <c r="I361" t="s">
        <v>420</v>
      </c>
    </row>
    <row r="362" spans="1:9">
      <c r="A362" s="1" t="s">
        <v>369</v>
      </c>
      <c r="B362">
        <f>HYPERLINK("https://www.suredividend.com/sure-analysis-RACE/","Ferrari NV")</f>
        <v>0</v>
      </c>
      <c r="C362" t="s">
        <v>631</v>
      </c>
      <c r="D362">
        <v>0.006132971506105001</v>
      </c>
      <c r="E362">
        <v>-0.1424971147262859</v>
      </c>
      <c r="F362">
        <v>0.075</v>
      </c>
      <c r="G362">
        <v>-0.06708572957852688</v>
      </c>
      <c r="H362" t="s">
        <v>381</v>
      </c>
      <c r="I362" t="s">
        <v>596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631</v>
      </c>
      <c r="D363">
        <v>0.007175372439863</v>
      </c>
      <c r="E363">
        <v>-0.1266721119763248</v>
      </c>
      <c r="F363">
        <v>0</v>
      </c>
      <c r="G363">
        <v>-0.1110377721237039</v>
      </c>
      <c r="H363" t="s">
        <v>381</v>
      </c>
      <c r="I363" t="s">
        <v>596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631</v>
      </c>
      <c r="D364">
        <v>0.272211764705882</v>
      </c>
      <c r="E364">
        <v>0.2100557110162122</v>
      </c>
      <c r="F364">
        <v>0.03</v>
      </c>
      <c r="G364">
        <v>0.2463573823466987</v>
      </c>
      <c r="H364" t="s">
        <v>420</v>
      </c>
      <c r="I364" t="s">
        <v>636</v>
      </c>
    </row>
    <row r="365" spans="1:9">
      <c r="A365" s="1" t="s">
        <v>372</v>
      </c>
      <c r="B365">
        <f>HYPERLINK("https://www.suredividend.com/sure-analysis-BPY/","Brookfield Property Partners LP")</f>
        <v>0</v>
      </c>
      <c r="C365" t="s">
        <v>633</v>
      </c>
      <c r="D365">
        <v>0.110693400167084</v>
      </c>
      <c r="E365">
        <v>0.1185201402707208</v>
      </c>
      <c r="F365">
        <v>0.05</v>
      </c>
      <c r="G365">
        <v>0.2338329429927666</v>
      </c>
      <c r="H365" t="s">
        <v>420</v>
      </c>
      <c r="I365" t="s">
        <v>636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633</v>
      </c>
      <c r="D366">
        <v>0.03283735248845501</v>
      </c>
      <c r="E366">
        <v>-0.05914951268690194</v>
      </c>
      <c r="F366">
        <v>0.25</v>
      </c>
      <c r="G366">
        <v>0.2090630074637492</v>
      </c>
      <c r="H366" t="s">
        <v>420</v>
      </c>
      <c r="I366" t="s">
        <v>420</v>
      </c>
    </row>
    <row r="367" spans="1:9">
      <c r="A367" s="1" t="s">
        <v>374</v>
      </c>
      <c r="B367">
        <f>HYPERLINK("https://www.suredividend.com/sure-analysis-SPH/","Suburban Propane Partners LP")</f>
        <v>0</v>
      </c>
      <c r="C367" t="s">
        <v>632</v>
      </c>
      <c r="D367">
        <v>0.146750524109014</v>
      </c>
      <c r="E367">
        <v>0.05580491340088578</v>
      </c>
      <c r="F367">
        <v>0.04</v>
      </c>
      <c r="G367">
        <v>0.1983080658012486</v>
      </c>
      <c r="H367" t="s">
        <v>420</v>
      </c>
      <c r="I367" t="s">
        <v>636</v>
      </c>
    </row>
    <row r="368" spans="1:9">
      <c r="A368" s="1" t="s">
        <v>375</v>
      </c>
      <c r="B368">
        <f>HYPERLINK("https://www.suredividend.com/sure-analysis-USAC/","USA Compression Partners LP")</f>
        <v>0</v>
      </c>
      <c r="C368" t="s">
        <v>632</v>
      </c>
      <c r="D368">
        <v>0.173985086992543</v>
      </c>
      <c r="E368">
        <v>0.04076293965528421</v>
      </c>
      <c r="F368">
        <v>0.01</v>
      </c>
      <c r="G368">
        <v>0.1654067271193667</v>
      </c>
      <c r="H368" t="s">
        <v>420</v>
      </c>
      <c r="I368" t="s">
        <v>636</v>
      </c>
    </row>
    <row r="369" spans="1:9">
      <c r="A369" s="1" t="s">
        <v>376</v>
      </c>
      <c r="B369">
        <f>HYPERLINK("https://www.suredividend.com/sure-analysis-TEF/","Telefónica SA")</f>
        <v>0</v>
      </c>
      <c r="C369" t="s">
        <v>631</v>
      </c>
      <c r="D369">
        <v>0.07635059101654801</v>
      </c>
      <c r="E369">
        <v>0.08038701564114148</v>
      </c>
      <c r="F369">
        <v>0.02</v>
      </c>
      <c r="G369">
        <v>0.1642591048717585</v>
      </c>
      <c r="H369" t="s">
        <v>420</v>
      </c>
      <c r="I369" t="s">
        <v>636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631</v>
      </c>
      <c r="D370">
        <v>0.14204152082076</v>
      </c>
      <c r="E370">
        <v>0.0677782382593437</v>
      </c>
      <c r="F370">
        <v>0.03</v>
      </c>
      <c r="G370">
        <v>0.1617323017671657</v>
      </c>
      <c r="H370" t="s">
        <v>420</v>
      </c>
      <c r="I370" t="s">
        <v>635</v>
      </c>
    </row>
    <row r="371" spans="1:9">
      <c r="A371" s="1" t="s">
        <v>378</v>
      </c>
      <c r="B371">
        <f>HYPERLINK("https://www.suredividend.com/sure-analysis-DFS/","Discover Financial Services")</f>
        <v>0</v>
      </c>
      <c r="C371" t="s">
        <v>631</v>
      </c>
      <c r="D371">
        <v>0.032732006695183</v>
      </c>
      <c r="E371">
        <v>0.06389352430151884</v>
      </c>
      <c r="F371">
        <v>0.07000000000000001</v>
      </c>
      <c r="G371">
        <v>0.160017000140376</v>
      </c>
      <c r="H371" t="s">
        <v>420</v>
      </c>
      <c r="I371" t="s">
        <v>420</v>
      </c>
    </row>
    <row r="372" spans="1:9">
      <c r="A372" s="1" t="s">
        <v>379</v>
      </c>
      <c r="B372">
        <f>HYPERLINK("https://www.suredividend.com/sure-analysis-CHL/","China Mobile Ltd.")</f>
        <v>0</v>
      </c>
      <c r="C372" t="s">
        <v>631</v>
      </c>
      <c r="D372">
        <v>0.053048925946862</v>
      </c>
      <c r="E372">
        <v>0.06672454149717999</v>
      </c>
      <c r="F372">
        <v>0.042</v>
      </c>
      <c r="G372">
        <v>0.1499768745074583</v>
      </c>
      <c r="H372" t="s">
        <v>420</v>
      </c>
      <c r="I372" t="s">
        <v>636</v>
      </c>
    </row>
    <row r="373" spans="1:9">
      <c r="A373" s="1" t="s">
        <v>380</v>
      </c>
      <c r="B373">
        <f>HYPERLINK("https://www.suredividend.com/sure-analysis-GEO/","The GEO Group, Inc.")</f>
        <v>0</v>
      </c>
      <c r="C373" t="s">
        <v>633</v>
      </c>
      <c r="D373">
        <v>0.176308539944903</v>
      </c>
      <c r="E373">
        <v>0.01589761321664618</v>
      </c>
      <c r="F373">
        <v>0.03</v>
      </c>
      <c r="G373">
        <v>0.1421915334632653</v>
      </c>
      <c r="H373" t="s">
        <v>420</v>
      </c>
      <c r="I373" t="s">
        <v>636</v>
      </c>
    </row>
    <row r="374" spans="1:9">
      <c r="A374" s="1" t="s">
        <v>381</v>
      </c>
      <c r="B374">
        <f>HYPERLINK("https://www.suredividend.com/sure-analysis-C/","Citigroup, Inc.")</f>
        <v>0</v>
      </c>
      <c r="C374" t="s">
        <v>631</v>
      </c>
      <c r="D374">
        <v>0.038592508513053</v>
      </c>
      <c r="E374">
        <v>0.04811739923144209</v>
      </c>
      <c r="F374">
        <v>0.06</v>
      </c>
      <c r="G374">
        <v>0.1409265638624975</v>
      </c>
      <c r="H374" t="s">
        <v>420</v>
      </c>
      <c r="I374" t="s">
        <v>420</v>
      </c>
    </row>
    <row r="375" spans="1:9">
      <c r="A375" s="1" t="s">
        <v>382</v>
      </c>
      <c r="B375">
        <f>HYPERLINK("https://www.suredividend.com/sure-analysis-IVZ/","Invesco Ltd.")</f>
        <v>0</v>
      </c>
      <c r="C375" t="s">
        <v>631</v>
      </c>
      <c r="D375">
        <v>0.100556070435588</v>
      </c>
      <c r="E375">
        <v>0.07899773277865574</v>
      </c>
      <c r="F375">
        <v>0.02</v>
      </c>
      <c r="G375">
        <v>0.1393213282974972</v>
      </c>
      <c r="H375" t="s">
        <v>420</v>
      </c>
      <c r="I375" t="s">
        <v>636</v>
      </c>
    </row>
    <row r="376" spans="1:9">
      <c r="A376" s="1" t="s">
        <v>383</v>
      </c>
      <c r="B376">
        <f>HYPERLINK("https://www.suredividend.com/sure-analysis-KEY/","KeyCorp")</f>
        <v>0</v>
      </c>
      <c r="C376" t="s">
        <v>631</v>
      </c>
      <c r="D376">
        <v>0.05822187254130601</v>
      </c>
      <c r="E376">
        <v>0.05382436499375887</v>
      </c>
      <c r="F376">
        <v>0.04</v>
      </c>
      <c r="G376">
        <v>0.1369614955685801</v>
      </c>
      <c r="H376" t="s">
        <v>420</v>
      </c>
      <c r="I376" t="s">
        <v>381</v>
      </c>
    </row>
    <row r="377" spans="1:9">
      <c r="A377" s="1" t="s">
        <v>384</v>
      </c>
      <c r="B377">
        <f>HYPERLINK("https://www.suredividend.com/sure-analysis-BRX/","Brixmor Property Group, Inc.")</f>
        <v>0</v>
      </c>
      <c r="C377" t="s">
        <v>633</v>
      </c>
      <c r="D377">
        <v>0.068714632174616</v>
      </c>
      <c r="E377">
        <v>0.08373128345275549</v>
      </c>
      <c r="F377">
        <v>0</v>
      </c>
      <c r="G377">
        <v>0.1293740486958095</v>
      </c>
      <c r="H377" t="s">
        <v>420</v>
      </c>
      <c r="I377" t="s">
        <v>381</v>
      </c>
    </row>
    <row r="378" spans="1:9">
      <c r="A378" s="1" t="s">
        <v>385</v>
      </c>
      <c r="B378">
        <f>HYPERLINK("https://www.suredividend.com/sure-analysis-FE/","FirstEnergy Corp.")</f>
        <v>0</v>
      </c>
      <c r="C378" t="s">
        <v>631</v>
      </c>
      <c r="D378">
        <v>0.05123087159015301</v>
      </c>
      <c r="E378">
        <v>0.04907843082085317</v>
      </c>
      <c r="F378">
        <v>0.04</v>
      </c>
      <c r="G378">
        <v>0.1265880482716109</v>
      </c>
      <c r="H378" t="s">
        <v>420</v>
      </c>
      <c r="I378" t="s">
        <v>381</v>
      </c>
    </row>
    <row r="379" spans="1:9">
      <c r="A379" s="1" t="s">
        <v>386</v>
      </c>
      <c r="B379">
        <f>HYPERLINK("https://www.suredividend.com/sure-analysis-SPG/","Simon Property Group, Inc.")</f>
        <v>0</v>
      </c>
      <c r="C379" t="s">
        <v>633</v>
      </c>
      <c r="D379">
        <v>0.127539330991293</v>
      </c>
      <c r="E379">
        <v>0.04827343874993084</v>
      </c>
      <c r="F379">
        <v>0.019</v>
      </c>
      <c r="G379">
        <v>0.1263642408522303</v>
      </c>
      <c r="H379" t="s">
        <v>420</v>
      </c>
      <c r="I379" t="s">
        <v>636</v>
      </c>
    </row>
    <row r="380" spans="1:9">
      <c r="A380" s="1" t="s">
        <v>387</v>
      </c>
      <c r="B380">
        <f>HYPERLINK("https://www.suredividend.com/sure-analysis-CTL/","CenturyLink, Inc.")</f>
        <v>0</v>
      </c>
      <c r="C380" t="s">
        <v>631</v>
      </c>
      <c r="D380">
        <v>0.09208103130755001</v>
      </c>
      <c r="E380">
        <v>0.03163039043320404</v>
      </c>
      <c r="F380">
        <v>0.03</v>
      </c>
      <c r="G380">
        <v>0.1256799880288502</v>
      </c>
      <c r="H380" t="s">
        <v>420</v>
      </c>
      <c r="I380" t="s">
        <v>636</v>
      </c>
    </row>
    <row r="381" spans="1:9">
      <c r="A381" s="1" t="s">
        <v>388</v>
      </c>
      <c r="B381">
        <f>HYPERLINK("https://www.suredividend.com/sure-analysis-NRZ/","New Residential Investment Corp.")</f>
        <v>0</v>
      </c>
      <c r="C381" t="s">
        <v>633</v>
      </c>
      <c r="D381">
        <v>0.137067938021454</v>
      </c>
      <c r="E381">
        <v>0.05642162229904302</v>
      </c>
      <c r="F381">
        <v>0.024</v>
      </c>
      <c r="G381">
        <v>0.1233156758137486</v>
      </c>
      <c r="H381" t="s">
        <v>420</v>
      </c>
      <c r="I381" t="s">
        <v>636</v>
      </c>
    </row>
    <row r="382" spans="1:9">
      <c r="A382" s="1" t="s">
        <v>389</v>
      </c>
      <c r="B382">
        <f>HYPERLINK("https://www.suredividend.com/sure-analysis-IPPLF/","Inter Pipeline Ltd.")</f>
        <v>0</v>
      </c>
      <c r="C382" t="s">
        <v>631</v>
      </c>
      <c r="D382">
        <v>0.100192480334588</v>
      </c>
      <c r="E382">
        <v>0.05922384104881218</v>
      </c>
      <c r="F382">
        <v>0.03</v>
      </c>
      <c r="G382">
        <v>0.1171432793768563</v>
      </c>
      <c r="H382" t="s">
        <v>420</v>
      </c>
      <c r="I382" t="s">
        <v>636</v>
      </c>
    </row>
    <row r="383" spans="1:9">
      <c r="A383" s="1" t="s">
        <v>390</v>
      </c>
      <c r="B383">
        <f>HYPERLINK("https://www.suredividend.com/sure-analysis-HAS/","Hasbro, Inc.")</f>
        <v>0</v>
      </c>
      <c r="C383" t="s">
        <v>631</v>
      </c>
      <c r="D383">
        <v>0.03444345954159801</v>
      </c>
      <c r="E383">
        <v>0.005739492173412852</v>
      </c>
      <c r="F383">
        <v>0.08</v>
      </c>
      <c r="G383">
        <v>0.1127834584634333</v>
      </c>
      <c r="H383" t="s">
        <v>420</v>
      </c>
      <c r="I383" t="s">
        <v>420</v>
      </c>
    </row>
    <row r="384" spans="1:9">
      <c r="A384" s="1" t="s">
        <v>391</v>
      </c>
      <c r="B384">
        <f>HYPERLINK("https://www.suredividend.com/sure-analysis-MGP/","MGM Growth Properties LLC")</f>
        <v>0</v>
      </c>
      <c r="C384" t="s">
        <v>633</v>
      </c>
      <c r="D384">
        <v>0.06640488656195401</v>
      </c>
      <c r="E384">
        <v>0.04136065253873911</v>
      </c>
      <c r="F384">
        <v>0.02</v>
      </c>
      <c r="G384">
        <v>0.1126419583858742</v>
      </c>
      <c r="H384" t="s">
        <v>420</v>
      </c>
      <c r="I384" t="s">
        <v>381</v>
      </c>
    </row>
    <row r="385" spans="1:9">
      <c r="A385" s="1" t="s">
        <v>392</v>
      </c>
      <c r="B385">
        <f>HYPERLINK("https://www.suredividend.com/sure-analysis-TAP/","Molson Coors Beverage Co.")</f>
        <v>0</v>
      </c>
      <c r="C385" t="s">
        <v>631</v>
      </c>
      <c r="D385">
        <v>0.045118733509234</v>
      </c>
      <c r="E385">
        <v>0.03780595600790826</v>
      </c>
      <c r="F385">
        <v>0.05</v>
      </c>
      <c r="G385">
        <v>0.1111110470945216</v>
      </c>
      <c r="H385" t="s">
        <v>420</v>
      </c>
      <c r="I385" t="s">
        <v>381</v>
      </c>
    </row>
    <row r="386" spans="1:9">
      <c r="A386" s="1" t="s">
        <v>393</v>
      </c>
      <c r="B386">
        <f>HYPERLINK("https://www.suredividend.com/sure-analysis-MDP/","Meredith Corp.")</f>
        <v>0</v>
      </c>
      <c r="C386" t="s">
        <v>631</v>
      </c>
      <c r="D386">
        <v>0.144278606965174</v>
      </c>
      <c r="E386">
        <v>0.06636616784214366</v>
      </c>
      <c r="F386">
        <v>0.015</v>
      </c>
      <c r="G386">
        <v>0.1076258264975549</v>
      </c>
      <c r="H386" t="s">
        <v>420</v>
      </c>
      <c r="I386" t="s">
        <v>635</v>
      </c>
    </row>
    <row r="387" spans="1:9">
      <c r="A387" s="1" t="s">
        <v>394</v>
      </c>
      <c r="B387">
        <f>HYPERLINK("https://www.suredividend.com/sure-analysis-BXP/","Boston Properties, Inc.")</f>
        <v>0</v>
      </c>
      <c r="C387" t="s">
        <v>633</v>
      </c>
      <c r="D387">
        <v>0.042770753161077</v>
      </c>
      <c r="E387">
        <v>0.0448013261662823</v>
      </c>
      <c r="F387">
        <v>0.027</v>
      </c>
      <c r="G387">
        <v>0.1049262247620892</v>
      </c>
      <c r="H387" t="s">
        <v>420</v>
      </c>
      <c r="I387" t="s">
        <v>381</v>
      </c>
    </row>
    <row r="388" spans="1:9">
      <c r="A388" s="1" t="s">
        <v>395</v>
      </c>
      <c r="B388">
        <f>HYPERLINK("https://www.suredividend.com/sure-analysis-IRM/","Iron Mountain, Inc.")</f>
        <v>0</v>
      </c>
      <c r="C388" t="s">
        <v>633</v>
      </c>
      <c r="D388">
        <v>0.08290756302521</v>
      </c>
      <c r="E388">
        <v>0.009558414297915929</v>
      </c>
      <c r="F388">
        <v>0.03</v>
      </c>
      <c r="G388">
        <v>0.104892438080781</v>
      </c>
      <c r="H388" t="s">
        <v>420</v>
      </c>
      <c r="I388" t="s">
        <v>636</v>
      </c>
    </row>
    <row r="389" spans="1:9">
      <c r="A389" s="1" t="s">
        <v>396</v>
      </c>
      <c r="B389">
        <f>HYPERLINK("https://www.suredividend.com/sure-analysis-OHI/","Omega Healthcare Investors, Inc.")</f>
        <v>0</v>
      </c>
      <c r="C389" t="s">
        <v>633</v>
      </c>
      <c r="D389">
        <v>0.08031165717710501</v>
      </c>
      <c r="E389">
        <v>0.01997690994484502</v>
      </c>
      <c r="F389">
        <v>0.02</v>
      </c>
      <c r="G389">
        <v>0.1043444013281791</v>
      </c>
      <c r="H389" t="s">
        <v>420</v>
      </c>
      <c r="I389" t="s">
        <v>636</v>
      </c>
    </row>
    <row r="390" spans="1:9">
      <c r="A390" s="1" t="s">
        <v>397</v>
      </c>
      <c r="B390">
        <f>HYPERLINK("https://www.suredividend.com/sure-analysis-LTC/","LTC Properties, Inc.")</f>
        <v>0</v>
      </c>
      <c r="C390" t="s">
        <v>633</v>
      </c>
      <c r="D390">
        <v>0.058899509170756</v>
      </c>
      <c r="E390">
        <v>0.02845894210820799</v>
      </c>
      <c r="F390">
        <v>0.03</v>
      </c>
      <c r="G390">
        <v>0.1041822373646804</v>
      </c>
      <c r="H390" t="s">
        <v>420</v>
      </c>
      <c r="I390" t="s">
        <v>381</v>
      </c>
    </row>
    <row r="391" spans="1:9">
      <c r="A391" s="1" t="s">
        <v>398</v>
      </c>
      <c r="B391">
        <f>HYPERLINK("https://www.suredividend.com/sure-analysis-STWD/","Starwood Property Trust, Inc.")</f>
        <v>0</v>
      </c>
      <c r="C391" t="s">
        <v>633</v>
      </c>
      <c r="D391">
        <v>0.12</v>
      </c>
      <c r="E391">
        <v>-0.00492634806525849</v>
      </c>
      <c r="F391">
        <v>0.014</v>
      </c>
      <c r="G391">
        <v>0.1028129038164523</v>
      </c>
      <c r="H391" t="s">
        <v>420</v>
      </c>
      <c r="I391" t="s">
        <v>636</v>
      </c>
    </row>
    <row r="392" spans="1:9">
      <c r="A392" s="1" t="s">
        <v>399</v>
      </c>
      <c r="B392">
        <f>HYPERLINK("https://www.suredividend.com/sure-analysis-PSEC/","Prospect Capital Corp.")</f>
        <v>0</v>
      </c>
      <c r="C392" t="s">
        <v>634</v>
      </c>
      <c r="D392">
        <v>0.140350877192982</v>
      </c>
      <c r="E392">
        <v>-0.014550933800071</v>
      </c>
      <c r="F392">
        <v>0</v>
      </c>
      <c r="G392">
        <v>0.1021527587238342</v>
      </c>
      <c r="H392" t="s">
        <v>420</v>
      </c>
      <c r="I392" t="s">
        <v>636</v>
      </c>
    </row>
    <row r="393" spans="1:9">
      <c r="A393" s="1" t="s">
        <v>400</v>
      </c>
      <c r="B393">
        <f>HYPERLINK("https://www.suredividend.com/sure-analysis-TS/","Tenaris SA")</f>
        <v>0</v>
      </c>
      <c r="C393" t="s">
        <v>631</v>
      </c>
      <c r="D393">
        <v>0.021364009860312</v>
      </c>
      <c r="E393">
        <v>0.02523143312346732</v>
      </c>
      <c r="F393">
        <v>0.06</v>
      </c>
      <c r="G393">
        <v>0.1003231306169137</v>
      </c>
      <c r="H393" t="s">
        <v>420</v>
      </c>
      <c r="I393" t="s">
        <v>596</v>
      </c>
    </row>
    <row r="394" spans="1:9">
      <c r="A394" s="1" t="s">
        <v>401</v>
      </c>
      <c r="B394">
        <f>HYPERLINK("https://www.suredividend.com/sure-analysis-STX/","Seagate Technology Plc")</f>
        <v>0</v>
      </c>
      <c r="C394" t="s">
        <v>631</v>
      </c>
      <c r="D394">
        <v>0.05600173648795301</v>
      </c>
      <c r="E394">
        <v>0.01357674676628462</v>
      </c>
      <c r="F394">
        <v>0.04</v>
      </c>
      <c r="G394">
        <v>0.09955191315849166</v>
      </c>
      <c r="H394" t="s">
        <v>420</v>
      </c>
      <c r="I394" t="s">
        <v>636</v>
      </c>
    </row>
    <row r="395" spans="1:9">
      <c r="A395" s="1" t="s">
        <v>402</v>
      </c>
      <c r="B395">
        <f>HYPERLINK("https://www.suredividend.com/sure-analysis-WMB/","The Williams Cos., Inc.")</f>
        <v>0</v>
      </c>
      <c r="C395" t="s">
        <v>631</v>
      </c>
      <c r="D395">
        <v>0.07242339832869001</v>
      </c>
      <c r="E395">
        <v>-0.01362488770335446</v>
      </c>
      <c r="F395">
        <v>0.05</v>
      </c>
      <c r="G395">
        <v>0.09941199011802393</v>
      </c>
      <c r="H395" t="s">
        <v>420</v>
      </c>
      <c r="I395" t="s">
        <v>636</v>
      </c>
    </row>
    <row r="396" spans="1:9">
      <c r="A396" s="1" t="s">
        <v>403</v>
      </c>
      <c r="B396">
        <f>HYPERLINK("https://www.suredividend.com/sure-analysis-GLAD/","Gladstone Capital Corp.")</f>
        <v>0</v>
      </c>
      <c r="C396" t="s">
        <v>631</v>
      </c>
      <c r="D396">
        <v>0.107470511140235</v>
      </c>
      <c r="E396">
        <v>0.01638538463073425</v>
      </c>
      <c r="F396">
        <v>0</v>
      </c>
      <c r="G396">
        <v>0.09863318981801528</v>
      </c>
      <c r="H396" t="s">
        <v>420</v>
      </c>
      <c r="I396" t="s">
        <v>636</v>
      </c>
    </row>
    <row r="397" spans="1:9">
      <c r="A397" s="1" t="s">
        <v>404</v>
      </c>
      <c r="B397">
        <f>HYPERLINK("https://www.suredividend.com/sure-analysis-USB/","U.S. Bancorp")</f>
        <v>0</v>
      </c>
      <c r="C397" t="s">
        <v>631</v>
      </c>
      <c r="D397">
        <v>0.044835868694955</v>
      </c>
      <c r="E397">
        <v>0.008881842488741132</v>
      </c>
      <c r="F397">
        <v>0.05</v>
      </c>
      <c r="G397">
        <v>0.0980676353469867</v>
      </c>
      <c r="H397" t="s">
        <v>420</v>
      </c>
      <c r="I397" t="s">
        <v>381</v>
      </c>
    </row>
    <row r="398" spans="1:9">
      <c r="A398" s="1" t="s">
        <v>405</v>
      </c>
      <c r="B398">
        <f>HYPERLINK("https://www.suredividend.com/sure-analysis-STOR/","STORE Capital Corp.")</f>
        <v>0</v>
      </c>
      <c r="C398" t="s">
        <v>633</v>
      </c>
      <c r="D398">
        <v>0.05477308294209701</v>
      </c>
      <c r="E398">
        <v>0.0183227836776334</v>
      </c>
      <c r="F398">
        <v>0.035</v>
      </c>
      <c r="G398">
        <v>0.09785582616888555</v>
      </c>
      <c r="H398" t="s">
        <v>420</v>
      </c>
      <c r="I398" t="s">
        <v>381</v>
      </c>
    </row>
    <row r="399" spans="1:9">
      <c r="A399" s="1" t="s">
        <v>406</v>
      </c>
      <c r="B399">
        <f>HYPERLINK("https://www.suredividend.com/sure-analysis-OUT/","OUTFRONT Media, Inc.")</f>
        <v>0</v>
      </c>
      <c r="C399" t="s">
        <v>631</v>
      </c>
      <c r="D399">
        <v>0.07161458333333301</v>
      </c>
      <c r="E399">
        <v>0.04629430548564639</v>
      </c>
      <c r="F399">
        <v>0.01</v>
      </c>
      <c r="G399">
        <v>0.09700819930862004</v>
      </c>
      <c r="H399" t="s">
        <v>420</v>
      </c>
      <c r="I399" t="s">
        <v>636</v>
      </c>
    </row>
    <row r="400" spans="1:9">
      <c r="A400" s="1" t="s">
        <v>407</v>
      </c>
      <c r="B400">
        <f>HYPERLINK("https://www.suredividend.com/sure-analysis-UBS/","UBS Group AG")</f>
        <v>0</v>
      </c>
      <c r="C400" t="s">
        <v>631</v>
      </c>
      <c r="D400">
        <v>0.04405537459283301</v>
      </c>
      <c r="E400">
        <v>0.04015032772751037</v>
      </c>
      <c r="F400">
        <v>0.01</v>
      </c>
      <c r="G400">
        <v>0.09657266787674046</v>
      </c>
      <c r="H400" t="s">
        <v>420</v>
      </c>
      <c r="I400" t="s">
        <v>381</v>
      </c>
    </row>
    <row r="401" spans="1:9">
      <c r="A401" s="1" t="s">
        <v>408</v>
      </c>
      <c r="B401">
        <f>HYPERLINK("https://www.suredividend.com/sure-analysis-NLY/","Annaly Capital Management, Inc.")</f>
        <v>0</v>
      </c>
      <c r="C401" t="s">
        <v>633</v>
      </c>
      <c r="D401">
        <v>0.128306878306878</v>
      </c>
      <c r="E401">
        <v>-0.03327677218797276</v>
      </c>
      <c r="F401">
        <v>0.019</v>
      </c>
      <c r="G401">
        <v>0.09344334570374802</v>
      </c>
      <c r="H401" t="s">
        <v>420</v>
      </c>
      <c r="I401" t="s">
        <v>636</v>
      </c>
    </row>
    <row r="402" spans="1:9">
      <c r="A402" s="1" t="s">
        <v>409</v>
      </c>
      <c r="B402">
        <f>HYPERLINK("https://www.suredividend.com/sure-analysis-GSK/","GlaxoSmithKline Plc")</f>
        <v>0</v>
      </c>
      <c r="C402" t="s">
        <v>631</v>
      </c>
      <c r="D402">
        <v>0.047988446507083</v>
      </c>
      <c r="E402">
        <v>0.02183927200653213</v>
      </c>
      <c r="F402">
        <v>0.03</v>
      </c>
      <c r="G402">
        <v>0.09320047883431015</v>
      </c>
      <c r="H402" t="s">
        <v>420</v>
      </c>
      <c r="I402" t="s">
        <v>381</v>
      </c>
    </row>
    <row r="403" spans="1:9">
      <c r="A403" s="1" t="s">
        <v>410</v>
      </c>
      <c r="B403">
        <f>HYPERLINK("https://www.suredividend.com/sure-analysis-JPM/","JPMorgan Chase &amp; Co.")</f>
        <v>0</v>
      </c>
      <c r="C403" t="s">
        <v>631</v>
      </c>
      <c r="D403">
        <v>0.035771065182829</v>
      </c>
      <c r="E403">
        <v>0.002262900454907291</v>
      </c>
      <c r="F403">
        <v>0.06</v>
      </c>
      <c r="G403">
        <v>0.09310951219744701</v>
      </c>
      <c r="H403" t="s">
        <v>420</v>
      </c>
      <c r="I403" t="s">
        <v>420</v>
      </c>
    </row>
    <row r="404" spans="1:9">
      <c r="A404" s="1" t="s">
        <v>411</v>
      </c>
      <c r="B404">
        <f>HYPERLINK("https://www.suredividend.com/sure-analysis-TRGP/","Targa Resources Corp.")</f>
        <v>0</v>
      </c>
      <c r="C404" t="s">
        <v>631</v>
      </c>
      <c r="D404">
        <v>0.09882583170254401</v>
      </c>
      <c r="E404">
        <v>0.0412301368140553</v>
      </c>
      <c r="F404">
        <v>0.03</v>
      </c>
      <c r="G404">
        <v>0.09233964859257937</v>
      </c>
      <c r="H404" t="s">
        <v>420</v>
      </c>
      <c r="I404" t="s">
        <v>636</v>
      </c>
    </row>
    <row r="405" spans="1:9">
      <c r="A405" s="1" t="s">
        <v>412</v>
      </c>
      <c r="B405">
        <f>HYPERLINK("https://www.suredividend.com/sure-analysis-NYCB/","New York Community Bancorp, Inc.")</f>
        <v>0</v>
      </c>
      <c r="C405" t="s">
        <v>631</v>
      </c>
      <c r="D405">
        <v>0.065700483091787</v>
      </c>
      <c r="E405">
        <v>-0.01008740028129462</v>
      </c>
      <c r="F405">
        <v>0.05</v>
      </c>
      <c r="G405">
        <v>0.08968320127574181</v>
      </c>
      <c r="H405" t="s">
        <v>420</v>
      </c>
      <c r="I405" t="s">
        <v>381</v>
      </c>
    </row>
    <row r="406" spans="1:9">
      <c r="A406" s="1" t="s">
        <v>413</v>
      </c>
      <c r="B406">
        <f>HYPERLINK("https://www.suredividend.com/sure-analysis-HTA/","Healthcare Trust of America, Inc.")</f>
        <v>0</v>
      </c>
      <c r="C406" t="s">
        <v>633</v>
      </c>
      <c r="D406">
        <v>0.047198194810078</v>
      </c>
      <c r="E406">
        <v>0.02067075478530911</v>
      </c>
      <c r="F406">
        <v>0.03</v>
      </c>
      <c r="G406">
        <v>0.08964646954191102</v>
      </c>
      <c r="H406" t="s">
        <v>420</v>
      </c>
      <c r="I406" t="s">
        <v>420</v>
      </c>
    </row>
    <row r="407" spans="1:9">
      <c r="A407" s="1" t="s">
        <v>414</v>
      </c>
      <c r="B407">
        <f>HYPERLINK("https://www.suredividend.com/sure-analysis-SVC/","Service Properties Trust")</f>
        <v>0</v>
      </c>
      <c r="C407" t="s">
        <v>633</v>
      </c>
      <c r="D407">
        <v>0.13095238095238</v>
      </c>
      <c r="E407">
        <v>0.06194649930755114</v>
      </c>
      <c r="F407">
        <v>0.02</v>
      </c>
      <c r="G407">
        <v>0.0865765621996657</v>
      </c>
      <c r="H407" t="s">
        <v>420</v>
      </c>
      <c r="I407" t="s">
        <v>636</v>
      </c>
    </row>
    <row r="408" spans="1:9">
      <c r="A408" s="1" t="s">
        <v>415</v>
      </c>
      <c r="B408">
        <f>HYPERLINK("https://www.suredividend.com/sure-analysis-TCP/","TC Pipelines LP")</f>
        <v>0</v>
      </c>
      <c r="C408" t="s">
        <v>632</v>
      </c>
      <c r="D408">
        <v>0.077890952666267</v>
      </c>
      <c r="E408">
        <v>-0.01152596925174654</v>
      </c>
      <c r="F408">
        <v>0.03</v>
      </c>
      <c r="G408">
        <v>0.08559876582485848</v>
      </c>
      <c r="H408" t="s">
        <v>420</v>
      </c>
      <c r="I408" t="s">
        <v>636</v>
      </c>
    </row>
    <row r="409" spans="1:9">
      <c r="A409" s="1" t="s">
        <v>416</v>
      </c>
      <c r="B409">
        <f>HYPERLINK("https://www.suredividend.com/sure-analysis-CNA/","CNA Financial Corp.")</f>
        <v>0</v>
      </c>
      <c r="C409" t="s">
        <v>631</v>
      </c>
      <c r="D409">
        <v>0.041654613827017</v>
      </c>
      <c r="E409">
        <v>0.007673534376565039</v>
      </c>
      <c r="F409">
        <v>0.04</v>
      </c>
      <c r="G409">
        <v>0.08513641504044678</v>
      </c>
      <c r="H409" t="s">
        <v>420</v>
      </c>
      <c r="I409" t="s">
        <v>381</v>
      </c>
    </row>
    <row r="410" spans="1:9">
      <c r="A410" s="1" t="s">
        <v>417</v>
      </c>
      <c r="B410">
        <f>HYPERLINK("https://www.suredividend.com/sure-analysis-PACW/","PacWest Bancorp")</f>
        <v>0</v>
      </c>
      <c r="C410" t="s">
        <v>631</v>
      </c>
      <c r="D410">
        <v>0.101736972704714</v>
      </c>
      <c r="E410">
        <v>0.03977924296384572</v>
      </c>
      <c r="F410">
        <v>0</v>
      </c>
      <c r="G410">
        <v>0.08417201530311758</v>
      </c>
      <c r="H410" t="s">
        <v>420</v>
      </c>
      <c r="I410" t="s">
        <v>636</v>
      </c>
    </row>
    <row r="411" spans="1:9">
      <c r="A411" s="1" t="s">
        <v>418</v>
      </c>
      <c r="B411">
        <f>HYPERLINK("https://www.suredividend.com/sure-analysis-DIN/","Dine Brands Global, Inc.")</f>
        <v>0</v>
      </c>
      <c r="C411" t="s">
        <v>631</v>
      </c>
      <c r="D411">
        <v>0.04155339805825201</v>
      </c>
      <c r="E411">
        <v>0.04556035547208914</v>
      </c>
      <c r="F411">
        <v>0.035</v>
      </c>
      <c r="G411">
        <v>0.08215496791361221</v>
      </c>
      <c r="H411" t="s">
        <v>420</v>
      </c>
      <c r="I411" t="s">
        <v>420</v>
      </c>
    </row>
    <row r="412" spans="1:9">
      <c r="A412" s="1" t="s">
        <v>419</v>
      </c>
      <c r="B412">
        <f>HYPERLINK("https://www.suredividend.com/sure-analysis-AQN/","Algonquin Power &amp; Utilities Corp.")</f>
        <v>0</v>
      </c>
      <c r="C412" t="s">
        <v>631</v>
      </c>
      <c r="D412">
        <v>0.04130123573850501</v>
      </c>
      <c r="E412">
        <v>-0.02457842388296116</v>
      </c>
      <c r="F412">
        <v>0.065</v>
      </c>
      <c r="G412">
        <v>0.08168024581269284</v>
      </c>
      <c r="H412" t="s">
        <v>420</v>
      </c>
      <c r="I412" t="s">
        <v>420</v>
      </c>
    </row>
    <row r="413" spans="1:9">
      <c r="A413" s="1" t="s">
        <v>420</v>
      </c>
      <c r="B413">
        <f>HYPERLINK("https://www.suredividend.com/sure-analysis-D/","Dominion Energy, Inc.")</f>
        <v>0</v>
      </c>
      <c r="C413" t="s">
        <v>631</v>
      </c>
      <c r="D413">
        <v>0.046367948077883</v>
      </c>
      <c r="E413">
        <v>-0.009232030792924673</v>
      </c>
      <c r="F413">
        <v>0.05</v>
      </c>
      <c r="G413">
        <v>0.08100244060386808</v>
      </c>
      <c r="H413" t="s">
        <v>420</v>
      </c>
      <c r="I413" t="s">
        <v>381</v>
      </c>
    </row>
    <row r="414" spans="1:9">
      <c r="A414" s="1" t="s">
        <v>421</v>
      </c>
      <c r="B414">
        <f>HYPERLINK("https://www.suredividend.com/sure-analysis-MPW/","Medical Properties Trust, Inc.")</f>
        <v>0</v>
      </c>
      <c r="C414" t="s">
        <v>633</v>
      </c>
      <c r="D414">
        <v>0.05323957810145601</v>
      </c>
      <c r="E414">
        <v>-0.01638498726447568</v>
      </c>
      <c r="F414">
        <v>0.047</v>
      </c>
      <c r="G414">
        <v>0.08059317637532759</v>
      </c>
      <c r="H414" t="s">
        <v>420</v>
      </c>
      <c r="I414" t="s">
        <v>381</v>
      </c>
    </row>
    <row r="415" spans="1:9">
      <c r="A415" s="1" t="s">
        <v>422</v>
      </c>
      <c r="B415">
        <f>HYPERLINK("https://www.suredividend.com/sure-analysis-KTB/","Kontoor Brands, Inc.")</f>
        <v>0</v>
      </c>
      <c r="C415" t="s">
        <v>631</v>
      </c>
      <c r="D415">
        <v>0.07598371777476201</v>
      </c>
      <c r="E415">
        <v>0.04836824506772941</v>
      </c>
      <c r="F415">
        <v>0.03</v>
      </c>
      <c r="G415">
        <v>0.07981929241976116</v>
      </c>
      <c r="H415" t="s">
        <v>420</v>
      </c>
      <c r="I415" t="s">
        <v>381</v>
      </c>
    </row>
    <row r="416" spans="1:9">
      <c r="A416" s="1" t="s">
        <v>423</v>
      </c>
      <c r="B416">
        <f>HYPERLINK("https://www.suredividend.com/sure-analysis-HTGC/","Hercules Capital, Inc.")</f>
        <v>0</v>
      </c>
      <c r="C416" t="s">
        <v>633</v>
      </c>
      <c r="D416">
        <v>0.10729253981559</v>
      </c>
      <c r="E416">
        <v>-0.01260024597387366</v>
      </c>
      <c r="F416">
        <v>0</v>
      </c>
      <c r="G416">
        <v>0.07921377720817824</v>
      </c>
      <c r="H416" t="s">
        <v>420</v>
      </c>
      <c r="I416" t="s">
        <v>636</v>
      </c>
    </row>
    <row r="417" spans="1:9">
      <c r="A417" s="1" t="s">
        <v>424</v>
      </c>
      <c r="B417">
        <f>HYPERLINK("https://www.suredividend.com/sure-analysis-SKT/","Tanger Factory Outlet Centers, Inc.")</f>
        <v>0</v>
      </c>
      <c r="C417" t="s">
        <v>633</v>
      </c>
      <c r="D417">
        <v>0.16601866251944</v>
      </c>
      <c r="E417">
        <v>0.0370336067104291</v>
      </c>
      <c r="F417">
        <v>-0.028</v>
      </c>
      <c r="G417">
        <v>0.0771321893878405</v>
      </c>
      <c r="H417" t="s">
        <v>420</v>
      </c>
      <c r="I417" t="s">
        <v>635</v>
      </c>
    </row>
    <row r="418" spans="1:9">
      <c r="A418" s="1" t="s">
        <v>425</v>
      </c>
      <c r="B418">
        <f>HYPERLINK("https://www.suredividend.com/sure-analysis-BMWYY/","Bayerische Motoren Werke AG")</f>
        <v>0</v>
      </c>
      <c r="C418" t="s">
        <v>631</v>
      </c>
      <c r="D418">
        <v>0.041907834101382</v>
      </c>
      <c r="E418">
        <v>-0.1914250065591475</v>
      </c>
      <c r="F418">
        <v>0.285</v>
      </c>
      <c r="G418">
        <v>0.07657928492559329</v>
      </c>
      <c r="H418" t="s">
        <v>420</v>
      </c>
      <c r="I418" t="s">
        <v>420</v>
      </c>
    </row>
    <row r="419" spans="1:9">
      <c r="A419" s="1" t="s">
        <v>426</v>
      </c>
      <c r="B419">
        <f>HYPERLINK("https://www.suredividend.com/sure-analysis-MGA/","Magna International, Inc.")</f>
        <v>0</v>
      </c>
      <c r="C419" t="s">
        <v>631</v>
      </c>
      <c r="D419">
        <v>0.030347797052642</v>
      </c>
      <c r="E419">
        <v>0.01364867834128813</v>
      </c>
      <c r="F419">
        <v>0.036</v>
      </c>
      <c r="G419">
        <v>0.07626015971374667</v>
      </c>
      <c r="H419" t="s">
        <v>420</v>
      </c>
      <c r="I419" t="s">
        <v>420</v>
      </c>
    </row>
    <row r="420" spans="1:9">
      <c r="A420" s="1" t="s">
        <v>427</v>
      </c>
      <c r="B420">
        <f>HYPERLINK("https://www.suredividend.com/sure-analysis-APAM/","Artisan Partners Asset Management, Inc.")</f>
        <v>0</v>
      </c>
      <c r="C420" t="s">
        <v>631</v>
      </c>
      <c r="D420">
        <v>0.06536284096757501</v>
      </c>
      <c r="E420">
        <v>-0.01486861570563414</v>
      </c>
      <c r="F420">
        <v>0.03</v>
      </c>
      <c r="G420">
        <v>0.07600291305598805</v>
      </c>
      <c r="H420" t="s">
        <v>420</v>
      </c>
      <c r="I420" t="s">
        <v>381</v>
      </c>
    </row>
    <row r="421" spans="1:9">
      <c r="A421" s="1" t="s">
        <v>428</v>
      </c>
      <c r="B421">
        <f>HYPERLINK("https://www.suredividend.com/sure-analysis-TRP/","TC Energy Corp.")</f>
        <v>0</v>
      </c>
      <c r="C421" t="s">
        <v>631</v>
      </c>
      <c r="D421">
        <v>0.04761128688420201</v>
      </c>
      <c r="E421">
        <v>-0.01227391518435228</v>
      </c>
      <c r="F421">
        <v>0.04</v>
      </c>
      <c r="G421">
        <v>0.07458873556836743</v>
      </c>
      <c r="H421" t="s">
        <v>420</v>
      </c>
      <c r="I421" t="s">
        <v>381</v>
      </c>
    </row>
    <row r="422" spans="1:9">
      <c r="A422" s="1" t="s">
        <v>429</v>
      </c>
      <c r="B422">
        <f>HYPERLINK("https://www.suredividend.com/sure-analysis-TPR/","Tapestry, Inc.")</f>
        <v>0</v>
      </c>
      <c r="C422" t="s">
        <v>631</v>
      </c>
      <c r="D422">
        <v>0.08749189889825</v>
      </c>
      <c r="E422">
        <v>0.005980831192947456</v>
      </c>
      <c r="F422">
        <v>0.05</v>
      </c>
      <c r="G422">
        <v>0.07330886479144949</v>
      </c>
      <c r="H422" t="s">
        <v>420</v>
      </c>
      <c r="I422" t="s">
        <v>636</v>
      </c>
    </row>
    <row r="423" spans="1:9">
      <c r="A423" s="1" t="s">
        <v>430</v>
      </c>
      <c r="B423">
        <f>HYPERLINK("https://www.suredividend.com/sure-analysis-OGZPY/","Gazprom PJSC")</f>
        <v>0</v>
      </c>
      <c r="C423" t="s">
        <v>631</v>
      </c>
      <c r="D423">
        <v>0.086094674556213</v>
      </c>
      <c r="E423">
        <v>-0.07143562637903489</v>
      </c>
      <c r="F423">
        <v>0.08</v>
      </c>
      <c r="G423">
        <v>0.07214821075285216</v>
      </c>
      <c r="H423" t="s">
        <v>420</v>
      </c>
      <c r="I423" t="s">
        <v>636</v>
      </c>
    </row>
    <row r="424" spans="1:9">
      <c r="A424" s="1" t="s">
        <v>431</v>
      </c>
      <c r="B424">
        <f>HYPERLINK("https://www.suredividend.com/sure-analysis-XRX/","Xerox Holdings Corp.")</f>
        <v>0</v>
      </c>
      <c r="C424" t="s">
        <v>631</v>
      </c>
      <c r="D424">
        <v>0.05608524957936</v>
      </c>
      <c r="E424">
        <v>0.0248502999310658</v>
      </c>
      <c r="F424">
        <v>0</v>
      </c>
      <c r="G424">
        <v>0.07162400909295186</v>
      </c>
      <c r="H424" t="s">
        <v>420</v>
      </c>
      <c r="I424" t="s">
        <v>381</v>
      </c>
    </row>
    <row r="425" spans="1:9">
      <c r="A425" s="1" t="s">
        <v>432</v>
      </c>
      <c r="B425">
        <f>HYPERLINK("https://www.suredividend.com/sure-analysis-WRK/","WestRock Co.")</f>
        <v>0</v>
      </c>
      <c r="C425" t="s">
        <v>631</v>
      </c>
      <c r="D425">
        <v>0.051712887438825</v>
      </c>
      <c r="E425">
        <v>-0.01261186613268062</v>
      </c>
      <c r="F425">
        <v>0.06</v>
      </c>
      <c r="G425">
        <v>0.07136004138213381</v>
      </c>
      <c r="H425" t="s">
        <v>420</v>
      </c>
      <c r="I425" t="s">
        <v>381</v>
      </c>
    </row>
    <row r="426" spans="1:9">
      <c r="A426" s="1" t="s">
        <v>433</v>
      </c>
      <c r="B426">
        <f>HYPERLINK("https://www.suredividend.com/sure-analysis-JCI/","Johnson Controls International Plc")</f>
        <v>0</v>
      </c>
      <c r="C426" t="s">
        <v>631</v>
      </c>
      <c r="D426">
        <v>0.025935162094763</v>
      </c>
      <c r="E426">
        <v>-0.030153801562256</v>
      </c>
      <c r="F426">
        <v>0.08</v>
      </c>
      <c r="G426">
        <v>0.07127661867091728</v>
      </c>
      <c r="H426" t="s">
        <v>420</v>
      </c>
      <c r="I426" t="s">
        <v>420</v>
      </c>
    </row>
    <row r="427" spans="1:9">
      <c r="A427" s="1" t="s">
        <v>434</v>
      </c>
      <c r="B427">
        <f>HYPERLINK("https://www.suredividend.com/sure-analysis-VER/","VEREIT, Inc.")</f>
        <v>0</v>
      </c>
      <c r="C427" t="s">
        <v>631</v>
      </c>
      <c r="D427">
        <v>0.074392097264437</v>
      </c>
      <c r="E427">
        <v>0.0006071649891163933</v>
      </c>
      <c r="F427">
        <v>0.021</v>
      </c>
      <c r="G427">
        <v>0.07099786701229416</v>
      </c>
      <c r="H427" t="s">
        <v>420</v>
      </c>
      <c r="I427" t="s">
        <v>381</v>
      </c>
    </row>
    <row r="428" spans="1:9">
      <c r="A428" s="1" t="s">
        <v>435</v>
      </c>
      <c r="B428">
        <f>HYPERLINK("https://www.suredividend.com/sure-analysis-BCE/","BCE, Inc.")</f>
        <v>0</v>
      </c>
      <c r="C428" t="s">
        <v>631</v>
      </c>
      <c r="D428">
        <v>0.05690810391712801</v>
      </c>
      <c r="E428">
        <v>-0.009388217806847732</v>
      </c>
      <c r="F428">
        <v>0.03</v>
      </c>
      <c r="G428">
        <v>0.07094283755187458</v>
      </c>
      <c r="H428" t="s">
        <v>420</v>
      </c>
      <c r="I428" t="s">
        <v>381</v>
      </c>
    </row>
    <row r="429" spans="1:9">
      <c r="A429" s="1" t="s">
        <v>436</v>
      </c>
      <c r="B429">
        <f>HYPERLINK("https://www.suredividend.com/sure-analysis-QSR/","Restaurant Brands International, Inc.")</f>
        <v>0</v>
      </c>
      <c r="C429" t="s">
        <v>631</v>
      </c>
      <c r="D429">
        <v>0.03746115648200801</v>
      </c>
      <c r="E429">
        <v>-0.08289818025086648</v>
      </c>
      <c r="F429">
        <v>0.13</v>
      </c>
      <c r="G429">
        <v>0.07051182713552673</v>
      </c>
      <c r="H429" t="s">
        <v>420</v>
      </c>
      <c r="I429" t="s">
        <v>420</v>
      </c>
    </row>
    <row r="430" spans="1:9">
      <c r="A430" s="1" t="s">
        <v>437</v>
      </c>
      <c r="B430">
        <f>HYPERLINK("https://www.suredividend.com/sure-analysis-MIC/","Macquarie Infrastructure Corp.")</f>
        <v>0</v>
      </c>
      <c r="C430" t="s">
        <v>631</v>
      </c>
      <c r="D430">
        <v>0.066577896138482</v>
      </c>
      <c r="E430">
        <v>0.04667449973773174</v>
      </c>
      <c r="F430">
        <v>0.02</v>
      </c>
      <c r="G430">
        <v>0.06760798973248638</v>
      </c>
      <c r="H430" t="s">
        <v>420</v>
      </c>
      <c r="I430" t="s">
        <v>636</v>
      </c>
    </row>
    <row r="431" spans="1:9">
      <c r="A431" s="1" t="s">
        <v>438</v>
      </c>
      <c r="B431">
        <f>HYPERLINK("https://www.suredividend.com/sure-analysis-SBR/","Sabine Royalty Trust")</f>
        <v>0</v>
      </c>
      <c r="C431" t="s">
        <v>631</v>
      </c>
      <c r="D431">
        <v>0.080784236153377</v>
      </c>
      <c r="E431">
        <v>-0.06444004615966792</v>
      </c>
      <c r="F431">
        <v>0.05</v>
      </c>
      <c r="G431">
        <v>0.06730604719547828</v>
      </c>
      <c r="H431" t="s">
        <v>420</v>
      </c>
      <c r="I431" t="s">
        <v>381</v>
      </c>
    </row>
    <row r="432" spans="1:9">
      <c r="A432" s="1" t="s">
        <v>439</v>
      </c>
      <c r="B432">
        <f>HYPERLINK("https://www.suredividend.com/sure-analysis-EQR/","Equity Residential")</f>
        <v>0</v>
      </c>
      <c r="C432" t="s">
        <v>633</v>
      </c>
      <c r="D432">
        <v>0.042268786127167</v>
      </c>
      <c r="E432">
        <v>-0.01409013877511278</v>
      </c>
      <c r="F432">
        <v>0.045</v>
      </c>
      <c r="G432">
        <v>0.06685915081063731</v>
      </c>
      <c r="H432" t="s">
        <v>420</v>
      </c>
      <c r="I432" t="s">
        <v>420</v>
      </c>
    </row>
    <row r="433" spans="1:9">
      <c r="A433" s="1" t="s">
        <v>440</v>
      </c>
      <c r="B433">
        <f>HYPERLINK("https://www.suredividend.com/sure-analysis-LAMR/","Lamar Advertising Co.")</f>
        <v>0</v>
      </c>
      <c r="C433" t="s">
        <v>633</v>
      </c>
      <c r="D433">
        <v>0.052518427518427</v>
      </c>
      <c r="E433">
        <v>-0.02762169842572337</v>
      </c>
      <c r="F433">
        <v>0.046</v>
      </c>
      <c r="G433">
        <v>0.065593272216659</v>
      </c>
      <c r="H433" t="s">
        <v>420</v>
      </c>
      <c r="I433" t="s">
        <v>381</v>
      </c>
    </row>
    <row r="434" spans="1:9">
      <c r="A434" s="1" t="s">
        <v>441</v>
      </c>
      <c r="B434">
        <f>HYPERLINK("https://www.suredividend.com/sure-analysis-VTR/","Ventas, Inc.")</f>
        <v>0</v>
      </c>
      <c r="C434" t="s">
        <v>633</v>
      </c>
      <c r="D434">
        <v>0.06638882366752701</v>
      </c>
      <c r="E434">
        <v>-0.02278780998341279</v>
      </c>
      <c r="F434">
        <v>0.02</v>
      </c>
      <c r="G434">
        <v>0.06505495899254532</v>
      </c>
      <c r="H434" t="s">
        <v>420</v>
      </c>
      <c r="I434" t="s">
        <v>381</v>
      </c>
    </row>
    <row r="435" spans="1:9">
      <c r="A435" s="1" t="s">
        <v>442</v>
      </c>
      <c r="B435">
        <f>HYPERLINK("https://www.suredividend.com/sure-analysis-AEG/","AEGON NV")</f>
        <v>0</v>
      </c>
      <c r="C435" t="s">
        <v>631</v>
      </c>
      <c r="D435">
        <v>0.086328358208955</v>
      </c>
      <c r="E435">
        <v>-0.07108419252554465</v>
      </c>
      <c r="F435">
        <v>0.05</v>
      </c>
      <c r="G435">
        <v>0.06315109059387192</v>
      </c>
      <c r="H435" t="s">
        <v>420</v>
      </c>
      <c r="I435" t="s">
        <v>636</v>
      </c>
    </row>
    <row r="436" spans="1:9">
      <c r="A436" s="1" t="s">
        <v>443</v>
      </c>
      <c r="B436">
        <f>HYPERLINK("https://www.suredividend.com/sure-analysis-LYB/","LyondellBasell Industries NV")</f>
        <v>0</v>
      </c>
      <c r="C436" t="s">
        <v>631</v>
      </c>
      <c r="D436">
        <v>0.059837583701381</v>
      </c>
      <c r="E436">
        <v>-0.087296562304643</v>
      </c>
      <c r="F436">
        <v>0.1</v>
      </c>
      <c r="G436">
        <v>0.06080674283039289</v>
      </c>
      <c r="H436" t="s">
        <v>420</v>
      </c>
      <c r="I436" t="s">
        <v>381</v>
      </c>
    </row>
    <row r="437" spans="1:9">
      <c r="A437" s="1" t="s">
        <v>444</v>
      </c>
      <c r="B437">
        <f>HYPERLINK("https://www.suredividend.com/sure-analysis-IDEXY/","Industria de Diseño Textil SA")</f>
        <v>0</v>
      </c>
      <c r="C437" t="s">
        <v>631</v>
      </c>
      <c r="D437">
        <v>0.018345808383233</v>
      </c>
      <c r="E437">
        <v>-0.03379515065880734</v>
      </c>
      <c r="F437">
        <v>0.08</v>
      </c>
      <c r="G437">
        <v>0.06064059744535499</v>
      </c>
      <c r="H437" t="s">
        <v>420</v>
      </c>
      <c r="I437" t="s">
        <v>596</v>
      </c>
    </row>
    <row r="438" spans="1:9">
      <c r="A438" s="1" t="s">
        <v>445</v>
      </c>
      <c r="B438">
        <f>HYPERLINK("https://www.suredividend.com/sure-analysis-GNL/","Global Net Lease, Inc.")</f>
        <v>0</v>
      </c>
      <c r="C438" t="s">
        <v>633</v>
      </c>
      <c r="D438">
        <v>0.104657687991021</v>
      </c>
      <c r="E438">
        <v>-0.04700016983347388</v>
      </c>
      <c r="F438">
        <v>0.015</v>
      </c>
      <c r="G438">
        <v>0.05998379754079775</v>
      </c>
      <c r="H438" t="s">
        <v>420</v>
      </c>
      <c r="I438" t="s">
        <v>636</v>
      </c>
    </row>
    <row r="439" spans="1:9">
      <c r="A439" s="1" t="s">
        <v>446</v>
      </c>
      <c r="B439">
        <f>HYPERLINK("https://www.suredividend.com/sure-analysis-BGS/","B&amp;G Foods, Inc.")</f>
        <v>0</v>
      </c>
      <c r="C439" t="s">
        <v>631</v>
      </c>
      <c r="D439">
        <v>0.064912880081995</v>
      </c>
      <c r="E439">
        <v>-0.02797071351368474</v>
      </c>
      <c r="F439">
        <v>0.03</v>
      </c>
      <c r="G439">
        <v>0.05960144289202041</v>
      </c>
      <c r="H439" t="s">
        <v>420</v>
      </c>
      <c r="I439" t="s">
        <v>381</v>
      </c>
    </row>
    <row r="440" spans="1:9">
      <c r="A440" s="1" t="s">
        <v>447</v>
      </c>
      <c r="B440">
        <f>HYPERLINK("https://www.suredividend.com/sure-analysis-AB/","AllianceBernstein Holding LP")</f>
        <v>0</v>
      </c>
      <c r="C440" t="s">
        <v>631</v>
      </c>
      <c r="D440">
        <v>0.09483368719037501</v>
      </c>
      <c r="E440">
        <v>-0.01846932719406658</v>
      </c>
      <c r="F440">
        <v>-0.002</v>
      </c>
      <c r="G440">
        <v>0.0572251180666703</v>
      </c>
      <c r="H440" t="s">
        <v>420</v>
      </c>
      <c r="I440" t="s">
        <v>381</v>
      </c>
    </row>
    <row r="441" spans="1:9">
      <c r="A441" s="1" t="s">
        <v>448</v>
      </c>
      <c r="B441">
        <f>HYPERLINK("https://www.suredividend.com/sure-analysis-DDAIF/","Daimler AG")</f>
        <v>0</v>
      </c>
      <c r="C441" t="s">
        <v>631</v>
      </c>
      <c r="D441">
        <v>0.018591200165255</v>
      </c>
      <c r="E441">
        <v>0.01828221221054305</v>
      </c>
      <c r="F441">
        <v>0.02</v>
      </c>
      <c r="G441">
        <v>0.05585232862658929</v>
      </c>
      <c r="H441" t="s">
        <v>420</v>
      </c>
      <c r="I441" t="s">
        <v>596</v>
      </c>
    </row>
    <row r="442" spans="1:9">
      <c r="A442" s="1" t="s">
        <v>449</v>
      </c>
      <c r="B442">
        <f>HYPERLINK("https://www.suredividend.com/sure-analysis-DRETF/","Dream Office Real Estate Investment Trust")</f>
        <v>0</v>
      </c>
      <c r="C442" t="s">
        <v>631</v>
      </c>
      <c r="D442">
        <v>0.049998871963168</v>
      </c>
      <c r="E442">
        <v>-0.01954085869729338</v>
      </c>
      <c r="F442">
        <v>0.031</v>
      </c>
      <c r="G442">
        <v>0.05573921893659173</v>
      </c>
      <c r="H442" t="s">
        <v>420</v>
      </c>
      <c r="I442" t="s">
        <v>381</v>
      </c>
    </row>
    <row r="443" spans="1:9">
      <c r="A443" s="1" t="s">
        <v>450</v>
      </c>
      <c r="B443">
        <f>HYPERLINK("https://www.suredividend.com/sure-analysis-ARCC/","Ares Capital Corp.")</f>
        <v>0</v>
      </c>
      <c r="C443" t="s">
        <v>634</v>
      </c>
      <c r="D443">
        <v>0.106524633821571</v>
      </c>
      <c r="E443">
        <v>-0.06233544927316337</v>
      </c>
      <c r="F443">
        <v>0.01</v>
      </c>
      <c r="G443">
        <v>0.05475289160829977</v>
      </c>
      <c r="H443" t="s">
        <v>420</v>
      </c>
      <c r="I443" t="s">
        <v>636</v>
      </c>
    </row>
    <row r="444" spans="1:9">
      <c r="A444" s="1" t="s">
        <v>451</v>
      </c>
      <c r="B444">
        <f>HYPERLINK("https://www.suredividend.com/sure-analysis-VFC/","VF Corp.")</f>
        <v>0</v>
      </c>
      <c r="C444" t="s">
        <v>631</v>
      </c>
      <c r="D444">
        <v>0.029214185283549</v>
      </c>
      <c r="E444">
        <v>-0.06935415542263601</v>
      </c>
      <c r="F444">
        <v>0.1</v>
      </c>
      <c r="G444">
        <v>0.05189259767098986</v>
      </c>
      <c r="H444" t="s">
        <v>420</v>
      </c>
      <c r="I444" t="s">
        <v>420</v>
      </c>
    </row>
    <row r="445" spans="1:9">
      <c r="A445" s="1" t="s">
        <v>452</v>
      </c>
      <c r="B445">
        <f>HYPERLINK("https://www.suredividend.com/sure-analysis-NTR/","Nutrien Ltd.")</f>
        <v>0</v>
      </c>
      <c r="C445" t="s">
        <v>631</v>
      </c>
      <c r="D445">
        <v>0.04884123854990501</v>
      </c>
      <c r="E445">
        <v>-0.04210994805604396</v>
      </c>
      <c r="F445">
        <v>0.05</v>
      </c>
      <c r="G445">
        <v>0.05152430525589691</v>
      </c>
      <c r="H445" t="s">
        <v>420</v>
      </c>
      <c r="I445" t="s">
        <v>420</v>
      </c>
    </row>
    <row r="446" spans="1:9">
      <c r="A446" s="1" t="s">
        <v>453</v>
      </c>
      <c r="B446">
        <f>HYPERLINK("https://www.suredividend.com/sure-analysis-STAG/","STAG Industrial, Inc.")</f>
        <v>0</v>
      </c>
      <c r="C446" t="s">
        <v>633</v>
      </c>
      <c r="D446">
        <v>0.04270672218917301</v>
      </c>
      <c r="E446">
        <v>-0.037465414806794</v>
      </c>
      <c r="F446">
        <v>0.05</v>
      </c>
      <c r="G446">
        <v>0.05080129722150128</v>
      </c>
      <c r="H446" t="s">
        <v>420</v>
      </c>
      <c r="I446" t="s">
        <v>420</v>
      </c>
    </row>
    <row r="447" spans="1:9">
      <c r="A447" s="1" t="s">
        <v>454</v>
      </c>
      <c r="B447">
        <f>HYPERLINK("https://www.suredividend.com/sure-analysis-GOOD/","Gladstone Commercial Corp.")</f>
        <v>0</v>
      </c>
      <c r="C447" t="s">
        <v>633</v>
      </c>
      <c r="D447">
        <v>0.07993077742279001</v>
      </c>
      <c r="E447">
        <v>-0.02724792636713702</v>
      </c>
      <c r="F447">
        <v>0</v>
      </c>
      <c r="G447">
        <v>0.0504895613191878</v>
      </c>
      <c r="H447" t="s">
        <v>420</v>
      </c>
      <c r="I447" t="s">
        <v>381</v>
      </c>
    </row>
    <row r="448" spans="1:9">
      <c r="A448" s="1" t="s">
        <v>455</v>
      </c>
      <c r="B448">
        <f>HYPERLINK("https://www.suredividend.com/sure-analysis-PHG/","Koninklijke Philips NV")</f>
        <v>0</v>
      </c>
      <c r="C448" t="s">
        <v>631</v>
      </c>
      <c r="D448">
        <v>0.017981933499903</v>
      </c>
      <c r="E448">
        <v>-0.07065528050732028</v>
      </c>
      <c r="F448">
        <v>0.11</v>
      </c>
      <c r="G448">
        <v>0.04895029932603601</v>
      </c>
      <c r="H448" t="s">
        <v>420</v>
      </c>
      <c r="I448" t="s">
        <v>596</v>
      </c>
    </row>
    <row r="449" spans="1:9">
      <c r="A449" s="1" t="s">
        <v>456</v>
      </c>
      <c r="B449">
        <f>HYPERLINK("https://www.suredividend.com/sure-analysis-KHC/","The Kraft Heinz Co.")</f>
        <v>0</v>
      </c>
      <c r="C449" t="s">
        <v>631</v>
      </c>
      <c r="D449">
        <v>0.04599022707674601</v>
      </c>
      <c r="E449">
        <v>-0.02190319456733691</v>
      </c>
      <c r="F449">
        <v>0.03</v>
      </c>
      <c r="G449">
        <v>0.04876108178548666</v>
      </c>
      <c r="H449" t="s">
        <v>420</v>
      </c>
      <c r="I449" t="s">
        <v>381</v>
      </c>
    </row>
    <row r="450" spans="1:9">
      <c r="A450" s="1" t="s">
        <v>457</v>
      </c>
      <c r="B450">
        <f>HYPERLINK("https://www.suredividend.com/sure-analysis-DREUF/","Dream Industrial Real Estate Investment Trust")</f>
        <v>0</v>
      </c>
      <c r="C450" t="s">
        <v>633</v>
      </c>
      <c r="D450">
        <v>0.062452610110171</v>
      </c>
      <c r="E450">
        <v>-0.06396313156527056</v>
      </c>
      <c r="F450">
        <v>0.052</v>
      </c>
      <c r="G450">
        <v>0.04862637986550533</v>
      </c>
      <c r="H450" t="s">
        <v>420</v>
      </c>
      <c r="I450" t="s">
        <v>381</v>
      </c>
    </row>
    <row r="451" spans="1:9">
      <c r="A451" s="1" t="s">
        <v>458</v>
      </c>
      <c r="B451">
        <f>HYPERLINK("https://www.suredividend.com/sure-analysis-EPR/","EPR Properties")</f>
        <v>0</v>
      </c>
      <c r="C451" t="s">
        <v>633</v>
      </c>
      <c r="D451">
        <v>0.102262443438914</v>
      </c>
      <c r="E451">
        <v>0.008197818497166498</v>
      </c>
      <c r="F451">
        <v>0</v>
      </c>
      <c r="G451">
        <v>0.04722807424026021</v>
      </c>
      <c r="H451" t="s">
        <v>420</v>
      </c>
      <c r="I451" t="s">
        <v>636</v>
      </c>
    </row>
    <row r="452" spans="1:9">
      <c r="A452" s="1" t="s">
        <v>459</v>
      </c>
      <c r="B452">
        <f>HYPERLINK("https://www.suredividend.com/sure-analysis-CF/","CF Industries Holdings, Inc.")</f>
        <v>0</v>
      </c>
      <c r="C452" t="s">
        <v>631</v>
      </c>
      <c r="D452">
        <v>0.03440366972477001</v>
      </c>
      <c r="E452">
        <v>-0.00277671879893715</v>
      </c>
      <c r="F452">
        <v>0.02</v>
      </c>
      <c r="G452">
        <v>0.04695771121097558</v>
      </c>
      <c r="H452" t="s">
        <v>420</v>
      </c>
      <c r="I452" t="s">
        <v>420</v>
      </c>
    </row>
    <row r="453" spans="1:9">
      <c r="A453" s="1" t="s">
        <v>460</v>
      </c>
      <c r="B453">
        <f>HYPERLINK("https://www.suredividend.com/sure-analysis-PEAK/","Healthpeak Properties, Inc.")</f>
        <v>0</v>
      </c>
      <c r="C453" t="s">
        <v>633</v>
      </c>
      <c r="D453">
        <v>0.050981743024457</v>
      </c>
      <c r="E453">
        <v>-0.03187631219993781</v>
      </c>
      <c r="F453">
        <v>0.03</v>
      </c>
      <c r="G453">
        <v>0.04673930542807492</v>
      </c>
      <c r="H453" t="s">
        <v>420</v>
      </c>
      <c r="I453" t="s">
        <v>420</v>
      </c>
    </row>
    <row r="454" spans="1:9">
      <c r="A454" s="1" t="s">
        <v>461</v>
      </c>
      <c r="B454">
        <f>HYPERLINK("https://www.suredividend.com/sure-analysis-HOG/","Harley-Davidson, Inc.")</f>
        <v>0</v>
      </c>
      <c r="C454" t="s">
        <v>631</v>
      </c>
      <c r="D454">
        <v>0.042217327459618</v>
      </c>
      <c r="E454">
        <v>-0.02157070391298854</v>
      </c>
      <c r="F454">
        <v>0.037</v>
      </c>
      <c r="G454">
        <v>0.04565890759554692</v>
      </c>
      <c r="H454" t="s">
        <v>420</v>
      </c>
      <c r="I454" t="s">
        <v>420</v>
      </c>
    </row>
    <row r="455" spans="1:9">
      <c r="A455" s="1" t="s">
        <v>462</v>
      </c>
      <c r="B455">
        <f>HYPERLINK("https://www.suredividend.com/sure-analysis-CNP/","CenterPoint Energy, Inc.")</f>
        <v>0</v>
      </c>
      <c r="C455" t="s">
        <v>631</v>
      </c>
      <c r="D455">
        <v>0.04837940896091501</v>
      </c>
      <c r="E455">
        <v>-0.04937682383309361</v>
      </c>
      <c r="F455">
        <v>0.04</v>
      </c>
      <c r="G455">
        <v>0.04547761355713398</v>
      </c>
      <c r="H455" t="s">
        <v>420</v>
      </c>
      <c r="I455" t="s">
        <v>381</v>
      </c>
    </row>
    <row r="456" spans="1:9">
      <c r="A456" s="1" t="s">
        <v>463</v>
      </c>
      <c r="B456">
        <f>HYPERLINK("https://www.suredividend.com/sure-analysis-APO/","Apollo Global Management, Inc.")</f>
        <v>0</v>
      </c>
      <c r="C456" t="s">
        <v>631</v>
      </c>
      <c r="D456">
        <v>0.04818535985236801</v>
      </c>
      <c r="E456">
        <v>-0.07130792455112733</v>
      </c>
      <c r="F456">
        <v>0.08</v>
      </c>
      <c r="G456">
        <v>0.04270772895173058</v>
      </c>
      <c r="H456" t="s">
        <v>420</v>
      </c>
      <c r="I456" t="s">
        <v>420</v>
      </c>
    </row>
    <row r="457" spans="1:9">
      <c r="A457" s="1" t="s">
        <v>464</v>
      </c>
      <c r="B457">
        <f>HYPERLINK("https://www.suredividend.com/sure-analysis-DHC/","Diversified Healthcare Trust")</f>
        <v>0</v>
      </c>
      <c r="C457" t="s">
        <v>633</v>
      </c>
      <c r="D457">
        <v>0.100436681222707</v>
      </c>
      <c r="E457">
        <v>0.04443350606726293</v>
      </c>
      <c r="F457">
        <v>-0.01</v>
      </c>
      <c r="G457">
        <v>0.04192045936415068</v>
      </c>
      <c r="H457" t="s">
        <v>420</v>
      </c>
      <c r="I457" t="s">
        <v>636</v>
      </c>
    </row>
    <row r="458" spans="1:9">
      <c r="A458" s="1" t="s">
        <v>465</v>
      </c>
      <c r="B458">
        <f>HYPERLINK("https://www.suredividend.com/sure-analysis-BHP/","BHP Group Ltd.")</f>
        <v>0</v>
      </c>
      <c r="C458" t="s">
        <v>631</v>
      </c>
      <c r="D458">
        <v>0.050034989503149</v>
      </c>
      <c r="E458">
        <v>-0.01385757579092772</v>
      </c>
      <c r="F458">
        <v>0.01</v>
      </c>
      <c r="G458">
        <v>0.03806625463264135</v>
      </c>
      <c r="H458" t="s">
        <v>420</v>
      </c>
      <c r="I458" t="s">
        <v>381</v>
      </c>
    </row>
    <row r="459" spans="1:9">
      <c r="A459" s="1" t="s">
        <v>466</v>
      </c>
      <c r="B459">
        <f>HYPERLINK("https://www.suredividend.com/sure-analysis-NWL/","Newell Brands, Inc.")</f>
        <v>0</v>
      </c>
      <c r="C459" t="s">
        <v>631</v>
      </c>
      <c r="D459">
        <v>0.05257142857142801</v>
      </c>
      <c r="E459">
        <v>-0.05516634616988192</v>
      </c>
      <c r="F459">
        <v>0.045</v>
      </c>
      <c r="G459">
        <v>0.03796061678086438</v>
      </c>
      <c r="H459" t="s">
        <v>420</v>
      </c>
      <c r="I459" t="s">
        <v>381</v>
      </c>
    </row>
    <row r="460" spans="1:9">
      <c r="A460" s="1" t="s">
        <v>467</v>
      </c>
      <c r="B460">
        <f>HYPERLINK("https://www.suredividend.com/sure-analysis-ABR/","Arbor Realty Trust, Inc.")</f>
        <v>0</v>
      </c>
      <c r="C460" t="s">
        <v>633</v>
      </c>
      <c r="D460">
        <v>0.101104502973661</v>
      </c>
      <c r="E460">
        <v>-0.1475043912496914</v>
      </c>
      <c r="F460">
        <v>0.095</v>
      </c>
      <c r="G460">
        <v>0.03747438273401538</v>
      </c>
      <c r="H460" t="s">
        <v>420</v>
      </c>
      <c r="I460" t="s">
        <v>636</v>
      </c>
    </row>
    <row r="461" spans="1:9">
      <c r="A461" s="1" t="s">
        <v>468</v>
      </c>
      <c r="B461">
        <f>HYPERLINK("https://www.suredividend.com/sure-analysis-IP/","International Paper Co.")</f>
        <v>0</v>
      </c>
      <c r="C461" t="s">
        <v>631</v>
      </c>
      <c r="D461">
        <v>0.05611401817681001</v>
      </c>
      <c r="E461">
        <v>-0.1071950775597849</v>
      </c>
      <c r="F461">
        <v>0.1</v>
      </c>
      <c r="G461">
        <v>0.03711307332074276</v>
      </c>
      <c r="H461" t="s">
        <v>420</v>
      </c>
      <c r="I461" t="s">
        <v>381</v>
      </c>
    </row>
    <row r="462" spans="1:9">
      <c r="A462" s="1" t="s">
        <v>469</v>
      </c>
      <c r="B462">
        <f>HYPERLINK("https://www.suredividend.com/sure-analysis-GRMN/","Garmin Ltd.")</f>
        <v>0</v>
      </c>
      <c r="C462" t="s">
        <v>631</v>
      </c>
      <c r="D462">
        <v>0.022720595436294</v>
      </c>
      <c r="E462">
        <v>-0.06376644834634759</v>
      </c>
      <c r="F462">
        <v>0.08</v>
      </c>
      <c r="G462">
        <v>0.03649605504406739</v>
      </c>
      <c r="H462" t="s">
        <v>420</v>
      </c>
      <c r="I462" t="s">
        <v>420</v>
      </c>
    </row>
    <row r="463" spans="1:9">
      <c r="A463" s="1" t="s">
        <v>470</v>
      </c>
      <c r="B463">
        <f>HYPERLINK("https://www.suredividend.com/sure-analysis-BX/","The Blackstone Group, Inc.")</f>
        <v>0</v>
      </c>
      <c r="C463" t="s">
        <v>631</v>
      </c>
      <c r="D463">
        <v>0.037263519969424</v>
      </c>
      <c r="E463">
        <v>-0.09430578864419992</v>
      </c>
      <c r="F463">
        <v>0.1</v>
      </c>
      <c r="G463">
        <v>0.0347454348734606</v>
      </c>
      <c r="H463" t="s">
        <v>420</v>
      </c>
      <c r="I463" t="s">
        <v>420</v>
      </c>
    </row>
    <row r="464" spans="1:9">
      <c r="A464" s="1" t="s">
        <v>471</v>
      </c>
      <c r="B464">
        <f>HYPERLINK("https://www.suredividend.com/sure-analysis-ALV/","Autoliv, Inc.")</f>
        <v>0</v>
      </c>
      <c r="C464" t="s">
        <v>631</v>
      </c>
      <c r="D464">
        <v>0.017810973858086</v>
      </c>
      <c r="E464">
        <v>-0.03286131982944629</v>
      </c>
      <c r="F464">
        <v>0.05</v>
      </c>
      <c r="G464">
        <v>0.03411935282069622</v>
      </c>
      <c r="H464" t="s">
        <v>420</v>
      </c>
      <c r="I464" t="s">
        <v>596</v>
      </c>
    </row>
    <row r="465" spans="1:9">
      <c r="A465" s="1" t="s">
        <v>472</v>
      </c>
      <c r="B465">
        <f>HYPERLINK("https://www.suredividend.com/sure-analysis-DRI/","Darden Restaurants, Inc.")</f>
        <v>0</v>
      </c>
      <c r="C465" t="s">
        <v>631</v>
      </c>
      <c r="D465">
        <v>0.032380718753832</v>
      </c>
      <c r="E465">
        <v>-0.09176095709402565</v>
      </c>
      <c r="F465">
        <v>0.13</v>
      </c>
      <c r="G465">
        <v>0.02631011848375087</v>
      </c>
      <c r="H465" t="s">
        <v>420</v>
      </c>
      <c r="I465" t="s">
        <v>420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631</v>
      </c>
      <c r="D466">
        <v>0.04189189189189101</v>
      </c>
      <c r="E466">
        <v>-0.06306374305126206</v>
      </c>
      <c r="F466">
        <v>0.05</v>
      </c>
      <c r="G466">
        <v>0.02457855825500999</v>
      </c>
      <c r="H466" t="s">
        <v>420</v>
      </c>
      <c r="I466" t="s">
        <v>420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631</v>
      </c>
      <c r="D467">
        <v>0.026127527216174</v>
      </c>
      <c r="E467">
        <v>-0.06565973984350282</v>
      </c>
      <c r="F467">
        <v>0.06</v>
      </c>
      <c r="G467">
        <v>0.02217719045609279</v>
      </c>
      <c r="H467" t="s">
        <v>420</v>
      </c>
      <c r="I467" t="s">
        <v>420</v>
      </c>
    </row>
    <row r="468" spans="1:9">
      <c r="A468" s="1" t="s">
        <v>475</v>
      </c>
      <c r="B468">
        <f>HYPERLINK("https://www.suredividend.com/sure-analysis-GRP-UN","UN)")</f>
        <v>0</v>
      </c>
      <c r="C468" t="s">
        <v>633</v>
      </c>
      <c r="D468">
        <v>0.0371</v>
      </c>
      <c r="E468">
        <v>-0.05929001789731303</v>
      </c>
      <c r="F468">
        <v>0.04</v>
      </c>
      <c r="G468">
        <v>0.01982133296414834</v>
      </c>
      <c r="H468" t="s">
        <v>420</v>
      </c>
      <c r="I468" t="s">
        <v>420</v>
      </c>
    </row>
    <row r="469" spans="1:9">
      <c r="A469" s="1" t="s">
        <v>476</v>
      </c>
      <c r="B469">
        <f>HYPERLINK("https://www.suredividend.com/sure-analysis-CC/","The Chemours Co.")</f>
        <v>0</v>
      </c>
      <c r="C469" t="s">
        <v>631</v>
      </c>
      <c r="D469">
        <v>0.048590864917395</v>
      </c>
      <c r="E469">
        <v>-0.06038357868964939</v>
      </c>
      <c r="F469">
        <v>0.03</v>
      </c>
      <c r="G469">
        <v>0.01708801527578108</v>
      </c>
      <c r="H469" t="s">
        <v>420</v>
      </c>
      <c r="I469" t="s">
        <v>381</v>
      </c>
    </row>
    <row r="470" spans="1:9">
      <c r="A470" s="1" t="s">
        <v>477</v>
      </c>
      <c r="B470">
        <f>HYPERLINK("https://www.suredividend.com/sure-analysis-RIO/","Rio Tinto Plc")</f>
        <v>0</v>
      </c>
      <c r="C470" t="s">
        <v>631</v>
      </c>
      <c r="D470">
        <v>0.06265216685602901</v>
      </c>
      <c r="E470">
        <v>-0.06010445880118431</v>
      </c>
      <c r="F470">
        <v>0.01</v>
      </c>
      <c r="G470">
        <v>0.01026628730073464</v>
      </c>
      <c r="H470" t="s">
        <v>420</v>
      </c>
      <c r="I470" t="s">
        <v>381</v>
      </c>
    </row>
    <row r="471" spans="1:9">
      <c r="A471" s="1" t="s">
        <v>478</v>
      </c>
      <c r="B471">
        <f>HYPERLINK("https://www.suredividend.com/sure-analysis-LAND/","Gladstone Land Corp.")</f>
        <v>0</v>
      </c>
      <c r="C471" t="s">
        <v>633</v>
      </c>
      <c r="D471">
        <v>0.033197026022304</v>
      </c>
      <c r="E471">
        <v>-0.05502490878085542</v>
      </c>
      <c r="F471">
        <v>0.03</v>
      </c>
      <c r="G471">
        <v>0.009198116843169402</v>
      </c>
      <c r="H471" t="s">
        <v>420</v>
      </c>
      <c r="I471" t="s">
        <v>420</v>
      </c>
    </row>
    <row r="472" spans="1:9">
      <c r="A472" s="1" t="s">
        <v>479</v>
      </c>
      <c r="B472">
        <f>HYPERLINK("https://www.suredividend.com/sure-analysis-PPRQF/","Choice Properties Real Estate Investment Trust")</f>
        <v>0</v>
      </c>
      <c r="C472" t="s">
        <v>633</v>
      </c>
      <c r="D472">
        <v>0.057789580157489</v>
      </c>
      <c r="E472">
        <v>-0.08257902970523001</v>
      </c>
      <c r="F472">
        <v>0.025</v>
      </c>
      <c r="G472">
        <v>0.008119222614672239</v>
      </c>
      <c r="H472" t="s">
        <v>420</v>
      </c>
      <c r="I472" t="s">
        <v>381</v>
      </c>
    </row>
    <row r="473" spans="1:9">
      <c r="A473" s="1" t="s">
        <v>480</v>
      </c>
      <c r="B473">
        <f>HYPERLINK("https://www.suredividend.com/sure-analysis-WEN/","The Wendy's Co.")</f>
        <v>0</v>
      </c>
      <c r="C473" t="s">
        <v>631</v>
      </c>
      <c r="D473">
        <v>0.017743403093721</v>
      </c>
      <c r="E473">
        <v>-0.0743685345955456</v>
      </c>
      <c r="F473">
        <v>0.07000000000000001</v>
      </c>
      <c r="G473">
        <v>0.006824483952509119</v>
      </c>
      <c r="H473" t="s">
        <v>420</v>
      </c>
      <c r="I473" t="s">
        <v>596</v>
      </c>
    </row>
    <row r="474" spans="1:9">
      <c r="A474" s="1" t="s">
        <v>481</v>
      </c>
      <c r="B474">
        <f>HYPERLINK("https://www.suredividend.com/sure-analysis-WDR/","Waddell &amp; Reed Financial, Inc.")</f>
        <v>0</v>
      </c>
      <c r="C474" t="s">
        <v>631</v>
      </c>
      <c r="D474">
        <v>0.06418485237483901</v>
      </c>
      <c r="E474">
        <v>-0.06748974321500989</v>
      </c>
      <c r="F474">
        <v>-0.01</v>
      </c>
      <c r="G474">
        <v>-0.001789850171012741</v>
      </c>
      <c r="H474" t="s">
        <v>420</v>
      </c>
      <c r="I474" t="s">
        <v>381</v>
      </c>
    </row>
    <row r="475" spans="1:9">
      <c r="A475" s="1" t="s">
        <v>482</v>
      </c>
      <c r="B475">
        <f>HYPERLINK("https://www.suredividend.com/sure-analysis-FLR/","Fluor Corp.")</f>
        <v>0</v>
      </c>
      <c r="C475" t="s">
        <v>631</v>
      </c>
      <c r="D475">
        <v>0.07023411371237401</v>
      </c>
      <c r="E475">
        <v>-0.05949044845124329</v>
      </c>
      <c r="F475">
        <v>0.02</v>
      </c>
      <c r="G475">
        <v>-0.004842632611233078</v>
      </c>
      <c r="H475" t="s">
        <v>420</v>
      </c>
      <c r="I475" t="s">
        <v>636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631</v>
      </c>
      <c r="D476">
        <v>0.013665657271527</v>
      </c>
      <c r="E476">
        <v>-0.05954330955465703</v>
      </c>
      <c r="F476">
        <v>0.036</v>
      </c>
      <c r="G476">
        <v>-0.009114725699826298</v>
      </c>
      <c r="H476" t="s">
        <v>420</v>
      </c>
      <c r="I476" t="s">
        <v>596</v>
      </c>
    </row>
    <row r="477" spans="1:9">
      <c r="A477" s="1" t="s">
        <v>484</v>
      </c>
      <c r="B477">
        <f>HYPERLINK("https://www.suredividend.com/sure-analysis-FCX/","Freeport-McMoRan, Inc.")</f>
        <v>0</v>
      </c>
      <c r="C477" t="s">
        <v>631</v>
      </c>
      <c r="D477">
        <v>0.006954102920723001</v>
      </c>
      <c r="E477">
        <v>-0.1053752399451049</v>
      </c>
      <c r="F477">
        <v>0.08500000000000001</v>
      </c>
      <c r="G477">
        <v>-0.01953460598537249</v>
      </c>
      <c r="H477" t="s">
        <v>420</v>
      </c>
      <c r="I477" t="s">
        <v>596</v>
      </c>
    </row>
    <row r="478" spans="1:9">
      <c r="A478" s="1" t="s">
        <v>485</v>
      </c>
      <c r="B478">
        <f>HYPERLINK("https://www.suredividend.com/sure-analysis-WY/","Weyerhaeuser Co.")</f>
        <v>0</v>
      </c>
      <c r="C478" t="s">
        <v>631</v>
      </c>
      <c r="D478">
        <v>0.03540437348143</v>
      </c>
      <c r="E478">
        <v>-0.1228603494916525</v>
      </c>
      <c r="F478">
        <v>0.07000000000000001</v>
      </c>
      <c r="G478">
        <v>-0.02656910678721525</v>
      </c>
      <c r="H478" t="s">
        <v>420</v>
      </c>
      <c r="I478" t="s">
        <v>420</v>
      </c>
    </row>
    <row r="479" spans="1:9">
      <c r="A479" s="1" t="s">
        <v>486</v>
      </c>
      <c r="B479">
        <f>HYPERLINK("https://www.suredividend.com/sure-analysis-AZN/","AstraZeneca Plc")</f>
        <v>0</v>
      </c>
      <c r="C479" t="s">
        <v>631</v>
      </c>
      <c r="D479">
        <v>0.024738172625496</v>
      </c>
      <c r="E479">
        <v>-0.1147459716034097</v>
      </c>
      <c r="F479">
        <v>0.04</v>
      </c>
      <c r="G479">
        <v>-0.04645611007693617</v>
      </c>
      <c r="H479" t="s">
        <v>420</v>
      </c>
      <c r="I479" t="s">
        <v>420</v>
      </c>
    </row>
    <row r="480" spans="1:9">
      <c r="A480" s="1" t="s">
        <v>487</v>
      </c>
      <c r="B480">
        <f>HYPERLINK("https://www.suredividend.com/sure-analysis-ETN/","Eaton Corp. Plc")</f>
        <v>0</v>
      </c>
      <c r="C480" t="s">
        <v>631</v>
      </c>
      <c r="D480">
        <v>0.028869286287089</v>
      </c>
      <c r="E480">
        <v>-0.1230355383544799</v>
      </c>
      <c r="F480">
        <v>0.04</v>
      </c>
      <c r="G480">
        <v>-0.04774890111948027</v>
      </c>
      <c r="H480" t="s">
        <v>420</v>
      </c>
      <c r="I480" t="s">
        <v>420</v>
      </c>
    </row>
    <row r="481" spans="1:9">
      <c r="A481" s="1" t="s">
        <v>488</v>
      </c>
      <c r="B481">
        <f>HYPERLINK("https://www.suredividend.com/sure-analysis-HMC/","Honda Motor Co., Ltd.")</f>
        <v>0</v>
      </c>
      <c r="C481" t="s">
        <v>631</v>
      </c>
      <c r="D481">
        <v>0.035253215434083</v>
      </c>
      <c r="E481">
        <v>-0.1266775724768896</v>
      </c>
      <c r="F481">
        <v>0.029</v>
      </c>
      <c r="G481">
        <v>-0.07420925277512735</v>
      </c>
      <c r="H481" t="s">
        <v>420</v>
      </c>
      <c r="I481" t="s">
        <v>420</v>
      </c>
    </row>
    <row r="482" spans="1:9">
      <c r="A482" s="1" t="s">
        <v>489</v>
      </c>
      <c r="B482">
        <f>HYPERLINK("https://www.suredividend.com/sure-analysis-GOLD/","Barrick Gold Corp.")</f>
        <v>0</v>
      </c>
      <c r="C482" t="s">
        <v>631</v>
      </c>
      <c r="D482">
        <v>0.018805710306406</v>
      </c>
      <c r="E482">
        <v>-0.09427128863604872</v>
      </c>
      <c r="F482">
        <v>0</v>
      </c>
      <c r="G482">
        <v>-0.07709945635367266</v>
      </c>
      <c r="H482" t="s">
        <v>420</v>
      </c>
      <c r="I482" t="s">
        <v>596</v>
      </c>
    </row>
    <row r="483" spans="1:9">
      <c r="A483" s="1" t="s">
        <v>490</v>
      </c>
      <c r="B483">
        <f>HYPERLINK("https://www.suredividend.com/sure-analysis-KLIC/","Kulicke &amp; Soffa Industries, Inc.")</f>
        <v>0</v>
      </c>
      <c r="C483" t="s">
        <v>631</v>
      </c>
      <c r="D483">
        <v>0.019253910950661</v>
      </c>
      <c r="E483">
        <v>-0.2243021734100016</v>
      </c>
      <c r="F483">
        <v>0.02</v>
      </c>
      <c r="G483">
        <v>-0.1623883230808323</v>
      </c>
      <c r="H483" t="s">
        <v>420</v>
      </c>
      <c r="I483" t="s">
        <v>596</v>
      </c>
    </row>
    <row r="484" spans="1:9">
      <c r="A484" s="1" t="s">
        <v>491</v>
      </c>
      <c r="B484">
        <f>HYPERLINK("https://www.suredividend.com/sure-analysis-CHRRF/","Chorus Aviation, Inc.")</f>
        <v>0</v>
      </c>
      <c r="C484" t="s">
        <v>631</v>
      </c>
      <c r="D484">
        <v>0.204933078408942</v>
      </c>
      <c r="E484">
        <v>0.1095728171731842</v>
      </c>
      <c r="F484">
        <v>0.06</v>
      </c>
      <c r="G484">
        <v>0.201732444777039</v>
      </c>
      <c r="H484" t="s">
        <v>596</v>
      </c>
      <c r="I484" t="s">
        <v>636</v>
      </c>
    </row>
    <row r="485" spans="1:9">
      <c r="A485" s="1" t="s">
        <v>492</v>
      </c>
      <c r="B485">
        <f>HYPERLINK("https://www.suredividend.com/sure-analysis-SNP/","China Petroleum &amp; Chemical Corp.")</f>
        <v>0</v>
      </c>
      <c r="C485" t="s">
        <v>631</v>
      </c>
      <c r="D485">
        <v>0.09941003616636501</v>
      </c>
      <c r="E485">
        <v>0.07896738805357306</v>
      </c>
      <c r="F485">
        <v>0.03</v>
      </c>
      <c r="G485">
        <v>0.1719368532716228</v>
      </c>
      <c r="H485" t="s">
        <v>596</v>
      </c>
      <c r="I485" t="s">
        <v>381</v>
      </c>
    </row>
    <row r="486" spans="1:9">
      <c r="A486" s="1" t="s">
        <v>493</v>
      </c>
      <c r="B486">
        <f>HYPERLINK("https://www.suredividend.com/sure-analysis-GEL/","Genesis Energy LP")</f>
        <v>0</v>
      </c>
      <c r="C486" t="s">
        <v>632</v>
      </c>
      <c r="D486">
        <v>0.216383307573415</v>
      </c>
      <c r="E486">
        <v>0.06659362291916882</v>
      </c>
      <c r="F486">
        <v>0.03</v>
      </c>
      <c r="G486">
        <v>0.1653090387370948</v>
      </c>
      <c r="H486" t="s">
        <v>596</v>
      </c>
      <c r="I486" t="s">
        <v>636</v>
      </c>
    </row>
    <row r="487" spans="1:9">
      <c r="A487" s="1" t="s">
        <v>494</v>
      </c>
      <c r="B487">
        <f>HYPERLINK("https://www.suredividend.com/sure-analysis-RDS.B/","Royal Dutch Shell Plc")</f>
        <v>0</v>
      </c>
      <c r="C487" t="s">
        <v>631</v>
      </c>
      <c r="D487">
        <v>0.084168336673346</v>
      </c>
      <c r="E487">
        <v>0.01688314499904164</v>
      </c>
      <c r="F487">
        <v>0.11</v>
      </c>
      <c r="G487">
        <v>0.1598890710299963</v>
      </c>
      <c r="H487" t="s">
        <v>596</v>
      </c>
      <c r="I487" t="s">
        <v>381</v>
      </c>
    </row>
    <row r="488" spans="1:9">
      <c r="A488" s="1" t="s">
        <v>495</v>
      </c>
      <c r="B488">
        <f>HYPERLINK("https://www.suredividend.com/sure-analysis-BP/","BP Plc")</f>
        <v>0</v>
      </c>
      <c r="C488" t="s">
        <v>631</v>
      </c>
      <c r="D488">
        <v>0.092340425531914</v>
      </c>
      <c r="E488">
        <v>0.001590898107663996</v>
      </c>
      <c r="F488">
        <v>0.09</v>
      </c>
      <c r="G488">
        <v>0.1577545098114401</v>
      </c>
      <c r="H488" t="s">
        <v>596</v>
      </c>
      <c r="I488" t="s">
        <v>381</v>
      </c>
    </row>
    <row r="489" spans="1:9">
      <c r="A489" s="1" t="s">
        <v>496</v>
      </c>
      <c r="B489">
        <f>HYPERLINK("https://www.suredividend.com/sure-analysis-HFC/","HollyFrontier Corp.")</f>
        <v>0</v>
      </c>
      <c r="C489" t="s">
        <v>631</v>
      </c>
      <c r="D489">
        <v>0.052833078101071</v>
      </c>
      <c r="E489">
        <v>0.08042973910298001</v>
      </c>
      <c r="F489">
        <v>0.04</v>
      </c>
      <c r="G489">
        <v>0.1568780125853322</v>
      </c>
      <c r="H489" t="s">
        <v>596</v>
      </c>
      <c r="I489" t="s">
        <v>420</v>
      </c>
    </row>
    <row r="490" spans="1:9">
      <c r="A490" s="1" t="s">
        <v>497</v>
      </c>
      <c r="B490">
        <f>HYPERLINK("https://www.suredividend.com/sure-analysis-UBA/","Urstadt Biddle Properties, Inc.")</f>
        <v>0</v>
      </c>
      <c r="C490" t="s">
        <v>633</v>
      </c>
      <c r="D490">
        <v>0.107871720116618</v>
      </c>
      <c r="E490">
        <v>0.1043372318790821</v>
      </c>
      <c r="F490">
        <v>0</v>
      </c>
      <c r="G490">
        <v>0.1545426369933032</v>
      </c>
      <c r="H490" t="s">
        <v>596</v>
      </c>
      <c r="I490" t="s">
        <v>636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632</v>
      </c>
      <c r="D491">
        <v>0.154536553524804</v>
      </c>
      <c r="E491">
        <v>0.04358792222223506</v>
      </c>
      <c r="F491">
        <v>0.04</v>
      </c>
      <c r="G491">
        <v>0.1527710807046565</v>
      </c>
      <c r="H491" t="s">
        <v>596</v>
      </c>
      <c r="I491" t="s">
        <v>636</v>
      </c>
    </row>
    <row r="492" spans="1:9">
      <c r="A492" s="1" t="s">
        <v>499</v>
      </c>
      <c r="B492">
        <f>HYPERLINK("https://www.suredividend.com/sure-analysis-OLN/","Olin Corp.")</f>
        <v>0</v>
      </c>
      <c r="C492" t="s">
        <v>631</v>
      </c>
      <c r="D492">
        <v>0.070859167404783</v>
      </c>
      <c r="E492">
        <v>0.08723585698184122</v>
      </c>
      <c r="F492">
        <v>0.02</v>
      </c>
      <c r="G492">
        <v>0.15266790161508</v>
      </c>
      <c r="H492" t="s">
        <v>596</v>
      </c>
      <c r="I492" t="s">
        <v>420</v>
      </c>
    </row>
    <row r="493" spans="1:9">
      <c r="A493" s="1" t="s">
        <v>500</v>
      </c>
      <c r="B493">
        <f>HYPERLINK("https://www.suredividend.com/sure-analysis-NYMT/","New York Mortgage Trust, Inc.")</f>
        <v>0</v>
      </c>
      <c r="C493" t="s">
        <v>631</v>
      </c>
      <c r="D493">
        <v>0.157342657342657</v>
      </c>
      <c r="E493">
        <v>0.06977088951986121</v>
      </c>
      <c r="F493">
        <v>0.01</v>
      </c>
      <c r="G493">
        <v>0.1502650360103954</v>
      </c>
      <c r="H493" t="s">
        <v>596</v>
      </c>
      <c r="I493" t="s">
        <v>381</v>
      </c>
    </row>
    <row r="494" spans="1:9">
      <c r="A494" s="1" t="s">
        <v>501</v>
      </c>
      <c r="B494">
        <f>HYPERLINK("https://www.suredividend.com/sure-analysis-TOT/","Total SE")</f>
        <v>0</v>
      </c>
      <c r="C494" t="s">
        <v>631</v>
      </c>
      <c r="D494">
        <v>0.07585054832950701</v>
      </c>
      <c r="E494">
        <v>0.02067784341660839</v>
      </c>
      <c r="F494">
        <v>0.07000000000000001</v>
      </c>
      <c r="G494">
        <v>0.1423215819680379</v>
      </c>
      <c r="H494" t="s">
        <v>596</v>
      </c>
      <c r="I494" t="s">
        <v>381</v>
      </c>
    </row>
    <row r="495" spans="1:9">
      <c r="A495" s="1" t="s">
        <v>502</v>
      </c>
      <c r="B495">
        <f>HYPERLINK("https://www.suredividend.com/sure-analysis-SFL/","SFL Corp. Ltd.")</f>
        <v>0</v>
      </c>
      <c r="C495" t="s">
        <v>631</v>
      </c>
      <c r="D495">
        <v>0.157835400225479</v>
      </c>
      <c r="E495">
        <v>-0.0008580021218076439</v>
      </c>
      <c r="F495">
        <v>0.061</v>
      </c>
      <c r="G495">
        <v>0.1421478837341077</v>
      </c>
      <c r="H495" t="s">
        <v>596</v>
      </c>
      <c r="I495" t="s">
        <v>636</v>
      </c>
    </row>
    <row r="496" spans="1:9">
      <c r="A496" s="1" t="s">
        <v>503</v>
      </c>
      <c r="B496">
        <f>HYPERLINK("https://www.suredividend.com/sure-analysis-SU/","Suncor Energy, Inc.")</f>
        <v>0</v>
      </c>
      <c r="C496" t="s">
        <v>631</v>
      </c>
      <c r="D496">
        <v>0.067031433365173</v>
      </c>
      <c r="E496">
        <v>0.03352462704646753</v>
      </c>
      <c r="F496">
        <v>0.08</v>
      </c>
      <c r="G496">
        <v>0.1421462142957359</v>
      </c>
      <c r="H496" t="s">
        <v>596</v>
      </c>
      <c r="I496" t="s">
        <v>420</v>
      </c>
    </row>
    <row r="497" spans="1:9">
      <c r="A497" s="1" t="s">
        <v>504</v>
      </c>
      <c r="B497">
        <f>HYPERLINK("https://www.suredividend.com/sure-analysis-PSX/","Phillips 66")</f>
        <v>0</v>
      </c>
      <c r="C497" t="s">
        <v>631</v>
      </c>
      <c r="D497">
        <v>0.055495606597811</v>
      </c>
      <c r="E497">
        <v>0.05553029313966751</v>
      </c>
      <c r="F497">
        <v>0.04</v>
      </c>
      <c r="G497">
        <v>0.138220089823629</v>
      </c>
      <c r="H497" t="s">
        <v>596</v>
      </c>
      <c r="I497" t="s">
        <v>420</v>
      </c>
    </row>
    <row r="498" spans="1:9">
      <c r="A498" s="1" t="s">
        <v>505</v>
      </c>
      <c r="B498">
        <f>HYPERLINK("https://www.suredividend.com/sure-analysis-LUV/","Southwest Airlines Co.")</f>
        <v>0</v>
      </c>
      <c r="C498" t="s">
        <v>631</v>
      </c>
      <c r="D498">
        <v>0.015432980851671</v>
      </c>
      <c r="E498">
        <v>0.04510566929399062</v>
      </c>
      <c r="F498">
        <v>0.08</v>
      </c>
      <c r="G498">
        <v>0.1350948796141598</v>
      </c>
      <c r="H498" t="s">
        <v>596</v>
      </c>
      <c r="I498" t="s">
        <v>596</v>
      </c>
    </row>
    <row r="499" spans="1:9">
      <c r="A499" s="1" t="s">
        <v>506</v>
      </c>
      <c r="B499">
        <f>HYPERLINK("https://www.suredividend.com/sure-analysis-MPC/","Marathon Petroleum Corp.")</f>
        <v>0</v>
      </c>
      <c r="C499" t="s">
        <v>631</v>
      </c>
      <c r="D499">
        <v>0.05978992728252001</v>
      </c>
      <c r="E499">
        <v>0.05807469395273412</v>
      </c>
      <c r="F499">
        <v>0.03</v>
      </c>
      <c r="G499">
        <v>0.1346573895206005</v>
      </c>
      <c r="H499" t="s">
        <v>596</v>
      </c>
      <c r="I499" t="s">
        <v>420</v>
      </c>
    </row>
    <row r="500" spans="1:9">
      <c r="A500" s="1" t="s">
        <v>507</v>
      </c>
      <c r="B500">
        <f>HYPERLINK("https://www.suredividend.com/sure-analysis-CMA/","Comerica, Inc.")</f>
        <v>0</v>
      </c>
      <c r="C500" t="s">
        <v>631</v>
      </c>
      <c r="D500">
        <v>0.06578947368421001</v>
      </c>
      <c r="E500">
        <v>0.05466132892740361</v>
      </c>
      <c r="F500">
        <v>0.03</v>
      </c>
      <c r="G500">
        <v>0.132797907198656</v>
      </c>
      <c r="H500" t="s">
        <v>596</v>
      </c>
      <c r="I500" t="s">
        <v>420</v>
      </c>
    </row>
    <row r="501" spans="1:9">
      <c r="A501" s="1" t="s">
        <v>508</v>
      </c>
      <c r="B501">
        <f>HYPERLINK("https://www.suredividend.com/sure-analysis-CIM/","Chimera Investment Corp.")</f>
        <v>0</v>
      </c>
      <c r="C501" t="s">
        <v>631</v>
      </c>
      <c r="D501">
        <v>0.201793721973094</v>
      </c>
      <c r="E501">
        <v>0.04067472712348774</v>
      </c>
      <c r="F501">
        <v>0.01</v>
      </c>
      <c r="G501">
        <v>0.130042076093482</v>
      </c>
      <c r="H501" t="s">
        <v>596</v>
      </c>
      <c r="I501" t="s">
        <v>636</v>
      </c>
    </row>
    <row r="502" spans="1:9">
      <c r="A502" s="1" t="s">
        <v>509</v>
      </c>
      <c r="B502">
        <f>HYPERLINK("https://www.suredividend.com/sure-analysis-CEO/","CNOOC Ltd.")</f>
        <v>0</v>
      </c>
      <c r="C502" t="s">
        <v>631</v>
      </c>
      <c r="D502">
        <v>0.08031982789530201</v>
      </c>
      <c r="E502">
        <v>-0.1376899643221025</v>
      </c>
      <c r="F502">
        <v>0.25</v>
      </c>
      <c r="G502">
        <v>0.1291528114753395</v>
      </c>
      <c r="H502" t="s">
        <v>596</v>
      </c>
      <c r="I502" t="s">
        <v>381</v>
      </c>
    </row>
    <row r="503" spans="1:9">
      <c r="A503" s="1" t="s">
        <v>510</v>
      </c>
      <c r="B503">
        <f>HYPERLINK("https://www.suredividend.com/sure-analysis-APLE/","Apple Hospitality REIT, Inc.")</f>
        <v>0</v>
      </c>
      <c r="C503" t="s">
        <v>633</v>
      </c>
      <c r="D503">
        <v>0.069101678183613</v>
      </c>
      <c r="E503">
        <v>0.05136270678555044</v>
      </c>
      <c r="F503">
        <v>0.039</v>
      </c>
      <c r="G503">
        <v>0.1289982910154224</v>
      </c>
      <c r="H503" t="s">
        <v>596</v>
      </c>
      <c r="I503" t="s">
        <v>420</v>
      </c>
    </row>
    <row r="504" spans="1:9">
      <c r="A504" s="1" t="s">
        <v>511</v>
      </c>
      <c r="B504">
        <f>HYPERLINK("https://www.suredividend.com/sure-analysis-VLO/","Valero Energy Corp.")</f>
        <v>0</v>
      </c>
      <c r="C504" t="s">
        <v>631</v>
      </c>
      <c r="D504">
        <v>0.07021475256769301</v>
      </c>
      <c r="E504">
        <v>0.02935313758761504</v>
      </c>
      <c r="F504">
        <v>0.04</v>
      </c>
      <c r="G504">
        <v>0.1254117131129342</v>
      </c>
      <c r="H504" t="s">
        <v>596</v>
      </c>
      <c r="I504" t="s">
        <v>420</v>
      </c>
    </row>
    <row r="505" spans="1:9">
      <c r="A505" s="1" t="s">
        <v>512</v>
      </c>
      <c r="B505">
        <f>HYPERLINK("https://www.suredividend.com/sure-analysis-CRT/","Cross Timbers Royalty Trust")</f>
        <v>0</v>
      </c>
      <c r="C505" t="s">
        <v>631</v>
      </c>
      <c r="D505">
        <v>0.160313022508038</v>
      </c>
      <c r="E505">
        <v>0.008131151974167583</v>
      </c>
      <c r="F505">
        <v>0</v>
      </c>
      <c r="G505">
        <v>0.1228808522716014</v>
      </c>
      <c r="H505" t="s">
        <v>596</v>
      </c>
      <c r="I505" t="s">
        <v>636</v>
      </c>
    </row>
    <row r="506" spans="1:9">
      <c r="A506" s="1" t="s">
        <v>513</v>
      </c>
      <c r="B506">
        <f>HYPERLINK("https://www.suredividend.com/sure-analysis-HBAN/","Huntington Bancshares, Inc.")</f>
        <v>0</v>
      </c>
      <c r="C506" t="s">
        <v>631</v>
      </c>
      <c r="D506">
        <v>0.060790273556231</v>
      </c>
      <c r="E506">
        <v>0.03538309225350256</v>
      </c>
      <c r="F506">
        <v>0.04</v>
      </c>
      <c r="G506">
        <v>0.1222328488285913</v>
      </c>
      <c r="H506" t="s">
        <v>596</v>
      </c>
      <c r="I506" t="s">
        <v>420</v>
      </c>
    </row>
    <row r="507" spans="1:9">
      <c r="A507" s="1" t="s">
        <v>514</v>
      </c>
      <c r="B507">
        <f>HYPERLINK("https://www.suredividend.com/sure-analysis-XOM/","Exxon Mobil Corp.")</f>
        <v>0</v>
      </c>
      <c r="C507" t="s">
        <v>631</v>
      </c>
      <c r="D507">
        <v>0.078184677600539</v>
      </c>
      <c r="E507">
        <v>-0.01357225155415542</v>
      </c>
      <c r="F507">
        <v>0.08</v>
      </c>
      <c r="G507">
        <v>0.1211160222618501</v>
      </c>
      <c r="H507" t="s">
        <v>596</v>
      </c>
      <c r="I507" t="s">
        <v>420</v>
      </c>
    </row>
    <row r="508" spans="1:9">
      <c r="A508" s="1" t="s">
        <v>515</v>
      </c>
      <c r="B508">
        <f>HYPERLINK("https://www.suredividend.com/sure-analysis-CVX/","Chevron Corp.")</f>
        <v>0</v>
      </c>
      <c r="C508" t="s">
        <v>631</v>
      </c>
      <c r="D508">
        <v>0.055276941936921</v>
      </c>
      <c r="E508">
        <v>-0.05095057534336889</v>
      </c>
      <c r="F508">
        <v>0.13</v>
      </c>
      <c r="G508">
        <v>0.113923671148606</v>
      </c>
      <c r="H508" t="s">
        <v>596</v>
      </c>
      <c r="I508" t="s">
        <v>420</v>
      </c>
    </row>
    <row r="509" spans="1:9">
      <c r="A509" s="1" t="s">
        <v>516</v>
      </c>
      <c r="B509">
        <f>HYPERLINK("https://www.suredividend.com/sure-analysis-ABEV/","Ambev SA")</f>
        <v>0</v>
      </c>
      <c r="C509" t="s">
        <v>631</v>
      </c>
      <c r="D509">
        <v>0.04971193415637801</v>
      </c>
      <c r="E509">
        <v>0.0449640742801718</v>
      </c>
      <c r="F509">
        <v>0.03</v>
      </c>
      <c r="G509">
        <v>0.1132732290897125</v>
      </c>
      <c r="H509" t="s">
        <v>596</v>
      </c>
      <c r="I509" t="s">
        <v>420</v>
      </c>
    </row>
    <row r="510" spans="1:9">
      <c r="A510" s="1" t="s">
        <v>517</v>
      </c>
      <c r="B510">
        <f>HYPERLINK("https://www.suredividend.com/sure-analysis-SCM/","Stellus Capital Investment Corp.")</f>
        <v>0</v>
      </c>
      <c r="C510" t="s">
        <v>631</v>
      </c>
      <c r="D510">
        <v>0.133842592592592</v>
      </c>
      <c r="E510">
        <v>-0.01458908809266646</v>
      </c>
      <c r="F510">
        <v>0.02</v>
      </c>
      <c r="G510">
        <v>0.1124717137509901</v>
      </c>
      <c r="H510" t="s">
        <v>596</v>
      </c>
      <c r="I510" t="s">
        <v>636</v>
      </c>
    </row>
    <row r="511" spans="1:9">
      <c r="A511" s="1" t="s">
        <v>518</v>
      </c>
      <c r="B511">
        <f>HYPERLINK("https://www.suredividend.com/sure-analysis-LMRK/","Landmark Infrastructure Partners LP")</f>
        <v>0</v>
      </c>
      <c r="C511" t="s">
        <v>632</v>
      </c>
      <c r="D511">
        <v>0.122300469483568</v>
      </c>
      <c r="E511">
        <v>0.01245196889366262</v>
      </c>
      <c r="F511">
        <v>0.025</v>
      </c>
      <c r="G511">
        <v>0.1102800298004665</v>
      </c>
      <c r="H511" t="s">
        <v>596</v>
      </c>
      <c r="I511" t="s">
        <v>381</v>
      </c>
    </row>
    <row r="512" spans="1:9">
      <c r="A512" s="1" t="s">
        <v>519</v>
      </c>
      <c r="B512">
        <f>HYPERLINK("https://www.suredividend.com/sure-analysis-AXS/","AXIS Capital Holdings Ltd.")</f>
        <v>0</v>
      </c>
      <c r="C512" t="s">
        <v>631</v>
      </c>
      <c r="D512">
        <v>0.036400178651183</v>
      </c>
      <c r="E512">
        <v>0.02598600468470247</v>
      </c>
      <c r="F512">
        <v>0.05</v>
      </c>
      <c r="G512">
        <v>0.1065174485617895</v>
      </c>
      <c r="H512" t="s">
        <v>596</v>
      </c>
      <c r="I512" t="s">
        <v>596</v>
      </c>
    </row>
    <row r="513" spans="1:9">
      <c r="A513" s="1" t="s">
        <v>520</v>
      </c>
      <c r="B513">
        <f>HYPERLINK("https://www.suredividend.com/sure-analysis-WFC/","Wells Fargo &amp; Co.")</f>
        <v>0</v>
      </c>
      <c r="C513" t="s">
        <v>631</v>
      </c>
      <c r="D513">
        <v>0.082591093117408</v>
      </c>
      <c r="E513">
        <v>0.05441129065156214</v>
      </c>
      <c r="F513">
        <v>0.03</v>
      </c>
      <c r="G513">
        <v>0.1056663287586193</v>
      </c>
      <c r="H513" t="s">
        <v>596</v>
      </c>
      <c r="I513" t="s">
        <v>381</v>
      </c>
    </row>
    <row r="514" spans="1:9">
      <c r="A514" s="1" t="s">
        <v>521</v>
      </c>
      <c r="B514">
        <f>HYPERLINK("https://www.suredividend.com/sure-analysis-WSR/","Whitestone REIT")</f>
        <v>0</v>
      </c>
      <c r="C514" t="s">
        <v>633</v>
      </c>
      <c r="D514">
        <v>0.109396914446002</v>
      </c>
      <c r="E514">
        <v>0.04768468609603027</v>
      </c>
      <c r="F514">
        <v>0</v>
      </c>
      <c r="G514">
        <v>0.1025067810689739</v>
      </c>
      <c r="H514" t="s">
        <v>596</v>
      </c>
      <c r="I514" t="s">
        <v>381</v>
      </c>
    </row>
    <row r="515" spans="1:9">
      <c r="A515" s="1" t="s">
        <v>522</v>
      </c>
      <c r="B515">
        <f>HYPERLINK("https://www.suredividend.com/sure-analysis-MAC/","Macerich Co.")</f>
        <v>0</v>
      </c>
      <c r="C515" t="s">
        <v>633</v>
      </c>
      <c r="D515">
        <v>0.364520048602673</v>
      </c>
      <c r="E515">
        <v>0.07965646204412757</v>
      </c>
      <c r="F515">
        <v>-0.02</v>
      </c>
      <c r="G515">
        <v>0.1006793786710263</v>
      </c>
      <c r="H515" t="s">
        <v>596</v>
      </c>
      <c r="I515" t="s">
        <v>636</v>
      </c>
    </row>
    <row r="516" spans="1:9">
      <c r="A516" s="1" t="s">
        <v>523</v>
      </c>
      <c r="B516">
        <f>HYPERLINK("https://www.suredividend.com/sure-analysis-GAIN/","Gladstone Investment Corp.")</f>
        <v>0</v>
      </c>
      <c r="C516" t="s">
        <v>634</v>
      </c>
      <c r="D516">
        <v>0.08580310880829001</v>
      </c>
      <c r="E516">
        <v>-0.01333810902068877</v>
      </c>
      <c r="F516">
        <v>0.04</v>
      </c>
      <c r="G516">
        <v>0.09879175148689834</v>
      </c>
      <c r="H516" t="s">
        <v>596</v>
      </c>
      <c r="I516" t="s">
        <v>381</v>
      </c>
    </row>
    <row r="517" spans="1:9">
      <c r="A517" s="1" t="s">
        <v>524</v>
      </c>
      <c r="B517">
        <f>HYPERLINK("https://www.suredividend.com/sure-analysis-IMO/","Imperial Oil Ltd.")</f>
        <v>0</v>
      </c>
      <c r="C517" t="s">
        <v>631</v>
      </c>
      <c r="D517">
        <v>0.03925816967894601</v>
      </c>
      <c r="E517">
        <v>0.03437989153325427</v>
      </c>
      <c r="F517">
        <v>0.03</v>
      </c>
      <c r="G517">
        <v>0.09574672521783212</v>
      </c>
      <c r="H517" t="s">
        <v>596</v>
      </c>
      <c r="I517" t="s">
        <v>420</v>
      </c>
    </row>
    <row r="518" spans="1:9">
      <c r="A518" s="1" t="s">
        <v>525</v>
      </c>
      <c r="B518">
        <f>HYPERLINK("https://www.suredividend.com/sure-analysis-COP/","ConocoPhillips")</f>
        <v>0</v>
      </c>
      <c r="C518" t="s">
        <v>631</v>
      </c>
      <c r="D518">
        <v>0.039480322906155</v>
      </c>
      <c r="E518">
        <v>-0.0249348568516744</v>
      </c>
      <c r="F518">
        <v>0.09</v>
      </c>
      <c r="G518">
        <v>0.09533438126074945</v>
      </c>
      <c r="H518" t="s">
        <v>596</v>
      </c>
      <c r="I518" t="s">
        <v>420</v>
      </c>
    </row>
    <row r="519" spans="1:9">
      <c r="A519" s="1" t="s">
        <v>526</v>
      </c>
      <c r="B519">
        <f>HYPERLINK("https://www.suredividend.com/sure-analysis-RCL/","Royal Caribbean Cruises Ltd.")</f>
        <v>0</v>
      </c>
      <c r="C519" t="s">
        <v>631</v>
      </c>
      <c r="D519">
        <v>0.04083057058105</v>
      </c>
      <c r="E519">
        <v>0.03594426468378153</v>
      </c>
      <c r="F519">
        <v>0.04</v>
      </c>
      <c r="G519">
        <v>0.09215198531769109</v>
      </c>
      <c r="H519" t="s">
        <v>596</v>
      </c>
      <c r="I519" t="s">
        <v>596</v>
      </c>
    </row>
    <row r="520" spans="1:9">
      <c r="A520" s="1" t="s">
        <v>527</v>
      </c>
      <c r="B520">
        <f>HYPERLINK("https://www.suredividend.com/sure-analysis-SIX/","Six Flags Entertainment Corp.")</f>
        <v>0</v>
      </c>
      <c r="C520" t="s">
        <v>631</v>
      </c>
      <c r="D520">
        <v>0.096446700507614</v>
      </c>
      <c r="E520">
        <v>0.05995766666266333</v>
      </c>
      <c r="F520">
        <v>0.03</v>
      </c>
      <c r="G520">
        <v>0.09175639666254343</v>
      </c>
      <c r="H520" t="s">
        <v>596</v>
      </c>
      <c r="I520" t="s">
        <v>420</v>
      </c>
    </row>
    <row r="521" spans="1:9">
      <c r="A521" s="1" t="s">
        <v>528</v>
      </c>
      <c r="B521">
        <f>HYPERLINK("https://www.suredividend.com/sure-analysis-HSBC/","HSBC Holdings Plc")</f>
        <v>0</v>
      </c>
      <c r="C521" t="s">
        <v>631</v>
      </c>
      <c r="D521">
        <v>0.09451360073766701</v>
      </c>
      <c r="E521">
        <v>-0.0231944735408619</v>
      </c>
      <c r="F521">
        <v>0.02</v>
      </c>
      <c r="G521">
        <v>0.09143237950297567</v>
      </c>
      <c r="H521" t="s">
        <v>596</v>
      </c>
      <c r="I521" t="s">
        <v>381</v>
      </c>
    </row>
    <row r="522" spans="1:9">
      <c r="A522" s="1" t="s">
        <v>529</v>
      </c>
      <c r="B522">
        <f>HYPERLINK("https://www.suredividend.com/sure-analysis-CVA/","Covanta Holding Corp.")</f>
        <v>0</v>
      </c>
      <c r="C522" t="s">
        <v>631</v>
      </c>
      <c r="D522">
        <v>0.082178217821782</v>
      </c>
      <c r="E522">
        <v>-0.04203363431607399</v>
      </c>
      <c r="F522">
        <v>0.1</v>
      </c>
      <c r="G522">
        <v>0.090667338717906</v>
      </c>
      <c r="H522" t="s">
        <v>596</v>
      </c>
      <c r="I522" t="s">
        <v>420</v>
      </c>
    </row>
    <row r="523" spans="1:9">
      <c r="A523" s="1" t="s">
        <v>530</v>
      </c>
      <c r="B523">
        <f>HYPERLINK("https://www.suredividend.com/sure-analysis-PBR/","Petróleo Brasileiro SA")</f>
        <v>0</v>
      </c>
      <c r="C523" t="s">
        <v>631</v>
      </c>
      <c r="D523">
        <v>0.018973612684031</v>
      </c>
      <c r="E523">
        <v>-0.01843493217443526</v>
      </c>
      <c r="F523">
        <v>0.1</v>
      </c>
      <c r="G523">
        <v>0.08911038192315734</v>
      </c>
      <c r="H523" t="s">
        <v>596</v>
      </c>
      <c r="I523" t="s">
        <v>596</v>
      </c>
    </row>
    <row r="524" spans="1:9">
      <c r="A524" s="1" t="s">
        <v>531</v>
      </c>
      <c r="B524">
        <f>HYPERLINK("https://www.suredividend.com/sure-analysis-LADR/","Ladder Capital Corp.")</f>
        <v>0</v>
      </c>
      <c r="C524" t="s">
        <v>633</v>
      </c>
      <c r="D524">
        <v>0.147878787878787</v>
      </c>
      <c r="E524">
        <v>-0.01959349232124408</v>
      </c>
      <c r="F524">
        <v>0.02</v>
      </c>
      <c r="G524">
        <v>0.0889078233352838</v>
      </c>
      <c r="H524" t="s">
        <v>596</v>
      </c>
      <c r="I524" t="s">
        <v>636</v>
      </c>
    </row>
    <row r="525" spans="1:9">
      <c r="A525" s="1" t="s">
        <v>532</v>
      </c>
      <c r="B525">
        <f>HYPERLINK("https://www.suredividend.com/sure-analysis-SSREY/","Swiss Re AG")</f>
        <v>0</v>
      </c>
      <c r="C525" t="s">
        <v>631</v>
      </c>
      <c r="D525">
        <v>0.07671406805485001</v>
      </c>
      <c r="E525">
        <v>-0.02895212757626631</v>
      </c>
      <c r="F525">
        <v>0.05</v>
      </c>
      <c r="G525">
        <v>0.08582945209989545</v>
      </c>
      <c r="H525" t="s">
        <v>596</v>
      </c>
      <c r="I525" t="s">
        <v>420</v>
      </c>
    </row>
    <row r="526" spans="1:9">
      <c r="A526" s="1" t="s">
        <v>533</v>
      </c>
      <c r="B526">
        <f>HYPERLINK("https://www.suredividend.com/sure-analysis-PTR/","PetroChina Co., Ltd.")</f>
        <v>0</v>
      </c>
      <c r="C526" t="s">
        <v>631</v>
      </c>
      <c r="D526">
        <v>0.016851225071225</v>
      </c>
      <c r="E526">
        <v>-0.01697509894147264</v>
      </c>
      <c r="F526">
        <v>0.07000000000000001</v>
      </c>
      <c r="G526">
        <v>0.08341486637321527</v>
      </c>
      <c r="H526" t="s">
        <v>596</v>
      </c>
      <c r="I526" t="s">
        <v>596</v>
      </c>
    </row>
    <row r="527" spans="1:9">
      <c r="A527" s="1" t="s">
        <v>534</v>
      </c>
      <c r="B527">
        <f>HYPERLINK("https://www.suredividend.com/sure-analysis-DTEGY/","Deutsche Telekom AG")</f>
        <v>0</v>
      </c>
      <c r="C527" t="s">
        <v>631</v>
      </c>
      <c r="D527">
        <v>0.075809578107183</v>
      </c>
      <c r="E527">
        <v>-0.006234612222558722</v>
      </c>
      <c r="F527">
        <v>0.06</v>
      </c>
      <c r="G527">
        <v>0.0830609001234317</v>
      </c>
      <c r="H527" t="s">
        <v>596</v>
      </c>
      <c r="I527" t="s">
        <v>381</v>
      </c>
    </row>
    <row r="528" spans="1:9">
      <c r="A528" s="1" t="s">
        <v>535</v>
      </c>
      <c r="B528">
        <f>HYPERLINK("https://www.suredividend.com/sure-analysis-SBRA/","Sabra Health Care REIT, Inc.")</f>
        <v>0</v>
      </c>
      <c r="C528" t="s">
        <v>633</v>
      </c>
      <c r="D528">
        <v>0.105837075048107</v>
      </c>
      <c r="E528">
        <v>-0.02027712656255709</v>
      </c>
      <c r="F528">
        <v>0.031</v>
      </c>
      <c r="G528">
        <v>0.08254233602189087</v>
      </c>
      <c r="H528" t="s">
        <v>596</v>
      </c>
      <c r="I528" t="s">
        <v>636</v>
      </c>
    </row>
    <row r="529" spans="1:9">
      <c r="A529" s="1" t="s">
        <v>536</v>
      </c>
      <c r="B529">
        <f>HYPERLINK("https://www.suredividend.com/sure-analysis-BKR/","Baker Hughes Co.")</f>
        <v>0</v>
      </c>
      <c r="C529" t="s">
        <v>631</v>
      </c>
      <c r="D529">
        <v>0.041714947856315</v>
      </c>
      <c r="E529">
        <v>-0.05423325662472411</v>
      </c>
      <c r="F529">
        <v>0.11</v>
      </c>
      <c r="G529">
        <v>0.08223857140631963</v>
      </c>
      <c r="H529" t="s">
        <v>596</v>
      </c>
      <c r="I529" t="s">
        <v>420</v>
      </c>
    </row>
    <row r="530" spans="1:9">
      <c r="A530" s="1" t="s">
        <v>537</v>
      </c>
      <c r="B530">
        <f>HYPERLINK("https://www.suredividend.com/sure-analysis-BXMT/","Blackstone Mortgage Trust, Inc.")</f>
        <v>0</v>
      </c>
      <c r="C530" t="s">
        <v>633</v>
      </c>
      <c r="D530">
        <v>0.100242522231204</v>
      </c>
      <c r="E530">
        <v>-0.02011775768455104</v>
      </c>
      <c r="F530">
        <v>0.018</v>
      </c>
      <c r="G530">
        <v>0.08078861850105268</v>
      </c>
      <c r="H530" t="s">
        <v>596</v>
      </c>
      <c r="I530" t="s">
        <v>381</v>
      </c>
    </row>
    <row r="531" spans="1:9">
      <c r="A531" s="1" t="s">
        <v>538</v>
      </c>
      <c r="B531">
        <f>HYPERLINK("https://www.suredividend.com/sure-analysis-SPKE/","Spark Energy, Inc.")</f>
        <v>0</v>
      </c>
      <c r="C531" t="s">
        <v>631</v>
      </c>
      <c r="D531">
        <v>0.08569739952718601</v>
      </c>
      <c r="E531">
        <v>-0.1807499405785012</v>
      </c>
      <c r="F531">
        <v>0.229</v>
      </c>
      <c r="G531">
        <v>0.07999425947572503</v>
      </c>
      <c r="H531" t="s">
        <v>596</v>
      </c>
      <c r="I531" t="s">
        <v>381</v>
      </c>
    </row>
    <row r="532" spans="1:9">
      <c r="A532" s="1" t="s">
        <v>539</v>
      </c>
      <c r="B532">
        <f>HYPERLINK("https://www.suredividend.com/sure-analysis-FUN/","Cedar Fair LP")</f>
        <v>0</v>
      </c>
      <c r="C532" t="s">
        <v>631</v>
      </c>
      <c r="D532">
        <v>0.102343463932625</v>
      </c>
      <c r="E532">
        <v>-0.0008549456789590515</v>
      </c>
      <c r="F532">
        <v>0.05</v>
      </c>
      <c r="G532">
        <v>0.0791875170342986</v>
      </c>
      <c r="H532" t="s">
        <v>596</v>
      </c>
      <c r="I532" t="s">
        <v>420</v>
      </c>
    </row>
    <row r="533" spans="1:9">
      <c r="A533" s="1" t="s">
        <v>540</v>
      </c>
      <c r="B533">
        <f>HYPERLINK("https://www.suredividend.com/sure-analysis-AGNC/","AGNC Investment Corp.")</f>
        <v>0</v>
      </c>
      <c r="C533" t="s">
        <v>633</v>
      </c>
      <c r="D533">
        <v>0.129589632829373</v>
      </c>
      <c r="E533">
        <v>-0.1031802906312588</v>
      </c>
      <c r="F533">
        <v>0.118</v>
      </c>
      <c r="G533">
        <v>0.07881645138189119</v>
      </c>
      <c r="H533" t="s">
        <v>596</v>
      </c>
      <c r="I533" t="s">
        <v>381</v>
      </c>
    </row>
    <row r="534" spans="1:9">
      <c r="A534" s="1" t="s">
        <v>541</v>
      </c>
      <c r="B534">
        <f>HYPERLINK("https://www.suredividend.com/sure-analysis-INN/","Summit Hotel Properties, Inc.")</f>
        <v>0</v>
      </c>
      <c r="C534" t="s">
        <v>633</v>
      </c>
      <c r="D534">
        <v>0.08571428571428501</v>
      </c>
      <c r="E534">
        <v>-0.01065102520541028</v>
      </c>
      <c r="F534">
        <v>0.046</v>
      </c>
      <c r="G534">
        <v>0.07868760566251431</v>
      </c>
      <c r="H534" t="s">
        <v>596</v>
      </c>
      <c r="I534" t="s">
        <v>420</v>
      </c>
    </row>
    <row r="535" spans="1:9">
      <c r="A535" s="1" t="s">
        <v>542</v>
      </c>
      <c r="B535">
        <f>HYPERLINK("https://www.suredividend.com/sure-analysis-OXY/","Occidental Petroleum Corp.")</f>
        <v>0</v>
      </c>
      <c r="C535" t="s">
        <v>631</v>
      </c>
      <c r="D535">
        <v>0.191140776699029</v>
      </c>
      <c r="E535">
        <v>0.03493878033834785</v>
      </c>
      <c r="F535">
        <v>0.02</v>
      </c>
      <c r="G535">
        <v>0.07803837492708099</v>
      </c>
      <c r="H535" t="s">
        <v>596</v>
      </c>
      <c r="I535" t="s">
        <v>381</v>
      </c>
    </row>
    <row r="536" spans="1:9">
      <c r="A536" s="1" t="s">
        <v>543</v>
      </c>
      <c r="B536">
        <f>HYPERLINK("https://www.suredividend.com/sure-analysis-R/","Ryder System, Inc.")</f>
        <v>0</v>
      </c>
      <c r="C536" t="s">
        <v>631</v>
      </c>
      <c r="D536">
        <v>0.05845511482254601</v>
      </c>
      <c r="E536">
        <v>-0.02080687043133966</v>
      </c>
      <c r="F536">
        <v>0.05</v>
      </c>
      <c r="G536">
        <v>0.07781096489591466</v>
      </c>
      <c r="H536" t="s">
        <v>596</v>
      </c>
      <c r="I536" t="s">
        <v>420</v>
      </c>
    </row>
    <row r="537" spans="1:9">
      <c r="A537" s="1" t="s">
        <v>544</v>
      </c>
      <c r="B537">
        <f>HYPERLINK("https://www.suredividend.com/sure-analysis-ALK/","Alaska Air Group, Inc.")</f>
        <v>0</v>
      </c>
      <c r="C537" t="s">
        <v>631</v>
      </c>
      <c r="D537">
        <v>0.027388535031847</v>
      </c>
      <c r="E537">
        <v>0.02452407528596501</v>
      </c>
      <c r="F537">
        <v>0.04</v>
      </c>
      <c r="G537">
        <v>0.07718828401029731</v>
      </c>
      <c r="H537" t="s">
        <v>596</v>
      </c>
      <c r="I537" t="s">
        <v>596</v>
      </c>
    </row>
    <row r="538" spans="1:9">
      <c r="A538" s="1" t="s">
        <v>545</v>
      </c>
      <c r="B538">
        <f>HYPERLINK("https://www.suredividend.com/sure-analysis-CAKE/","Cheesecake Factory, Inc.")</f>
        <v>0</v>
      </c>
      <c r="C538" t="s">
        <v>631</v>
      </c>
      <c r="D538">
        <v>0.04100227790432801</v>
      </c>
      <c r="E538">
        <v>-0.04880913744972182</v>
      </c>
      <c r="F538">
        <v>0.12</v>
      </c>
      <c r="G538">
        <v>0.07647607449568006</v>
      </c>
      <c r="H538" t="s">
        <v>596</v>
      </c>
      <c r="I538" t="s">
        <v>596</v>
      </c>
    </row>
    <row r="539" spans="1:9">
      <c r="A539" s="1" t="s">
        <v>546</v>
      </c>
      <c r="B539">
        <f>HYPERLINK("https://www.suredividend.com/sure-analysis-CNQ/","Canadian Natural Resources Ltd.")</f>
        <v>0</v>
      </c>
      <c r="C539" t="s">
        <v>631</v>
      </c>
      <c r="D539">
        <v>0.058688150803152</v>
      </c>
      <c r="E539">
        <v>-0.06102098471980433</v>
      </c>
      <c r="F539">
        <v>0.1</v>
      </c>
      <c r="G539">
        <v>0.07636548837011259</v>
      </c>
      <c r="H539" t="s">
        <v>596</v>
      </c>
      <c r="I539" t="s">
        <v>420</v>
      </c>
    </row>
    <row r="540" spans="1:9">
      <c r="A540" s="1" t="s">
        <v>547</v>
      </c>
      <c r="B540">
        <f>HYPERLINK("https://www.suredividend.com/sure-analysis-ARI/","Apollo Commercial Real Estate Finance, Inc.")</f>
        <v>0</v>
      </c>
      <c r="C540" t="s">
        <v>633</v>
      </c>
      <c r="D540">
        <v>0.170408163265306</v>
      </c>
      <c r="E540">
        <v>0.006173308542779088</v>
      </c>
      <c r="F540">
        <v>-0.042</v>
      </c>
      <c r="G540">
        <v>0.07561846139577999</v>
      </c>
      <c r="H540" t="s">
        <v>596</v>
      </c>
      <c r="I540" t="s">
        <v>636</v>
      </c>
    </row>
    <row r="541" spans="1:9">
      <c r="A541" s="1" t="s">
        <v>548</v>
      </c>
      <c r="B541">
        <f>HYPERLINK("https://www.suredividend.com/sure-analysis-BA/","The Boeing Co.")</f>
        <v>0</v>
      </c>
      <c r="C541" t="s">
        <v>631</v>
      </c>
      <c r="D541">
        <v>0.022908422050052</v>
      </c>
      <c r="E541">
        <v>0.02012503432775281</v>
      </c>
      <c r="F541">
        <v>0.054</v>
      </c>
      <c r="G541">
        <v>0.07521178618145141</v>
      </c>
      <c r="H541" t="s">
        <v>596</v>
      </c>
      <c r="I541" t="s">
        <v>596</v>
      </c>
    </row>
    <row r="542" spans="1:9">
      <c r="A542" s="1" t="s">
        <v>549</v>
      </c>
      <c r="B542">
        <f>HYPERLINK("https://www.suredividend.com/sure-analysis-AM/","Antero Midstream Corp.")</f>
        <v>0</v>
      </c>
      <c r="C542" t="s">
        <v>631</v>
      </c>
      <c r="D542">
        <v>0.167119565217391</v>
      </c>
      <c r="E542">
        <v>-0.06508012385152984</v>
      </c>
      <c r="F542">
        <v>0.07000000000000001</v>
      </c>
      <c r="G542">
        <v>0.07421482483960129</v>
      </c>
      <c r="H542" t="s">
        <v>596</v>
      </c>
      <c r="I542" t="s">
        <v>381</v>
      </c>
    </row>
    <row r="543" spans="1:9">
      <c r="A543" s="1" t="s">
        <v>550</v>
      </c>
      <c r="B543">
        <f>HYPERLINK("https://www.suredividend.com/sure-analysis-MAIN/","Main Street Capital Corp.")</f>
        <v>0</v>
      </c>
      <c r="C543" t="s">
        <v>631</v>
      </c>
      <c r="D543">
        <v>0.07452287185701301</v>
      </c>
      <c r="E543">
        <v>-0.03663859531539138</v>
      </c>
      <c r="F543">
        <v>0.02</v>
      </c>
      <c r="G543">
        <v>0.07188552808116389</v>
      </c>
      <c r="H543" t="s">
        <v>596</v>
      </c>
      <c r="I543" t="s">
        <v>381</v>
      </c>
    </row>
    <row r="544" spans="1:9">
      <c r="A544" s="1" t="s">
        <v>551</v>
      </c>
      <c r="B544">
        <f>HYPERLINK("https://www.suredividend.com/sure-analysis-HST/","Host Hotels &amp; Resorts, Inc.")</f>
        <v>0</v>
      </c>
      <c r="C544" t="s">
        <v>633</v>
      </c>
      <c r="D544">
        <v>0.05050505050505</v>
      </c>
      <c r="E544">
        <v>0.05148741866760775</v>
      </c>
      <c r="F544">
        <v>0</v>
      </c>
      <c r="G544">
        <v>0.07172316417218627</v>
      </c>
      <c r="H544" t="s">
        <v>596</v>
      </c>
      <c r="I544" t="s">
        <v>420</v>
      </c>
    </row>
    <row r="545" spans="1:9">
      <c r="A545" s="1" t="s">
        <v>552</v>
      </c>
      <c r="B545">
        <f>HYPERLINK("https://www.suredividend.com/sure-analysis-LVS/","Las Vegas Sands Corp.")</f>
        <v>0</v>
      </c>
      <c r="C545" t="s">
        <v>631</v>
      </c>
      <c r="D545">
        <v>0.049031986531986</v>
      </c>
      <c r="E545">
        <v>0.01149727415513624</v>
      </c>
      <c r="F545">
        <v>0.04</v>
      </c>
      <c r="G545">
        <v>0.07050548165834325</v>
      </c>
      <c r="H545" t="s">
        <v>596</v>
      </c>
      <c r="I545" t="s">
        <v>420</v>
      </c>
    </row>
    <row r="546" spans="1:9">
      <c r="A546" s="1" t="s">
        <v>553</v>
      </c>
      <c r="B546">
        <f>HYPERLINK("https://www.suredividend.com/sure-analysis-SBUX/","Starbucks Corp.")</f>
        <v>0</v>
      </c>
      <c r="C546" t="s">
        <v>631</v>
      </c>
      <c r="D546">
        <v>0.020524073835032</v>
      </c>
      <c r="E546">
        <v>-0.04704159095189209</v>
      </c>
      <c r="F546">
        <v>0.1</v>
      </c>
      <c r="G546">
        <v>0.0691648196520338</v>
      </c>
      <c r="H546" t="s">
        <v>596</v>
      </c>
      <c r="I546" t="s">
        <v>596</v>
      </c>
    </row>
    <row r="547" spans="1:9">
      <c r="A547" s="1" t="s">
        <v>554</v>
      </c>
      <c r="B547">
        <f>HYPERLINK("https://www.suredividend.com/sure-analysis-SLB/","Schlumberger NV")</f>
        <v>0</v>
      </c>
      <c r="C547" t="s">
        <v>631</v>
      </c>
      <c r="D547">
        <v>0.08036597428288801</v>
      </c>
      <c r="E547">
        <v>-0.002973293480330264</v>
      </c>
      <c r="F547">
        <v>0.05</v>
      </c>
      <c r="G547">
        <v>0.06884408625270377</v>
      </c>
      <c r="H547" t="s">
        <v>596</v>
      </c>
      <c r="I547" t="s">
        <v>420</v>
      </c>
    </row>
    <row r="548" spans="1:9">
      <c r="A548" s="1" t="s">
        <v>555</v>
      </c>
      <c r="B548">
        <f>HYPERLINK("https://www.suredividend.com/sure-analysis-CODI/","Compass Diversified Holdings")</f>
        <v>0</v>
      </c>
      <c r="C548" t="s">
        <v>631</v>
      </c>
      <c r="D548">
        <v>0.08167895632444601</v>
      </c>
      <c r="E548">
        <v>-0.04353816529230115</v>
      </c>
      <c r="F548">
        <v>0.04</v>
      </c>
      <c r="G548">
        <v>0.0673920864057389</v>
      </c>
      <c r="H548" t="s">
        <v>596</v>
      </c>
      <c r="I548" t="s">
        <v>381</v>
      </c>
    </row>
    <row r="549" spans="1:9">
      <c r="A549" s="1" t="s">
        <v>556</v>
      </c>
      <c r="B549">
        <f>HYPERLINK("https://www.suredividend.com/sure-analysis-ALARF/","Alaris Royalty Corp.")</f>
        <v>0</v>
      </c>
      <c r="C549" t="s">
        <v>631</v>
      </c>
      <c r="D549">
        <v>0.112510045822492</v>
      </c>
      <c r="E549">
        <v>-0.03240837815518183</v>
      </c>
      <c r="F549">
        <v>0.02</v>
      </c>
      <c r="G549">
        <v>0.06654858137462183</v>
      </c>
      <c r="H549" t="s">
        <v>596</v>
      </c>
      <c r="I549" t="s">
        <v>381</v>
      </c>
    </row>
    <row r="550" spans="1:9">
      <c r="A550" s="1" t="s">
        <v>557</v>
      </c>
      <c r="B550">
        <f>HYPERLINK("https://www.suredividend.com/sure-analysis-SJR/","Shaw Communications, Inc.")</f>
        <v>0</v>
      </c>
      <c r="C550" t="s">
        <v>631</v>
      </c>
      <c r="D550">
        <v>0.06357296137339001</v>
      </c>
      <c r="E550">
        <v>-0.02617569600024883</v>
      </c>
      <c r="F550">
        <v>0.05</v>
      </c>
      <c r="G550">
        <v>0.06379307807989432</v>
      </c>
      <c r="H550" t="s">
        <v>596</v>
      </c>
      <c r="I550" t="s">
        <v>420</v>
      </c>
    </row>
    <row r="551" spans="1:9">
      <c r="A551" s="1" t="s">
        <v>558</v>
      </c>
      <c r="B551">
        <f>HYPERLINK("https://www.suredividend.com/sure-analysis-ARR/","ARMOUR Residential REIT, Inc.")</f>
        <v>0</v>
      </c>
      <c r="C551" t="s">
        <v>633</v>
      </c>
      <c r="D551">
        <v>0.163636363636363</v>
      </c>
      <c r="E551">
        <v>-0.02112152421872593</v>
      </c>
      <c r="F551">
        <v>0.002</v>
      </c>
      <c r="G551">
        <v>0.06176530914265199</v>
      </c>
      <c r="H551" t="s">
        <v>596</v>
      </c>
      <c r="I551" t="s">
        <v>636</v>
      </c>
    </row>
    <row r="552" spans="1:9">
      <c r="A552" s="1" t="s">
        <v>559</v>
      </c>
      <c r="B552">
        <f>HYPERLINK("https://www.suredividend.com/sure-analysis-E/","Eni SpA")</f>
        <v>0</v>
      </c>
      <c r="C552" t="s">
        <v>631</v>
      </c>
      <c r="D552">
        <v>0.100675531914893</v>
      </c>
      <c r="E552">
        <v>-0.04647849079927902</v>
      </c>
      <c r="F552">
        <v>0.06</v>
      </c>
      <c r="G552">
        <v>0.05977079309927369</v>
      </c>
      <c r="H552" t="s">
        <v>596</v>
      </c>
      <c r="I552" t="s">
        <v>420</v>
      </c>
    </row>
    <row r="553" spans="1:9">
      <c r="A553" s="1" t="s">
        <v>560</v>
      </c>
      <c r="B553">
        <f>HYPERLINK("https://www.suredividend.com/sure-analysis-VGR/","Vector Group Ltd.")</f>
        <v>0</v>
      </c>
      <c r="C553" t="s">
        <v>631</v>
      </c>
      <c r="D553">
        <v>0.121497158907458</v>
      </c>
      <c r="E553">
        <v>-0.04422028111599097</v>
      </c>
      <c r="F553">
        <v>0.03</v>
      </c>
      <c r="G553">
        <v>0.05764869116638494</v>
      </c>
      <c r="H553" t="s">
        <v>596</v>
      </c>
      <c r="I553" t="s">
        <v>381</v>
      </c>
    </row>
    <row r="554" spans="1:9">
      <c r="A554" s="1" t="s">
        <v>561</v>
      </c>
      <c r="B554">
        <f>HYPERLINK("https://www.suredividend.com/sure-analysis-RRD/","R.R. Donnelley &amp; Sons Co.")</f>
        <v>0</v>
      </c>
      <c r="C554" t="s">
        <v>631</v>
      </c>
      <c r="D554">
        <v>0.069767441860465</v>
      </c>
      <c r="E554">
        <v>0.05611299775839163</v>
      </c>
      <c r="F554">
        <v>0</v>
      </c>
      <c r="G554">
        <v>0.05611299775839163</v>
      </c>
      <c r="H554" t="s">
        <v>596</v>
      </c>
      <c r="I554" t="s">
        <v>420</v>
      </c>
    </row>
    <row r="555" spans="1:9">
      <c r="A555" s="1" t="s">
        <v>562</v>
      </c>
      <c r="B555">
        <f>HYPERLINK("https://www.suredividend.com/sure-analysis-M/","Macy's, Inc.")</f>
        <v>0</v>
      </c>
      <c r="C555" t="s">
        <v>631</v>
      </c>
      <c r="D555">
        <v>0.211484593837535</v>
      </c>
      <c r="E555">
        <v>0.05064848080867357</v>
      </c>
      <c r="F555">
        <v>-0.03</v>
      </c>
      <c r="G555">
        <v>0.05593250278015027</v>
      </c>
      <c r="H555" t="s">
        <v>596</v>
      </c>
      <c r="I555" t="s">
        <v>381</v>
      </c>
    </row>
    <row r="556" spans="1:9">
      <c r="A556" s="1" t="s">
        <v>563</v>
      </c>
      <c r="B556">
        <f>HYPERLINK("https://www.suredividend.com/sure-analysis-NOV/","National Oilwell Varco, Inc.")</f>
        <v>0</v>
      </c>
      <c r="C556" t="s">
        <v>631</v>
      </c>
      <c r="D556">
        <v>0.01207729468599</v>
      </c>
      <c r="E556">
        <v>0.04160221363363736</v>
      </c>
      <c r="F556">
        <v>0</v>
      </c>
      <c r="G556">
        <v>0.05430843702389487</v>
      </c>
      <c r="H556" t="s">
        <v>596</v>
      </c>
      <c r="I556" t="s">
        <v>596</v>
      </c>
    </row>
    <row r="557" spans="1:9">
      <c r="A557" s="1" t="s">
        <v>564</v>
      </c>
      <c r="B557">
        <f>HYPERLINK("https://www.suredividend.com/sure-analysis-TWO/","Two Harbors Investment Corp.")</f>
        <v>0</v>
      </c>
      <c r="C557" t="s">
        <v>633</v>
      </c>
      <c r="D557">
        <v>0.170103092783505</v>
      </c>
      <c r="E557">
        <v>-0.04176624863066014</v>
      </c>
      <c r="F557">
        <v>0.001</v>
      </c>
      <c r="G557">
        <v>0.05413172478450989</v>
      </c>
      <c r="H557" t="s">
        <v>596</v>
      </c>
      <c r="I557" t="s">
        <v>381</v>
      </c>
    </row>
    <row r="558" spans="1:9">
      <c r="A558" s="1" t="s">
        <v>565</v>
      </c>
      <c r="B558">
        <f>HYPERLINK("https://www.suredividend.com/sure-analysis-PSO/","Pearson Plc")</f>
        <v>0</v>
      </c>
      <c r="C558" t="s">
        <v>631</v>
      </c>
      <c r="D558">
        <v>0.030716981132075</v>
      </c>
      <c r="E558">
        <v>0.006555550630457541</v>
      </c>
      <c r="F558">
        <v>0.02</v>
      </c>
      <c r="G558">
        <v>0.05197814252581101</v>
      </c>
      <c r="H558" t="s">
        <v>596</v>
      </c>
      <c r="I558" t="s">
        <v>596</v>
      </c>
    </row>
    <row r="559" spans="1:9">
      <c r="A559" s="1" t="s">
        <v>566</v>
      </c>
      <c r="B559">
        <f>HYPERLINK("https://www.suredividend.com/sure-analysis-ORC/","Orchid Island Capital, Inc.")</f>
        <v>0</v>
      </c>
      <c r="C559" t="s">
        <v>633</v>
      </c>
      <c r="D559">
        <v>0.173529411764705</v>
      </c>
      <c r="E559">
        <v>-0.04479100985844175</v>
      </c>
      <c r="F559">
        <v>-0.019</v>
      </c>
      <c r="G559">
        <v>0.05054660925372678</v>
      </c>
      <c r="H559" t="s">
        <v>596</v>
      </c>
      <c r="I559" t="s">
        <v>636</v>
      </c>
    </row>
    <row r="560" spans="1:9">
      <c r="A560" s="1" t="s">
        <v>567</v>
      </c>
      <c r="B560">
        <f>HYPERLINK("https://www.suredividend.com/sure-analysis-WPP/","WPP Plc")</f>
        <v>0</v>
      </c>
      <c r="C560" t="s">
        <v>631</v>
      </c>
      <c r="D560">
        <v>0.092525390625</v>
      </c>
      <c r="E560">
        <v>-0.003714347044737054</v>
      </c>
      <c r="F560">
        <v>0.03</v>
      </c>
      <c r="G560">
        <v>0.0502754270394985</v>
      </c>
      <c r="H560" t="s">
        <v>596</v>
      </c>
      <c r="I560" t="s">
        <v>381</v>
      </c>
    </row>
    <row r="561" spans="1:9">
      <c r="A561" s="1" t="s">
        <v>568</v>
      </c>
      <c r="B561">
        <f>HYPERLINK("https://www.suredividend.com/sure-analysis-KIM/","Kimco Realty Corp.")</f>
        <v>0</v>
      </c>
      <c r="C561" t="s">
        <v>633</v>
      </c>
      <c r="D561">
        <v>0.06959403479701701</v>
      </c>
      <c r="E561">
        <v>-0.1014112779836771</v>
      </c>
      <c r="F561">
        <v>0.11</v>
      </c>
      <c r="G561">
        <v>0.05006560984988484</v>
      </c>
      <c r="H561" t="s">
        <v>596</v>
      </c>
      <c r="I561" t="s">
        <v>381</v>
      </c>
    </row>
    <row r="562" spans="1:9">
      <c r="A562" s="1" t="s">
        <v>569</v>
      </c>
      <c r="B562">
        <f>HYPERLINK("https://www.suredividend.com/sure-analysis-CAE/","CAE, Inc.")</f>
        <v>0</v>
      </c>
      <c r="C562" t="s">
        <v>631</v>
      </c>
      <c r="D562">
        <v>0.020362388805849</v>
      </c>
      <c r="E562">
        <v>-0.01864348423220252</v>
      </c>
      <c r="F562">
        <v>0.07000000000000001</v>
      </c>
      <c r="G562">
        <v>0.05005147187154346</v>
      </c>
      <c r="H562" t="s">
        <v>596</v>
      </c>
      <c r="I562" t="s">
        <v>596</v>
      </c>
    </row>
    <row r="563" spans="1:9">
      <c r="A563" s="1" t="s">
        <v>570</v>
      </c>
      <c r="B563">
        <f>HYPERLINK("https://www.suredividend.com/sure-analysis-TCO/","Taubman Centers, Inc.")</f>
        <v>0</v>
      </c>
      <c r="C563" t="s">
        <v>633</v>
      </c>
      <c r="D563">
        <v>0.07066213033237301</v>
      </c>
      <c r="E563">
        <v>-0.03550590303752121</v>
      </c>
      <c r="F563">
        <v>0.02</v>
      </c>
      <c r="G563">
        <v>0.04956167750925022</v>
      </c>
      <c r="H563" t="s">
        <v>596</v>
      </c>
      <c r="I563" t="s">
        <v>381</v>
      </c>
    </row>
    <row r="564" spans="1:9">
      <c r="A564" s="1" t="s">
        <v>571</v>
      </c>
      <c r="B564">
        <f>HYPERLINK("https://www.suredividend.com/sure-analysis-HP/","Helmerich &amp; Payne, Inc.")</f>
        <v>0</v>
      </c>
      <c r="C564" t="s">
        <v>631</v>
      </c>
      <c r="D564">
        <v>0.122554067971163</v>
      </c>
      <c r="E564">
        <v>-0.142570035307391</v>
      </c>
      <c r="F564">
        <v>0.17</v>
      </c>
      <c r="G564">
        <v>0.04954754223059554</v>
      </c>
      <c r="H564" t="s">
        <v>596</v>
      </c>
      <c r="I564" t="s">
        <v>381</v>
      </c>
    </row>
    <row r="565" spans="1:9">
      <c r="A565" s="1" t="s">
        <v>572</v>
      </c>
      <c r="B565">
        <f>HYPERLINK("https://www.suredividend.com/sure-analysis-EQM/","EQM Midstream Partners LP")</f>
        <v>0</v>
      </c>
      <c r="C565" t="s">
        <v>632</v>
      </c>
      <c r="D565">
        <v>0.180471301913205</v>
      </c>
      <c r="E565">
        <v>-0.01371696043083381</v>
      </c>
      <c r="F565">
        <v>0</v>
      </c>
      <c r="G565">
        <v>0.04884025297801764</v>
      </c>
      <c r="H565" t="s">
        <v>596</v>
      </c>
      <c r="I565" t="s">
        <v>636</v>
      </c>
    </row>
    <row r="566" spans="1:9">
      <c r="A566" s="1" t="s">
        <v>573</v>
      </c>
      <c r="B566">
        <f>HYPERLINK("https://www.suredividend.com/sure-analysis-PRT/","PermRock Royalty Trust")</f>
        <v>0</v>
      </c>
      <c r="C566" t="s">
        <v>631</v>
      </c>
      <c r="D566">
        <v>0.297507227272727</v>
      </c>
      <c r="E566">
        <v>-0.01039923583582236</v>
      </c>
      <c r="F566">
        <v>-0.1</v>
      </c>
      <c r="G566">
        <v>0.04674242944803164</v>
      </c>
      <c r="H566" t="s">
        <v>596</v>
      </c>
      <c r="I566" t="s">
        <v>636</v>
      </c>
    </row>
    <row r="567" spans="1:9">
      <c r="A567" s="1" t="s">
        <v>574</v>
      </c>
      <c r="B567">
        <f>HYPERLINK("https://www.suredividend.com/sure-analysis-VET/","Vermilion Energy, Inc.")</f>
        <v>0</v>
      </c>
      <c r="C567" t="s">
        <v>631</v>
      </c>
      <c r="D567">
        <v>0.369379014989293</v>
      </c>
      <c r="E567">
        <v>-0.1062795385980915</v>
      </c>
      <c r="F567">
        <v>0.05</v>
      </c>
      <c r="G567">
        <v>0.04574500513928581</v>
      </c>
      <c r="H567" t="s">
        <v>596</v>
      </c>
      <c r="I567" t="s">
        <v>636</v>
      </c>
    </row>
    <row r="568" spans="1:9">
      <c r="A568" s="1" t="s">
        <v>575</v>
      </c>
      <c r="B568">
        <f>HYPERLINK("https://www.suredividend.com/sure-analysis-FL/","Foot Locker, Inc.")</f>
        <v>0</v>
      </c>
      <c r="C568" t="s">
        <v>631</v>
      </c>
      <c r="D568">
        <v>0.051974350320621</v>
      </c>
      <c r="E568">
        <v>-0.008732028943151615</v>
      </c>
      <c r="F568">
        <v>0.04</v>
      </c>
      <c r="G568">
        <v>0.04441052390184952</v>
      </c>
      <c r="H568" t="s">
        <v>596</v>
      </c>
      <c r="I568" t="s">
        <v>420</v>
      </c>
    </row>
    <row r="569" spans="1:9">
      <c r="A569" s="1" t="s">
        <v>576</v>
      </c>
      <c r="B569">
        <f>HYPERLINK("https://www.suredividend.com/sure-analysis-HAL/","Halliburton Co.")</f>
        <v>0</v>
      </c>
      <c r="C569" t="s">
        <v>631</v>
      </c>
      <c r="D569">
        <v>0.03747597693786001</v>
      </c>
      <c r="E569">
        <v>-0.1102504115175382</v>
      </c>
      <c r="F569">
        <v>0.149</v>
      </c>
      <c r="G569">
        <v>0.0399928058304917</v>
      </c>
      <c r="H569" t="s">
        <v>596</v>
      </c>
      <c r="I569" t="s">
        <v>596</v>
      </c>
    </row>
    <row r="570" spans="1:9">
      <c r="A570" s="1" t="s">
        <v>577</v>
      </c>
      <c r="B570">
        <f>HYPERLINK("https://www.suredividend.com/sure-analysis-EADSY/","Airbus SE")</f>
        <v>0</v>
      </c>
      <c r="C570" t="s">
        <v>631</v>
      </c>
      <c r="D570">
        <v>0.023861480075901</v>
      </c>
      <c r="E570">
        <v>-0.03109682351836651</v>
      </c>
      <c r="F570">
        <v>0.06</v>
      </c>
      <c r="G570">
        <v>0.03878891786967453</v>
      </c>
      <c r="H570" t="s">
        <v>596</v>
      </c>
      <c r="I570" t="s">
        <v>596</v>
      </c>
    </row>
    <row r="571" spans="1:9">
      <c r="A571" s="1" t="s">
        <v>578</v>
      </c>
      <c r="B571">
        <f>HYPERLINK("https://www.suredividend.com/sure-analysis-DDS/","Dillard's, Inc.")</f>
        <v>0</v>
      </c>
      <c r="C571" t="s">
        <v>631</v>
      </c>
      <c r="D571">
        <v>0.019727403156384</v>
      </c>
      <c r="E571">
        <v>-0.01103263829053847</v>
      </c>
      <c r="F571">
        <v>0.03</v>
      </c>
      <c r="G571">
        <v>0.0385272674081818</v>
      </c>
      <c r="H571" t="s">
        <v>596</v>
      </c>
      <c r="I571" t="s">
        <v>596</v>
      </c>
    </row>
    <row r="572" spans="1:9">
      <c r="A572" s="1" t="s">
        <v>579</v>
      </c>
      <c r="B572">
        <f>HYPERLINK("https://www.suredividend.com/sure-analysis-ROST/","Ross Stores, Inc.")</f>
        <v>0</v>
      </c>
      <c r="C572" t="s">
        <v>631</v>
      </c>
      <c r="D572">
        <v>0.011350124310885</v>
      </c>
      <c r="E572">
        <v>-0.08503828070067954</v>
      </c>
      <c r="F572">
        <v>0.13</v>
      </c>
      <c r="G572">
        <v>0.03768461100034193</v>
      </c>
      <c r="H572" t="s">
        <v>596</v>
      </c>
      <c r="I572" t="s">
        <v>596</v>
      </c>
    </row>
    <row r="573" spans="1:9">
      <c r="A573" s="1" t="s">
        <v>580</v>
      </c>
      <c r="B573">
        <f>HYPERLINK("https://www.suredividend.com/sure-analysis-TJX/","The TJX Cos., Inc.")</f>
        <v>0</v>
      </c>
      <c r="C573" t="s">
        <v>631</v>
      </c>
      <c r="D573">
        <v>0.012208067940552</v>
      </c>
      <c r="E573">
        <v>-0.03550590303752121</v>
      </c>
      <c r="F573">
        <v>0.059</v>
      </c>
      <c r="G573">
        <v>0.03474782665565113</v>
      </c>
      <c r="H573" t="s">
        <v>596</v>
      </c>
      <c r="I573" t="s">
        <v>596</v>
      </c>
    </row>
    <row r="574" spans="1:9">
      <c r="A574" s="1" t="s">
        <v>581</v>
      </c>
      <c r="B574">
        <f>HYPERLINK("https://www.suredividend.com/sure-analysis-PBA/","Pembina Pipeline Corp.")</f>
        <v>0</v>
      </c>
      <c r="C574" t="s">
        <v>631</v>
      </c>
      <c r="D574">
        <v>0.070924856253734</v>
      </c>
      <c r="E574">
        <v>-0.0849588827099127</v>
      </c>
      <c r="F574">
        <v>0.05</v>
      </c>
      <c r="G574">
        <v>0.03284101207448842</v>
      </c>
      <c r="H574" t="s">
        <v>596</v>
      </c>
      <c r="I574" t="s">
        <v>381</v>
      </c>
    </row>
    <row r="575" spans="1:9">
      <c r="A575" s="1" t="s">
        <v>582</v>
      </c>
      <c r="B575">
        <f>HYPERLINK("https://www.suredividend.com/sure-analysis-HA/","Hawaiian Holdings, Inc.")</f>
        <v>0</v>
      </c>
      <c r="C575" t="s">
        <v>631</v>
      </c>
      <c r="D575">
        <v>0.026143790849673</v>
      </c>
      <c r="E575">
        <v>0.01564131377896527</v>
      </c>
      <c r="F575">
        <v>0</v>
      </c>
      <c r="G575">
        <v>0.02754661199311959</v>
      </c>
      <c r="H575" t="s">
        <v>596</v>
      </c>
      <c r="I575" t="s">
        <v>596</v>
      </c>
    </row>
    <row r="576" spans="1:9">
      <c r="A576" s="1" t="s">
        <v>583</v>
      </c>
      <c r="B576">
        <f>HYPERLINK("https://www.suredividend.com/sure-analysis-DAL/","Delta Air Lines, Inc.")</f>
        <v>0</v>
      </c>
      <c r="C576" t="s">
        <v>631</v>
      </c>
      <c r="D576">
        <v>0.027436946148602</v>
      </c>
      <c r="E576">
        <v>-0.0334766247004491</v>
      </c>
      <c r="F576">
        <v>0.06</v>
      </c>
      <c r="G576">
        <v>0.02725614531106646</v>
      </c>
      <c r="H576" t="s">
        <v>596</v>
      </c>
      <c r="I576" t="s">
        <v>596</v>
      </c>
    </row>
    <row r="577" spans="1:9">
      <c r="A577" s="1" t="s">
        <v>584</v>
      </c>
      <c r="B577">
        <f>HYPERLINK("https://www.suredividend.com/sure-analysis-EQNR/","Equinor ASA")</f>
        <v>0</v>
      </c>
      <c r="C577" t="s">
        <v>631</v>
      </c>
      <c r="D577">
        <v>0.064935064935064</v>
      </c>
      <c r="E577">
        <v>-0.02888870783267317</v>
      </c>
      <c r="F577">
        <v>0.02</v>
      </c>
      <c r="G577">
        <v>0.0271849906387378</v>
      </c>
      <c r="H577" t="s">
        <v>596</v>
      </c>
      <c r="I577" t="s">
        <v>420</v>
      </c>
    </row>
    <row r="578" spans="1:9">
      <c r="A578" s="1" t="s">
        <v>585</v>
      </c>
      <c r="B578">
        <f>HYPERLINK("https://www.suredividend.com/sure-analysis-DX/","Dynex Capital, Inc.")</f>
        <v>0</v>
      </c>
      <c r="C578" t="s">
        <v>633</v>
      </c>
      <c r="D578">
        <v>0.116174582798459</v>
      </c>
      <c r="E578">
        <v>-0.121510651130558</v>
      </c>
      <c r="F578">
        <v>0.08500000000000001</v>
      </c>
      <c r="G578">
        <v>0.02612979118144731</v>
      </c>
      <c r="H578" t="s">
        <v>596</v>
      </c>
      <c r="I578" t="s">
        <v>381</v>
      </c>
    </row>
    <row r="579" spans="1:9">
      <c r="A579" s="1" t="s">
        <v>586</v>
      </c>
      <c r="B579">
        <f>HYPERLINK("https://www.suredividend.com/sure-analysis-UFS/","Domtar Corp.")</f>
        <v>0</v>
      </c>
      <c r="C579" t="s">
        <v>631</v>
      </c>
      <c r="D579">
        <v>0.048645759087669</v>
      </c>
      <c r="E579">
        <v>-0.004856990453102394</v>
      </c>
      <c r="F579">
        <v>0.03</v>
      </c>
      <c r="G579">
        <v>0.02499729983330456</v>
      </c>
      <c r="H579" t="s">
        <v>596</v>
      </c>
      <c r="I579" t="s">
        <v>420</v>
      </c>
    </row>
    <row r="580" spans="1:9">
      <c r="A580" s="1" t="s">
        <v>587</v>
      </c>
      <c r="B580">
        <f>HYPERLINK("https://www.suredividend.com/sure-analysis-KSS/","Kohl's Corp.")</f>
        <v>0</v>
      </c>
      <c r="C580" t="s">
        <v>631</v>
      </c>
      <c r="D580">
        <v>0.118774617067833</v>
      </c>
      <c r="E580">
        <v>-0.0295821545036854</v>
      </c>
      <c r="F580">
        <v>0</v>
      </c>
      <c r="G580">
        <v>0.02364038097858145</v>
      </c>
      <c r="H580" t="s">
        <v>596</v>
      </c>
      <c r="I580" t="s">
        <v>381</v>
      </c>
    </row>
    <row r="581" spans="1:9">
      <c r="A581" s="1" t="s">
        <v>588</v>
      </c>
      <c r="B581">
        <f>HYPERLINK("https://www.suredividend.com/sure-analysis-SCHL/","Scholastic Corp.")</f>
        <v>0</v>
      </c>
      <c r="C581" t="s">
        <v>631</v>
      </c>
      <c r="D581">
        <v>0.023990403838464</v>
      </c>
      <c r="E581">
        <v>-0.04660370702279704</v>
      </c>
      <c r="F581">
        <v>0.05</v>
      </c>
      <c r="G581">
        <v>0.02356284460442715</v>
      </c>
      <c r="H581" t="s">
        <v>596</v>
      </c>
      <c r="I581" t="s">
        <v>596</v>
      </c>
    </row>
    <row r="582" spans="1:9">
      <c r="A582" s="1" t="s">
        <v>589</v>
      </c>
      <c r="B582">
        <f>HYPERLINK("https://www.suredividend.com/sure-analysis-CCL/","Carnival Corp.")</f>
        <v>0</v>
      </c>
      <c r="C582" t="s">
        <v>631</v>
      </c>
      <c r="D582">
        <v>0.09715025906735701</v>
      </c>
      <c r="E582">
        <v>-0.05377383410961112</v>
      </c>
      <c r="F582">
        <v>0.04</v>
      </c>
      <c r="G582">
        <v>0.02155186870573123</v>
      </c>
      <c r="H582" t="s">
        <v>596</v>
      </c>
      <c r="I582" t="s">
        <v>420</v>
      </c>
    </row>
    <row r="583" spans="1:9">
      <c r="A583" s="1" t="s">
        <v>590</v>
      </c>
      <c r="B583">
        <f>HYPERLINK("https://www.suredividend.com/sure-analysis-CPTA/","Capitala Finance Corp.")</f>
        <v>0</v>
      </c>
      <c r="C583" t="s">
        <v>631</v>
      </c>
      <c r="D583">
        <v>0.304292237442922</v>
      </c>
      <c r="E583">
        <v>-0.05428141841052492</v>
      </c>
      <c r="F583">
        <v>0</v>
      </c>
      <c r="G583">
        <v>0.02129568760013512</v>
      </c>
      <c r="H583" t="s">
        <v>596</v>
      </c>
      <c r="I583" t="s">
        <v>381</v>
      </c>
    </row>
    <row r="584" spans="1:9">
      <c r="A584" s="1" t="s">
        <v>591</v>
      </c>
      <c r="B584">
        <f>HYPERLINK("https://www.suredividend.com/sure-analysis-CLDT/","Chatham Lodging Trust")</f>
        <v>0</v>
      </c>
      <c r="C584" t="s">
        <v>633</v>
      </c>
      <c r="D584">
        <v>0.111111111111111</v>
      </c>
      <c r="E584">
        <v>-0.1160205124012479</v>
      </c>
      <c r="F584">
        <v>0.1</v>
      </c>
      <c r="G584">
        <v>0.02122311143782141</v>
      </c>
      <c r="H584" t="s">
        <v>596</v>
      </c>
      <c r="I584" t="s">
        <v>381</v>
      </c>
    </row>
    <row r="585" spans="1:9">
      <c r="A585" s="1" t="s">
        <v>592</v>
      </c>
      <c r="B585">
        <f>HYPERLINK("https://www.suredividend.com/sure-analysis-CAJ/","Canon, Inc.")</f>
        <v>0</v>
      </c>
      <c r="C585" t="s">
        <v>631</v>
      </c>
      <c r="D585">
        <v>0.06521789657176001</v>
      </c>
      <c r="E585">
        <v>-0.04177853635685291</v>
      </c>
      <c r="F585">
        <v>0.02</v>
      </c>
      <c r="G585">
        <v>0.02078149455519229</v>
      </c>
      <c r="H585" t="s">
        <v>596</v>
      </c>
      <c r="I585" t="s">
        <v>420</v>
      </c>
    </row>
    <row r="586" spans="1:9">
      <c r="A586" s="1" t="s">
        <v>593</v>
      </c>
      <c r="B586">
        <f>HYPERLINK("https://www.suredividend.com/sure-analysis-CBRL/","Cracker Barrel Old Country Store, Inc.")</f>
        <v>0</v>
      </c>
      <c r="C586" t="s">
        <v>631</v>
      </c>
      <c r="D586">
        <v>0.04404540064374</v>
      </c>
      <c r="E586">
        <v>-0.05701008552529108</v>
      </c>
      <c r="F586">
        <v>0.031</v>
      </c>
      <c r="G586">
        <v>0.01989864173128719</v>
      </c>
      <c r="H586" t="s">
        <v>596</v>
      </c>
      <c r="I586" t="s">
        <v>420</v>
      </c>
    </row>
    <row r="587" spans="1:9">
      <c r="A587" s="1" t="s">
        <v>594</v>
      </c>
      <c r="B587">
        <f>HYPERLINK("https://www.suredividend.com/sure-analysis-JWN/","Nordstrom, Inc.")</f>
        <v>0</v>
      </c>
      <c r="C587" t="s">
        <v>631</v>
      </c>
      <c r="D587">
        <v>0.08757396449704101</v>
      </c>
      <c r="E587">
        <v>-0.03683725182300279</v>
      </c>
      <c r="F587">
        <v>0.03</v>
      </c>
      <c r="G587">
        <v>0.0194733982113291</v>
      </c>
      <c r="H587" t="s">
        <v>596</v>
      </c>
      <c r="I587" t="s">
        <v>420</v>
      </c>
    </row>
    <row r="588" spans="1:9">
      <c r="A588" s="1" t="s">
        <v>595</v>
      </c>
      <c r="B588">
        <f>HYPERLINK("https://www.suredividend.com/sure-analysis-WELL/","Welltower, Inc.")</f>
        <v>0</v>
      </c>
      <c r="C588" t="s">
        <v>633</v>
      </c>
      <c r="D588">
        <v>0.05605849582172701</v>
      </c>
      <c r="E588">
        <v>-0.04921740494341331</v>
      </c>
      <c r="F588">
        <v>0.02</v>
      </c>
      <c r="G588">
        <v>0.01844692586723706</v>
      </c>
      <c r="H588" t="s">
        <v>596</v>
      </c>
      <c r="I588" t="s">
        <v>420</v>
      </c>
    </row>
    <row r="589" spans="1:9">
      <c r="A589" s="1" t="s">
        <v>596</v>
      </c>
      <c r="B589">
        <f>HYPERLINK("https://www.suredividend.com/sure-analysis-F/","Ford Motor Co.")</f>
        <v>0</v>
      </c>
      <c r="C589" t="s">
        <v>631</v>
      </c>
      <c r="D589">
        <v>0.04231311706629001</v>
      </c>
      <c r="E589">
        <v>-0.0382200179121025</v>
      </c>
      <c r="F589">
        <v>0.02</v>
      </c>
      <c r="G589">
        <v>0.01837912576352108</v>
      </c>
      <c r="H589" t="s">
        <v>596</v>
      </c>
      <c r="I589" t="s">
        <v>420</v>
      </c>
    </row>
    <row r="590" spans="1:9">
      <c r="A590" s="1" t="s">
        <v>597</v>
      </c>
      <c r="B590">
        <f>HYPERLINK("https://www.suredividend.com/sure-analysis-ABB/","ABB Ltd.")</f>
        <v>0</v>
      </c>
      <c r="C590" t="s">
        <v>631</v>
      </c>
      <c r="D590">
        <v>0.031665387567152</v>
      </c>
      <c r="E590">
        <v>-0.06058750957227277</v>
      </c>
      <c r="F590">
        <v>0.05</v>
      </c>
      <c r="G590">
        <v>0.01674610252188224</v>
      </c>
      <c r="H590" t="s">
        <v>596</v>
      </c>
      <c r="I590" t="s">
        <v>596</v>
      </c>
    </row>
    <row r="591" spans="1:9">
      <c r="A591" s="1" t="s">
        <v>598</v>
      </c>
      <c r="B591">
        <f>HYPERLINK("https://www.suredividend.com/sure-analysis-TM/","Toyota Motor Corp.")</f>
        <v>0</v>
      </c>
      <c r="C591" t="s">
        <v>631</v>
      </c>
      <c r="D591">
        <v>0.031056138469786</v>
      </c>
      <c r="E591">
        <v>-0.05275727998132906</v>
      </c>
      <c r="F591">
        <v>0.04</v>
      </c>
      <c r="G591">
        <v>0.01508713869871725</v>
      </c>
      <c r="H591" t="s">
        <v>596</v>
      </c>
      <c r="I591" t="s">
        <v>596</v>
      </c>
    </row>
    <row r="592" spans="1:9">
      <c r="A592" s="1" t="s">
        <v>599</v>
      </c>
      <c r="B592">
        <f>HYPERLINK("https://www.suredividend.com/sure-analysis-AAL/","American Airlines Group, Inc.")</f>
        <v>0</v>
      </c>
      <c r="C592" t="s">
        <v>631</v>
      </c>
      <c r="D592">
        <v>0.014285714285714</v>
      </c>
      <c r="E592">
        <v>0.003975550060806743</v>
      </c>
      <c r="F592">
        <v>0</v>
      </c>
      <c r="G592">
        <v>0.003975550060806743</v>
      </c>
      <c r="H592" t="s">
        <v>596</v>
      </c>
      <c r="I592" t="s">
        <v>596</v>
      </c>
    </row>
    <row r="593" spans="1:9">
      <c r="A593" s="1" t="s">
        <v>600</v>
      </c>
      <c r="B593">
        <f>HYPERLINK("https://www.suredividend.com/sure-analysis-GLPI/","Gaming &amp; Leisure Properties, Inc.")</f>
        <v>0</v>
      </c>
      <c r="C593" t="s">
        <v>633</v>
      </c>
      <c r="D593">
        <v>0.068193384223918</v>
      </c>
      <c r="E593">
        <v>-0.1537924459353841</v>
      </c>
      <c r="F593">
        <v>0.129</v>
      </c>
      <c r="G593">
        <v>0.001791112727432376</v>
      </c>
      <c r="H593" t="s">
        <v>596</v>
      </c>
      <c r="I593" t="s">
        <v>420</v>
      </c>
    </row>
    <row r="594" spans="1:9">
      <c r="A594" s="1" t="s">
        <v>601</v>
      </c>
      <c r="B594">
        <f>HYPERLINK("https://www.suredividend.com/sure-analysis-DOW/","Dow, Inc.")</f>
        <v>0</v>
      </c>
      <c r="C594" t="s">
        <v>631</v>
      </c>
      <c r="D594">
        <v>0.0625</v>
      </c>
      <c r="E594">
        <v>-0.08849384820738526</v>
      </c>
      <c r="F594">
        <v>0.03</v>
      </c>
      <c r="G594">
        <v>2.477835531067285e-05</v>
      </c>
      <c r="H594" t="s">
        <v>596</v>
      </c>
      <c r="I594" t="s">
        <v>420</v>
      </c>
    </row>
    <row r="595" spans="1:9">
      <c r="A595" s="1" t="s">
        <v>602</v>
      </c>
      <c r="B595">
        <f>HYPERLINK("https://www.suredividend.com/sure-analysis-VOD/","Vodafone Group Plc")</f>
        <v>0</v>
      </c>
      <c r="C595" t="s">
        <v>631</v>
      </c>
      <c r="D595">
        <v>0.06459722580645101</v>
      </c>
      <c r="E595">
        <v>-0.1028475242163552</v>
      </c>
      <c r="F595">
        <v>0.02</v>
      </c>
      <c r="G595">
        <v>-0.009856896122221959</v>
      </c>
      <c r="H595" t="s">
        <v>596</v>
      </c>
      <c r="I595" t="s">
        <v>381</v>
      </c>
    </row>
    <row r="596" spans="1:9">
      <c r="A596" s="1" t="s">
        <v>603</v>
      </c>
      <c r="B596">
        <f>HYPERLINK("https://www.suredividend.com/sure-analysis-PTEN/","Patterson-UTI Energy, Inc.")</f>
        <v>0</v>
      </c>
      <c r="C596" t="s">
        <v>631</v>
      </c>
      <c r="D596">
        <v>0.031818181818181</v>
      </c>
      <c r="E596">
        <v>0.1053348281152244</v>
      </c>
      <c r="F596">
        <v>-0.14</v>
      </c>
      <c r="G596">
        <v>-0.02660098280406897</v>
      </c>
      <c r="H596" t="s">
        <v>596</v>
      </c>
      <c r="I596" t="s">
        <v>596</v>
      </c>
    </row>
    <row r="597" spans="1:9">
      <c r="A597" s="1" t="s">
        <v>604</v>
      </c>
      <c r="B597">
        <f>HYPERLINK("https://www.suredividend.com/sure-analysis-MGM/","MGM Resorts International")</f>
        <v>0</v>
      </c>
      <c r="C597" t="s">
        <v>631</v>
      </c>
      <c r="D597">
        <v>0.019053117782909</v>
      </c>
      <c r="E597">
        <v>-0.1100849382703697</v>
      </c>
      <c r="F597">
        <v>0.05</v>
      </c>
      <c r="G597">
        <v>-0.06132813145698546</v>
      </c>
      <c r="H597" t="s">
        <v>596</v>
      </c>
      <c r="I597" t="s">
        <v>596</v>
      </c>
    </row>
    <row r="598" spans="1:9">
      <c r="A598" s="1" t="s">
        <v>605</v>
      </c>
      <c r="B598">
        <f>HYPERLINK("https://www.suredividend.com/sure-analysis-APA/","Apache Corp.")</f>
        <v>0</v>
      </c>
      <c r="C598" t="s">
        <v>631</v>
      </c>
      <c r="D598">
        <v>0.033783783783783</v>
      </c>
      <c r="E598">
        <v>-0.2378543149546225</v>
      </c>
      <c r="F598">
        <v>0.2</v>
      </c>
      <c r="G598">
        <v>-0.0764157598213423</v>
      </c>
      <c r="H598" t="s">
        <v>596</v>
      </c>
      <c r="I598" t="s">
        <v>596</v>
      </c>
    </row>
    <row r="599" spans="1:9">
      <c r="A599" s="1" t="s">
        <v>606</v>
      </c>
      <c r="B599">
        <f>HYPERLINK("https://www.suredividend.com/sure-analysis-BBBY/","Bed Bath &amp; Beyond, Inc.")</f>
        <v>0</v>
      </c>
      <c r="C599" t="s">
        <v>631</v>
      </c>
      <c r="D599">
        <v>0.040284360189573</v>
      </c>
      <c r="E599">
        <v>-0.07658018811573952</v>
      </c>
      <c r="F599">
        <v>0</v>
      </c>
      <c r="G599">
        <v>-0.07658018811573952</v>
      </c>
      <c r="H599" t="s">
        <v>596</v>
      </c>
      <c r="I599" t="s">
        <v>596</v>
      </c>
    </row>
    <row r="600" spans="1:9">
      <c r="A600" s="1" t="s">
        <v>607</v>
      </c>
      <c r="B600">
        <f>HYPERLINK("https://www.suredividend.com/sure-analysis-CORR/","CorEnergy Infrastructure Trust, Inc.")</f>
        <v>0</v>
      </c>
      <c r="C600" t="s">
        <v>631</v>
      </c>
      <c r="D600">
        <v>0.208711433756805</v>
      </c>
      <c r="E600">
        <v>-0.1546977007233854</v>
      </c>
      <c r="F600">
        <v>0.02</v>
      </c>
      <c r="G600">
        <v>-0.07769980127965148</v>
      </c>
      <c r="H600" t="s">
        <v>596</v>
      </c>
      <c r="I600" t="s">
        <v>381</v>
      </c>
    </row>
    <row r="601" spans="1:9">
      <c r="A601" s="1" t="s">
        <v>608</v>
      </c>
      <c r="B601">
        <f>HYPERLINK("https://www.suredividend.com/sure-analysis-ANF/","Abercrombie &amp; Fitch Co.")</f>
        <v>0</v>
      </c>
      <c r="C601" t="s">
        <v>631</v>
      </c>
      <c r="D601">
        <v>0.076190476190476</v>
      </c>
      <c r="E601">
        <v>-0.1133597835641907</v>
      </c>
      <c r="F601">
        <v>0.02</v>
      </c>
      <c r="G601">
        <v>-0.09562697923547459</v>
      </c>
      <c r="H601" t="s">
        <v>596</v>
      </c>
      <c r="I601" t="s">
        <v>420</v>
      </c>
    </row>
    <row r="602" spans="1:9">
      <c r="A602" s="1" t="s">
        <v>609</v>
      </c>
      <c r="B602">
        <f>HYPERLINK("https://www.suredividend.com/sure-analysis-LB/","L Brands, Inc.")</f>
        <v>0</v>
      </c>
      <c r="C602" t="s">
        <v>631</v>
      </c>
      <c r="D602">
        <v>0.043652237177155</v>
      </c>
      <c r="E602">
        <v>-0.1226389777973285</v>
      </c>
      <c r="F602">
        <v>0</v>
      </c>
      <c r="G602">
        <v>-0.1226389777973285</v>
      </c>
      <c r="H602" t="s">
        <v>596</v>
      </c>
      <c r="I602" t="s">
        <v>420</v>
      </c>
    </row>
    <row r="603" spans="1:9">
      <c r="A603" s="1" t="s">
        <v>610</v>
      </c>
      <c r="B603">
        <f>HYPERLINK("https://www.suredividend.com/sure-analysis-WYNN/","Wynn Resorts Ltd.")</f>
        <v>0</v>
      </c>
      <c r="C603" t="s">
        <v>631</v>
      </c>
      <c r="D603">
        <v>0.03681885125184</v>
      </c>
      <c r="E603">
        <v>-0.1837132003526025</v>
      </c>
      <c r="F603">
        <v>0.04</v>
      </c>
      <c r="G603">
        <v>-0.1286697301698673</v>
      </c>
      <c r="H603" t="s">
        <v>596</v>
      </c>
      <c r="I603" t="s">
        <v>596</v>
      </c>
    </row>
    <row r="604" spans="1:9">
      <c r="A604" s="1" t="s">
        <v>611</v>
      </c>
      <c r="B604">
        <f>HYPERLINK("https://www.suredividend.com/sure-analysis-NBR/","Nabors Industries Ltd.")</f>
        <v>0</v>
      </c>
      <c r="C604" t="s">
        <v>631</v>
      </c>
      <c r="D604">
        <v>0.0007381435689240001</v>
      </c>
      <c r="E604">
        <v>-0.1103165491521413</v>
      </c>
      <c r="F604">
        <v>-0.05</v>
      </c>
      <c r="G604">
        <v>-0.1548007216945343</v>
      </c>
      <c r="H604" t="s">
        <v>596</v>
      </c>
      <c r="I604" t="s">
        <v>596</v>
      </c>
    </row>
    <row r="605" spans="1:9">
      <c r="A605" s="1" t="s">
        <v>612</v>
      </c>
      <c r="B605">
        <f>HYPERLINK("https://www.suredividend.com/sure-analysis-NCLH/","Norwegian Cruise Line Holdings Ltd.")</f>
        <v>0</v>
      </c>
      <c r="C605" t="s">
        <v>631</v>
      </c>
      <c r="E605">
        <v>0.1539384535712878</v>
      </c>
      <c r="F605">
        <v>0.08</v>
      </c>
      <c r="G605">
        <v>0.2462535298569908</v>
      </c>
      <c r="H605" t="s">
        <v>637</v>
      </c>
      <c r="I605" t="s">
        <v>637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631</v>
      </c>
      <c r="E606">
        <v>0.1051213605774541</v>
      </c>
      <c r="F606">
        <v>0.04</v>
      </c>
      <c r="G606">
        <v>0.1493262150005523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HYPERLINK("https://www.suredividend.com/sure-analysis-FRFHF/","Fairfax Financial Holdings Ltd.")</f>
        <v>0</v>
      </c>
      <c r="C607" t="s">
        <v>631</v>
      </c>
      <c r="E607">
        <v>0.07973391128311436</v>
      </c>
      <c r="F607">
        <v>0.02</v>
      </c>
      <c r="G607">
        <v>0.1226534510754778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HYPERLINK("https://www.suredividend.com/sure-analysis-FMS/","Fresenius Medical Care AG &amp; Co. KGaA")</f>
        <v>0</v>
      </c>
      <c r="C608" t="s">
        <v>631</v>
      </c>
      <c r="E608">
        <v>0.0436777384806728</v>
      </c>
      <c r="F608">
        <v>0.06</v>
      </c>
      <c r="G608">
        <v>0.1181590194550961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HYPERLINK("https://www.suredividend.com/sure-analysis-FCAU/","Fiat Chrysler Automobiles NV")</f>
        <v>0</v>
      </c>
      <c r="C609" t="s">
        <v>631</v>
      </c>
      <c r="E609">
        <v>0.03976480118430525</v>
      </c>
      <c r="F609">
        <v>0.03</v>
      </c>
      <c r="G609">
        <v>0.1136127735662502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HYPERLINK("https://www.suredividend.com/sure-analysis-SCGLY/","Société Générale SA")</f>
        <v>0</v>
      </c>
      <c r="C610" t="s">
        <v>631</v>
      </c>
      <c r="E610">
        <v>-0.04637824673596136</v>
      </c>
      <c r="F610">
        <v>0.15</v>
      </c>
      <c r="G610">
        <v>0.09666501625364443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HYPERLINK("https://www.suredividend.com/sure-analysis-NSANY/","Nissan Motor Co., Ltd.")</f>
        <v>0</v>
      </c>
      <c r="C611" t="s">
        <v>631</v>
      </c>
      <c r="E611">
        <v>-0.006993693462086226</v>
      </c>
      <c r="F611">
        <v>0.068</v>
      </c>
      <c r="G611">
        <v>0.09139228242567077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HYPERLINK("https://www.suredividend.com/sure-analysis-MT/","ArcelorMittal SA")</f>
        <v>0</v>
      </c>
      <c r="C612" t="s">
        <v>631</v>
      </c>
      <c r="E612">
        <v>0.09050730370564142</v>
      </c>
      <c r="F612">
        <v>0</v>
      </c>
      <c r="G612">
        <v>0.09050730370564142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HYPERLINK("https://www.suredividend.com/sure-analysis-BABA/","Alibaba Group Holding Ltd.")</f>
        <v>0</v>
      </c>
      <c r="C613" t="s">
        <v>631</v>
      </c>
      <c r="E613">
        <v>-0.05421100061608408</v>
      </c>
      <c r="F613">
        <v>0.15</v>
      </c>
      <c r="G613">
        <v>0.08765734929150337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HYPERLINK("https://www.suredividend.com/sure-analysis-BRK.B/","Berkshire Hathaway, Inc.")</f>
        <v>0</v>
      </c>
      <c r="C614" t="s">
        <v>631</v>
      </c>
      <c r="E614">
        <v>0.02703227755319682</v>
      </c>
      <c r="F614">
        <v>0.05</v>
      </c>
      <c r="G614">
        <v>0.07838389143085656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HYPERLINK("https://www.suredividend.com/sure-analysis-UAL/","United Airlines Holdings, Inc.")</f>
        <v>0</v>
      </c>
      <c r="C615" t="s">
        <v>631</v>
      </c>
      <c r="E615">
        <v>0.02684265397153718</v>
      </c>
      <c r="F615">
        <v>0.05</v>
      </c>
      <c r="G615">
        <v>0.07818478667011419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HYPERLINK("https://www.suredividend.com/sure-analysis-ING/","ING Groep NV")</f>
        <v>0</v>
      </c>
      <c r="C616" t="s">
        <v>631</v>
      </c>
      <c r="E616">
        <v>0.01443701066358849</v>
      </c>
      <c r="F616">
        <v>0.01</v>
      </c>
      <c r="G616">
        <v>0.06841486159135379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HYPERLINK("https://www.suredividend.com/sure-analysis-BNPQF/","BNP Paribas SA")</f>
        <v>0</v>
      </c>
      <c r="C617" t="s">
        <v>631</v>
      </c>
      <c r="E617">
        <v>0.03406172616474201</v>
      </c>
      <c r="F617">
        <v>0.03</v>
      </c>
      <c r="G617">
        <v>0.06508357794968433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HYPERLINK("https://www.suredividend.com/sure-analysis-NFLX/","Netflix, Inc.")</f>
        <v>0</v>
      </c>
      <c r="C618" t="s">
        <v>631</v>
      </c>
      <c r="E618">
        <v>-0.07564315236192631</v>
      </c>
      <c r="F618">
        <v>0.15</v>
      </c>
      <c r="G618">
        <v>0.06301037478378468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HYPERLINK("https://www.suredividend.com/sure-analysis-NOK/","Nokia Oyj")</f>
        <v>0</v>
      </c>
      <c r="C619" t="s">
        <v>631</v>
      </c>
      <c r="E619">
        <v>-0.04694802405195919</v>
      </c>
      <c r="F619">
        <v>0.07000000000000001</v>
      </c>
      <c r="G619">
        <v>0.04794200188426423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631</v>
      </c>
      <c r="E620">
        <v>-0.050225285555208</v>
      </c>
      <c r="F620">
        <v>0.09</v>
      </c>
      <c r="G620">
        <v>0.03525443874482326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631</v>
      </c>
      <c r="E621">
        <v>-0.0770952131713275</v>
      </c>
      <c r="F621">
        <v>0.12</v>
      </c>
      <c r="G621">
        <v>0.03365336124811336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-0.0945435780952415</v>
      </c>
      <c r="F622">
        <v>0.12</v>
      </c>
      <c r="G622">
        <v>0.01411119253332971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-0.2688397986178945</v>
      </c>
      <c r="F623">
        <v>0.2</v>
      </c>
      <c r="G623">
        <v>-0.1226077583414734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HYPERLINK("https://www.suredividend.com/sure-analysis-EFSI/","Eagle Financial Services, Inc.")</f>
        <v>0</v>
      </c>
      <c r="C2">
        <v>25.54</v>
      </c>
      <c r="D2">
        <v>87.158826</v>
      </c>
      <c r="E2" t="s">
        <v>659</v>
      </c>
      <c r="F2" t="s">
        <v>631</v>
      </c>
      <c r="G2" t="s">
        <v>671</v>
      </c>
      <c r="H2" t="s">
        <v>700</v>
      </c>
      <c r="I2" t="s">
        <v>705</v>
      </c>
      <c r="J2" t="s">
        <v>1312</v>
      </c>
      <c r="K2">
        <v>43959</v>
      </c>
      <c r="L2">
        <v>0.040720438527799</v>
      </c>
      <c r="M2">
        <v>0.07695155141946719</v>
      </c>
      <c r="N2">
        <v>0.055</v>
      </c>
      <c r="O2">
        <v>0.1628902038125886</v>
      </c>
      <c r="P2" t="s">
        <v>635</v>
      </c>
      <c r="Q2" t="s">
        <v>635</v>
      </c>
      <c r="R2">
        <v>33</v>
      </c>
      <c r="S2">
        <v>0.416</v>
      </c>
      <c r="T2">
        <v>37</v>
      </c>
      <c r="U2">
        <v>0.6902702702702702</v>
      </c>
      <c r="V2">
        <v>3.0106</v>
      </c>
      <c r="W2">
        <v>2.5</v>
      </c>
      <c r="X2">
        <v>1.04</v>
      </c>
      <c r="Y2">
        <v>-0.148667</v>
      </c>
      <c r="Z2">
        <v>0.5854063018242123</v>
      </c>
      <c r="AA2">
        <v>0.4251207729468598</v>
      </c>
      <c r="AB2">
        <v>0.5884244372990354</v>
      </c>
      <c r="AC2">
        <v>0.9678456591639872</v>
      </c>
      <c r="AD2">
        <v>0.977491961414791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19.24</v>
      </c>
      <c r="D3">
        <v>189.692442</v>
      </c>
      <c r="E3" t="s">
        <v>660</v>
      </c>
      <c r="F3" t="s">
        <v>631</v>
      </c>
      <c r="G3" t="s">
        <v>671</v>
      </c>
      <c r="H3" t="s">
        <v>701</v>
      </c>
      <c r="I3" t="s">
        <v>706</v>
      </c>
      <c r="J3" t="s">
        <v>1313</v>
      </c>
      <c r="K3">
        <v>44007</v>
      </c>
      <c r="L3">
        <v>0.049663735126745</v>
      </c>
      <c r="M3">
        <v>0.1071054332495631</v>
      </c>
      <c r="N3">
        <v>0.01</v>
      </c>
      <c r="O3">
        <v>0.1520561948738945</v>
      </c>
      <c r="P3" t="s">
        <v>635</v>
      </c>
      <c r="Q3" t="s">
        <v>635</v>
      </c>
      <c r="R3">
        <v>38</v>
      </c>
      <c r="S3">
        <v>0.5333333333333333</v>
      </c>
      <c r="T3">
        <v>32</v>
      </c>
      <c r="U3">
        <v>0.60125</v>
      </c>
      <c r="V3">
        <v>0.7693</v>
      </c>
      <c r="W3">
        <v>1.8</v>
      </c>
      <c r="X3">
        <v>0.96</v>
      </c>
      <c r="Y3">
        <v>-0.256348</v>
      </c>
      <c r="Z3">
        <v>0.6832504145936982</v>
      </c>
      <c r="AA3">
        <v>0.286634460547504</v>
      </c>
      <c r="AB3">
        <v>0.08601286173633441</v>
      </c>
      <c r="AC3">
        <v>0.9919614147909968</v>
      </c>
      <c r="AD3">
        <v>0.9565916398713825</v>
      </c>
    </row>
    <row r="4" spans="1:30">
      <c r="A4" s="1" t="s">
        <v>11</v>
      </c>
      <c r="B4">
        <f>HYPERLINK("https://www.suredividend.com/sure-analysis-UNM/","Unum Group")</f>
        <v>0</v>
      </c>
      <c r="C4">
        <v>19.34</v>
      </c>
      <c r="D4">
        <v>3818.72932</v>
      </c>
      <c r="E4" t="s">
        <v>661</v>
      </c>
      <c r="F4" t="s">
        <v>631</v>
      </c>
      <c r="G4" t="s">
        <v>671</v>
      </c>
      <c r="H4" t="s">
        <v>702</v>
      </c>
      <c r="I4" t="s">
        <v>707</v>
      </c>
      <c r="J4" t="s">
        <v>1312</v>
      </c>
      <c r="K4">
        <v>44042</v>
      </c>
      <c r="L4">
        <v>0.060767590618336</v>
      </c>
      <c r="M4">
        <v>0.0917745263779588</v>
      </c>
      <c r="N4">
        <v>0.02</v>
      </c>
      <c r="O4">
        <v>0.1516388787114833</v>
      </c>
      <c r="P4" t="s">
        <v>635</v>
      </c>
      <c r="Q4" t="s">
        <v>635</v>
      </c>
      <c r="R4">
        <v>12</v>
      </c>
      <c r="S4">
        <v>0.228</v>
      </c>
      <c r="T4">
        <v>30</v>
      </c>
      <c r="U4">
        <v>0.6446666666666666</v>
      </c>
      <c r="V4">
        <v>4.6996</v>
      </c>
      <c r="W4">
        <v>5</v>
      </c>
      <c r="X4">
        <v>1.14</v>
      </c>
      <c r="Y4">
        <v>-0.379799</v>
      </c>
      <c r="Z4">
        <v>0.75787728026534</v>
      </c>
      <c r="AA4">
        <v>0.1497584541062802</v>
      </c>
      <c r="AB4">
        <v>0.157556270096463</v>
      </c>
      <c r="AC4">
        <v>0.9839228295819936</v>
      </c>
      <c r="AD4">
        <v>0.9549839228295819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22.1</v>
      </c>
      <c r="D5">
        <v>267.05583</v>
      </c>
      <c r="E5" t="s">
        <v>662</v>
      </c>
      <c r="F5" t="s">
        <v>631</v>
      </c>
      <c r="G5" t="s">
        <v>671</v>
      </c>
      <c r="H5" t="s">
        <v>701</v>
      </c>
      <c r="I5" t="s">
        <v>708</v>
      </c>
      <c r="J5" t="s">
        <v>1312</v>
      </c>
      <c r="K5">
        <v>43951</v>
      </c>
      <c r="L5">
        <v>0.029884032114183</v>
      </c>
      <c r="M5">
        <v>0.03303780411393209</v>
      </c>
      <c r="N5">
        <v>0.09</v>
      </c>
      <c r="O5">
        <v>0.1479488541163385</v>
      </c>
      <c r="P5" t="s">
        <v>635</v>
      </c>
      <c r="Q5" t="s">
        <v>635</v>
      </c>
      <c r="R5">
        <v>26</v>
      </c>
      <c r="S5">
        <v>0.3045454545454546</v>
      </c>
      <c r="T5">
        <v>26</v>
      </c>
      <c r="U5">
        <v>0.8500000000000001</v>
      </c>
      <c r="V5">
        <v>2.4506</v>
      </c>
      <c r="W5">
        <v>2.2</v>
      </c>
      <c r="X5">
        <v>0.67</v>
      </c>
      <c r="Y5">
        <v>-0.200359</v>
      </c>
      <c r="Z5">
        <v>0.4278606965174129</v>
      </c>
      <c r="AA5">
        <v>0.3623188405797101</v>
      </c>
      <c r="AB5">
        <v>0.8657556270096463</v>
      </c>
      <c r="AC5">
        <v>0.8247588424437299</v>
      </c>
      <c r="AD5">
        <v>0.9485530546623794</v>
      </c>
    </row>
    <row r="6" spans="1:30">
      <c r="A6" s="1" t="s">
        <v>13</v>
      </c>
      <c r="B6">
        <f>HYPERLINK("https://www.suredividend.com/sure-analysis-PSBQ/","PSB Holdings, Inc. (Wisconsin)")</f>
        <v>0</v>
      </c>
      <c r="C6">
        <v>17.5</v>
      </c>
      <c r="D6">
        <v>79.0825</v>
      </c>
      <c r="E6" t="s">
        <v>663</v>
      </c>
      <c r="F6" t="s">
        <v>631</v>
      </c>
      <c r="G6" t="s">
        <v>671</v>
      </c>
      <c r="H6" t="s">
        <v>700</v>
      </c>
      <c r="I6" t="s">
        <v>709</v>
      </c>
      <c r="J6" t="s">
        <v>1312</v>
      </c>
      <c r="K6">
        <v>44039</v>
      </c>
      <c r="L6">
        <v>0.023428571428571</v>
      </c>
      <c r="M6">
        <v>0.07394092378577932</v>
      </c>
      <c r="N6">
        <v>0.04</v>
      </c>
      <c r="O6">
        <v>0.1343241940360675</v>
      </c>
      <c r="P6" t="s">
        <v>635</v>
      </c>
      <c r="Q6" t="s">
        <v>635</v>
      </c>
      <c r="R6">
        <v>27</v>
      </c>
      <c r="S6">
        <v>0.164</v>
      </c>
      <c r="T6">
        <v>25</v>
      </c>
      <c r="U6">
        <v>0.7</v>
      </c>
      <c r="V6">
        <v>2.407</v>
      </c>
      <c r="W6">
        <v>2.5</v>
      </c>
      <c r="X6">
        <v>0.41</v>
      </c>
      <c r="Y6">
        <v>-0.287064</v>
      </c>
      <c r="Z6">
        <v>0.3217247097844113</v>
      </c>
      <c r="AA6">
        <v>0.2544283413848631</v>
      </c>
      <c r="AB6">
        <v>0.3858520900321543</v>
      </c>
      <c r="AC6">
        <v>0.9646302250803859</v>
      </c>
      <c r="AD6">
        <v>0.9212218649517685</v>
      </c>
    </row>
    <row r="7" spans="1:30">
      <c r="A7" s="1" t="s">
        <v>14</v>
      </c>
      <c r="B7">
        <f>HYPERLINK("https://www.suredividend.com/sure-analysis-CDUAF/","Canadian Utilities Ltd.")</f>
        <v>0</v>
      </c>
      <c r="C7">
        <v>24.57</v>
      </c>
      <c r="D7">
        <v>6713.885178</v>
      </c>
      <c r="E7" t="s">
        <v>664</v>
      </c>
      <c r="F7" t="s">
        <v>631</v>
      </c>
      <c r="G7" t="s">
        <v>672</v>
      </c>
      <c r="H7" t="s">
        <v>700</v>
      </c>
      <c r="I7" t="s">
        <v>710</v>
      </c>
      <c r="J7" t="s">
        <v>1314</v>
      </c>
      <c r="K7">
        <v>44049</v>
      </c>
      <c r="L7">
        <v>0.052025917509137</v>
      </c>
      <c r="M7">
        <v>0.04074233171238029</v>
      </c>
      <c r="N7">
        <v>0.05</v>
      </c>
      <c r="O7">
        <v>0.1319311133225447</v>
      </c>
      <c r="P7" t="s">
        <v>635</v>
      </c>
      <c r="Q7" t="s">
        <v>635</v>
      </c>
      <c r="R7">
        <v>47</v>
      </c>
      <c r="S7">
        <v>0.5917948116664444</v>
      </c>
      <c r="T7">
        <v>30</v>
      </c>
      <c r="U7">
        <v>0.8190000000000001</v>
      </c>
      <c r="V7">
        <v>1.6526</v>
      </c>
      <c r="W7">
        <v>2.16</v>
      </c>
      <c r="X7">
        <v>1.27827679319952</v>
      </c>
      <c r="Y7">
        <v>-0.09577899999999999</v>
      </c>
      <c r="Z7">
        <v>0.7048092868988391</v>
      </c>
      <c r="AA7">
        <v>0.4814814814814815</v>
      </c>
      <c r="AB7">
        <v>0.5168810289389068</v>
      </c>
      <c r="AC7">
        <v>0.8585209003215434</v>
      </c>
      <c r="AD7">
        <v>0.9131832797427653</v>
      </c>
    </row>
    <row r="8" spans="1:30">
      <c r="A8" s="1" t="s">
        <v>15</v>
      </c>
      <c r="B8">
        <f>HYPERLINK("https://www.suredividend.com/sure-analysis-HII/","Huntington Ingalls Industries, Inc.")</f>
        <v>0</v>
      </c>
      <c r="C8">
        <v>168.54</v>
      </c>
      <c r="D8">
        <v>6848.445786</v>
      </c>
      <c r="E8" t="s">
        <v>660</v>
      </c>
      <c r="F8" t="s">
        <v>631</v>
      </c>
      <c r="G8" t="s">
        <v>671</v>
      </c>
      <c r="H8" t="s">
        <v>702</v>
      </c>
      <c r="I8" t="s">
        <v>711</v>
      </c>
      <c r="J8" t="s">
        <v>1315</v>
      </c>
      <c r="K8">
        <v>43964</v>
      </c>
      <c r="L8">
        <v>0.023354815822148</v>
      </c>
      <c r="M8">
        <v>0.05569352247819004</v>
      </c>
      <c r="N8">
        <v>0.05</v>
      </c>
      <c r="O8">
        <v>0.1306154653662257</v>
      </c>
      <c r="P8" t="s">
        <v>635</v>
      </c>
      <c r="Q8" t="s">
        <v>636</v>
      </c>
      <c r="R8">
        <v>8</v>
      </c>
      <c r="S8">
        <v>0.2683423913043478</v>
      </c>
      <c r="T8">
        <v>221</v>
      </c>
      <c r="U8">
        <v>0.7626244343891402</v>
      </c>
      <c r="V8">
        <v>12.9181</v>
      </c>
      <c r="W8">
        <v>14.72</v>
      </c>
      <c r="X8">
        <v>3.95</v>
      </c>
      <c r="Y8">
        <v>-0.208467</v>
      </c>
      <c r="Z8">
        <v>0.3167495854063018</v>
      </c>
      <c r="AA8">
        <v>0.3494363929146538</v>
      </c>
      <c r="AB8">
        <v>0.5168810289389068</v>
      </c>
      <c r="AC8">
        <v>0.9228295819935691</v>
      </c>
      <c r="AD8">
        <v>0.909967845659164</v>
      </c>
    </row>
    <row r="9" spans="1:30">
      <c r="A9" s="1" t="s">
        <v>16</v>
      </c>
      <c r="B9">
        <f>HYPERLINK("https://www.suredividend.com/sure-analysis-ABBV/","AbbVie, Inc.")</f>
        <v>0</v>
      </c>
      <c r="C9">
        <v>92.67</v>
      </c>
      <c r="D9">
        <v>163034.9954</v>
      </c>
      <c r="E9" t="s">
        <v>659</v>
      </c>
      <c r="F9" t="s">
        <v>631</v>
      </c>
      <c r="G9" t="s">
        <v>671</v>
      </c>
      <c r="H9" t="s">
        <v>702</v>
      </c>
      <c r="I9" t="s">
        <v>712</v>
      </c>
      <c r="J9" t="s">
        <v>1316</v>
      </c>
      <c r="K9">
        <v>44048</v>
      </c>
      <c r="L9">
        <v>0.049902576315219</v>
      </c>
      <c r="M9">
        <v>0.03299321030814495</v>
      </c>
      <c r="N9">
        <v>0.05</v>
      </c>
      <c r="O9">
        <v>0.1254493784818491</v>
      </c>
      <c r="P9" t="s">
        <v>635</v>
      </c>
      <c r="Q9" t="s">
        <v>635</v>
      </c>
      <c r="R9">
        <v>48</v>
      </c>
      <c r="S9">
        <v>0.4432692307692308</v>
      </c>
      <c r="T9">
        <v>109</v>
      </c>
      <c r="U9">
        <v>0.8501834862385321</v>
      </c>
      <c r="V9">
        <v>4.7145</v>
      </c>
      <c r="W9">
        <v>10.4</v>
      </c>
      <c r="X9">
        <v>4.61</v>
      </c>
      <c r="Y9">
        <v>0.4263</v>
      </c>
      <c r="Z9">
        <v>0.6882255389718077</v>
      </c>
      <c r="AA9">
        <v>0.9371980676328502</v>
      </c>
      <c r="AB9">
        <v>0.5168810289389068</v>
      </c>
      <c r="AC9">
        <v>0.8231511254019293</v>
      </c>
      <c r="AD9">
        <v>0.8858520900321544</v>
      </c>
    </row>
    <row r="10" spans="1:30">
      <c r="A10" s="1" t="s">
        <v>17</v>
      </c>
      <c r="B10">
        <f>HYPERLINK("https://www.suredividend.com/sure-analysis-AMP/","Ameriprise Financial, Inc.")</f>
        <v>0</v>
      </c>
      <c r="C10">
        <v>162.55</v>
      </c>
      <c r="D10">
        <v>19675.45971</v>
      </c>
      <c r="E10" t="s">
        <v>665</v>
      </c>
      <c r="F10" t="s">
        <v>631</v>
      </c>
      <c r="G10" t="s">
        <v>671</v>
      </c>
      <c r="H10" t="s">
        <v>702</v>
      </c>
      <c r="I10" t="s">
        <v>713</v>
      </c>
      <c r="J10" t="s">
        <v>1312</v>
      </c>
      <c r="K10">
        <v>44041</v>
      </c>
      <c r="L10">
        <v>0.02456009450973</v>
      </c>
      <c r="M10">
        <v>0.02173511672667217</v>
      </c>
      <c r="N10">
        <v>0.08</v>
      </c>
      <c r="O10">
        <v>0.1245225328012152</v>
      </c>
      <c r="P10" t="s">
        <v>635</v>
      </c>
      <c r="Q10" t="s">
        <v>636</v>
      </c>
      <c r="R10">
        <v>16</v>
      </c>
      <c r="S10">
        <v>0.2514322087842139</v>
      </c>
      <c r="T10">
        <v>181</v>
      </c>
      <c r="U10">
        <v>0.8980662983425415</v>
      </c>
      <c r="V10">
        <v>19.4767</v>
      </c>
      <c r="W10">
        <v>15.71</v>
      </c>
      <c r="X10">
        <v>3.95</v>
      </c>
      <c r="Y10">
        <v>0.184526</v>
      </c>
      <c r="Z10">
        <v>0.3383084577114427</v>
      </c>
      <c r="AA10">
        <v>0.8148148148148148</v>
      </c>
      <c r="AB10">
        <v>0.8135048231511255</v>
      </c>
      <c r="AC10">
        <v>0.7765273311897105</v>
      </c>
      <c r="AD10">
        <v>0.8826366559485531</v>
      </c>
    </row>
    <row r="11" spans="1:30">
      <c r="A11" s="1" t="s">
        <v>18</v>
      </c>
      <c r="B11">
        <f>HYPERLINK("https://www.suredividend.com/sure-analysis-BMY/","Bristol Myers Squibb Co.")</f>
        <v>0</v>
      </c>
      <c r="C11">
        <v>63.13</v>
      </c>
      <c r="D11">
        <v>139879.4958</v>
      </c>
      <c r="E11" t="s">
        <v>665</v>
      </c>
      <c r="F11" t="s">
        <v>631</v>
      </c>
      <c r="G11" t="s">
        <v>671</v>
      </c>
      <c r="H11" t="s">
        <v>702</v>
      </c>
      <c r="I11" t="s">
        <v>714</v>
      </c>
      <c r="J11" t="s">
        <v>1316</v>
      </c>
      <c r="K11">
        <v>44051</v>
      </c>
      <c r="L11">
        <v>0.028469750889679</v>
      </c>
      <c r="M11">
        <v>0.05878724145422809</v>
      </c>
      <c r="N11">
        <v>0.04</v>
      </c>
      <c r="O11">
        <v>0.1227911513758411</v>
      </c>
      <c r="P11" t="s">
        <v>635</v>
      </c>
      <c r="Q11" t="s">
        <v>636</v>
      </c>
      <c r="R11">
        <v>11</v>
      </c>
      <c r="S11">
        <v>0.2825040128410915</v>
      </c>
      <c r="T11">
        <v>84</v>
      </c>
      <c r="U11">
        <v>0.7515476190476191</v>
      </c>
      <c r="V11">
        <v>-0.1023</v>
      </c>
      <c r="W11">
        <v>6.23</v>
      </c>
      <c r="X11">
        <v>1.76</v>
      </c>
      <c r="Y11">
        <v>0.290336</v>
      </c>
      <c r="Z11">
        <v>0.406301824212272</v>
      </c>
      <c r="AA11">
        <v>0.8824476650563606</v>
      </c>
      <c r="AB11">
        <v>0.3858520900321543</v>
      </c>
      <c r="AC11">
        <v>0.9372990353697749</v>
      </c>
      <c r="AD11">
        <v>0.8729903536977491</v>
      </c>
    </row>
    <row r="12" spans="1:30">
      <c r="A12" s="1" t="s">
        <v>19</v>
      </c>
      <c r="B12">
        <f>HYPERLINK("https://www.suredividend.com/sure-analysis-LHX/","L3Harris Technologies, Inc.")</f>
        <v>0</v>
      </c>
      <c r="C12">
        <v>180.64</v>
      </c>
      <c r="D12">
        <v>38737.8201</v>
      </c>
      <c r="E12" t="s">
        <v>660</v>
      </c>
      <c r="F12" t="s">
        <v>631</v>
      </c>
      <c r="G12" t="s">
        <v>671</v>
      </c>
      <c r="H12" t="s">
        <v>702</v>
      </c>
      <c r="I12" t="s">
        <v>715</v>
      </c>
      <c r="J12" t="s">
        <v>1315</v>
      </c>
      <c r="K12">
        <v>43971</v>
      </c>
      <c r="L12">
        <v>0.016017412657662</v>
      </c>
      <c r="M12">
        <v>0.001501243073941394</v>
      </c>
      <c r="N12">
        <v>0.1</v>
      </c>
      <c r="O12">
        <v>0.1183117237716922</v>
      </c>
      <c r="P12" t="s">
        <v>635</v>
      </c>
      <c r="Q12" t="s">
        <v>381</v>
      </c>
      <c r="R12">
        <v>18</v>
      </c>
      <c r="S12">
        <v>0.2528634361233481</v>
      </c>
      <c r="T12">
        <v>182</v>
      </c>
      <c r="U12">
        <v>0.9925274725274724</v>
      </c>
      <c r="V12">
        <v>7.4752</v>
      </c>
      <c r="W12">
        <v>11.35</v>
      </c>
      <c r="X12">
        <v>2.87</v>
      </c>
      <c r="Y12">
        <v>-0.180975</v>
      </c>
      <c r="Z12">
        <v>0.1608623548922056</v>
      </c>
      <c r="AA12">
        <v>0.3800322061191626</v>
      </c>
      <c r="AB12">
        <v>0.907556270096463</v>
      </c>
      <c r="AC12">
        <v>0.6639871382636656</v>
      </c>
      <c r="AD12">
        <v>0.860128617363344</v>
      </c>
    </row>
    <row r="13" spans="1:30">
      <c r="A13" s="1" t="s">
        <v>20</v>
      </c>
      <c r="B13">
        <f>HYPERLINK("https://www.suredividend.com/sure-analysis-WBA/","Walgreens Boots Alliance, Inc.")</f>
        <v>0</v>
      </c>
      <c r="C13">
        <v>41.835</v>
      </c>
      <c r="D13">
        <v>37139.64724</v>
      </c>
      <c r="E13" t="s">
        <v>661</v>
      </c>
      <c r="F13" t="s">
        <v>631</v>
      </c>
      <c r="G13" t="s">
        <v>671</v>
      </c>
      <c r="H13" t="s">
        <v>701</v>
      </c>
      <c r="I13" t="s">
        <v>716</v>
      </c>
      <c r="J13" t="s">
        <v>1316</v>
      </c>
      <c r="K13">
        <v>44028</v>
      </c>
      <c r="L13">
        <v>0.042697153523098</v>
      </c>
      <c r="M13">
        <v>0.02355602001475199</v>
      </c>
      <c r="N13">
        <v>0.05</v>
      </c>
      <c r="O13">
        <v>0.1111877911436339</v>
      </c>
      <c r="P13" t="s">
        <v>635</v>
      </c>
      <c r="Q13" t="s">
        <v>635</v>
      </c>
      <c r="R13">
        <v>45</v>
      </c>
      <c r="S13">
        <v>0.3893617021276596</v>
      </c>
      <c r="T13">
        <v>47</v>
      </c>
      <c r="U13">
        <v>0.8901063829787235</v>
      </c>
      <c r="V13">
        <v>0.8189000000000001</v>
      </c>
      <c r="W13">
        <v>4.7</v>
      </c>
      <c r="X13">
        <v>1.83</v>
      </c>
      <c r="Y13">
        <v>-0.216899</v>
      </c>
      <c r="Z13">
        <v>0.6135986733001658</v>
      </c>
      <c r="AA13">
        <v>0.3317230273752013</v>
      </c>
      <c r="AB13">
        <v>0.5168810289389068</v>
      </c>
      <c r="AC13">
        <v>0.7845659163987138</v>
      </c>
      <c r="AD13">
        <v>0.837620578778135</v>
      </c>
    </row>
    <row r="14" spans="1:30">
      <c r="A14" s="1" t="s">
        <v>21</v>
      </c>
      <c r="B14">
        <f>HYPERLINK("https://www.suredividend.com/sure-analysis-FMCB/","Farmers &amp; Merchants Bancorp (California)")</f>
        <v>0</v>
      </c>
      <c r="C14">
        <v>712.5</v>
      </c>
      <c r="D14">
        <v>565.725</v>
      </c>
      <c r="E14" t="s">
        <v>662</v>
      </c>
      <c r="F14" t="s">
        <v>631</v>
      </c>
      <c r="G14" t="s">
        <v>671</v>
      </c>
      <c r="H14" t="s">
        <v>700</v>
      </c>
      <c r="I14" t="s">
        <v>717</v>
      </c>
      <c r="J14" t="s">
        <v>1312</v>
      </c>
      <c r="K14">
        <v>44045</v>
      </c>
      <c r="L14">
        <v>0.020210526315789</v>
      </c>
      <c r="M14">
        <v>0.04218267071942794</v>
      </c>
      <c r="N14">
        <v>0.05</v>
      </c>
      <c r="O14">
        <v>0.1103233511470856</v>
      </c>
      <c r="P14" t="s">
        <v>635</v>
      </c>
      <c r="Q14" t="s">
        <v>636</v>
      </c>
      <c r="R14">
        <v>55</v>
      </c>
      <c r="S14">
        <v>0.1972602739726027</v>
      </c>
      <c r="T14">
        <v>876</v>
      </c>
      <c r="U14">
        <v>0.8133561643835616</v>
      </c>
      <c r="V14">
        <v>71.8164</v>
      </c>
      <c r="W14">
        <v>73</v>
      </c>
      <c r="X14">
        <v>14.4</v>
      </c>
      <c r="Y14">
        <v>-0.079487</v>
      </c>
      <c r="Z14">
        <v>0.2719734660033167</v>
      </c>
      <c r="AA14">
        <v>0.5217391304347826</v>
      </c>
      <c r="AB14">
        <v>0.5168810289389068</v>
      </c>
      <c r="AC14">
        <v>0.8681672025723473</v>
      </c>
      <c r="AD14">
        <v>0.8311897106109325</v>
      </c>
    </row>
    <row r="15" spans="1:30">
      <c r="A15" s="1" t="s">
        <v>22</v>
      </c>
      <c r="B15">
        <f>HYPERLINK("https://www.suredividend.com/sure-analysis-PNGAY/","Ping An Insurance (Group) Co. of China Ltd.")</f>
        <v>0</v>
      </c>
      <c r="C15">
        <v>21.33</v>
      </c>
      <c r="D15">
        <v>79428.44070000001</v>
      </c>
      <c r="E15" t="s">
        <v>659</v>
      </c>
      <c r="F15" t="s">
        <v>631</v>
      </c>
      <c r="G15" t="s">
        <v>673</v>
      </c>
      <c r="H15" t="s">
        <v>700</v>
      </c>
      <c r="I15" t="s">
        <v>718</v>
      </c>
      <c r="J15" t="s">
        <v>1312</v>
      </c>
      <c r="K15">
        <v>43955</v>
      </c>
      <c r="L15">
        <v>0.018997655883731</v>
      </c>
      <c r="M15">
        <v>0.01519015186782569</v>
      </c>
      <c r="N15">
        <v>0.07000000000000001</v>
      </c>
      <c r="O15">
        <v>0.1089894973840095</v>
      </c>
      <c r="P15" t="s">
        <v>635</v>
      </c>
      <c r="Q15" t="s">
        <v>636</v>
      </c>
      <c r="R15">
        <v>9</v>
      </c>
      <c r="S15">
        <v>0.1761826086956522</v>
      </c>
      <c r="T15">
        <v>23</v>
      </c>
      <c r="U15">
        <v>0.927391304347826</v>
      </c>
      <c r="V15">
        <v>1.7499</v>
      </c>
      <c r="W15">
        <v>2.3</v>
      </c>
      <c r="X15">
        <v>0.40522</v>
      </c>
      <c r="Y15">
        <v>-0.07036099999999999</v>
      </c>
      <c r="Z15">
        <v>0.2470978441127695</v>
      </c>
      <c r="AA15">
        <v>0.537842190016103</v>
      </c>
      <c r="AB15">
        <v>0.7355305466237942</v>
      </c>
      <c r="AC15">
        <v>0.7411575562700965</v>
      </c>
      <c r="AD15">
        <v>0.8279742765273312</v>
      </c>
    </row>
    <row r="16" spans="1:30">
      <c r="A16" s="1" t="s">
        <v>23</v>
      </c>
      <c r="B16">
        <f>HYPERLINK("https://www.suredividend.com/sure-analysis-NFG/","National Fuel Gas Co.")</f>
        <v>0</v>
      </c>
      <c r="C16">
        <v>43.85</v>
      </c>
      <c r="D16">
        <v>4071.549449</v>
      </c>
      <c r="E16" t="s">
        <v>662</v>
      </c>
      <c r="F16" t="s">
        <v>631</v>
      </c>
      <c r="G16" t="s">
        <v>671</v>
      </c>
      <c r="H16" t="s">
        <v>702</v>
      </c>
      <c r="I16" t="s">
        <v>719</v>
      </c>
      <c r="J16" t="s">
        <v>1317</v>
      </c>
      <c r="K16">
        <v>43978</v>
      </c>
      <c r="L16">
        <v>0.039088675452311</v>
      </c>
      <c r="M16">
        <v>0.02659721399403825</v>
      </c>
      <c r="N16">
        <v>0.05</v>
      </c>
      <c r="O16">
        <v>0.1076331448496253</v>
      </c>
      <c r="P16" t="s">
        <v>635</v>
      </c>
      <c r="Q16" t="s">
        <v>635</v>
      </c>
      <c r="R16">
        <v>49</v>
      </c>
      <c r="S16">
        <v>0.6140350877192983</v>
      </c>
      <c r="T16">
        <v>50</v>
      </c>
      <c r="U16">
        <v>0.877</v>
      </c>
      <c r="V16">
        <v>0.7938000000000001</v>
      </c>
      <c r="W16">
        <v>2.85</v>
      </c>
      <c r="X16">
        <v>1.75</v>
      </c>
      <c r="Y16">
        <v>-0.098511</v>
      </c>
      <c r="Z16">
        <v>0.5671641791044776</v>
      </c>
      <c r="AA16">
        <v>0.4798711755233495</v>
      </c>
      <c r="AB16">
        <v>0.5168810289389068</v>
      </c>
      <c r="AC16">
        <v>0.7958199356913184</v>
      </c>
      <c r="AD16">
        <v>0.819935691318328</v>
      </c>
    </row>
    <row r="17" spans="1:30">
      <c r="A17" s="1" t="s">
        <v>24</v>
      </c>
      <c r="B17">
        <f>HYPERLINK("https://www.suredividend.com/sure-analysis-NOC/","Northrop Grumman Corp.")</f>
        <v>0</v>
      </c>
      <c r="C17">
        <v>341.85</v>
      </c>
      <c r="D17">
        <v>55970.89122</v>
      </c>
      <c r="E17" t="s">
        <v>660</v>
      </c>
      <c r="F17" t="s">
        <v>631</v>
      </c>
      <c r="G17" t="s">
        <v>671</v>
      </c>
      <c r="H17" t="s">
        <v>702</v>
      </c>
      <c r="I17" t="s">
        <v>720</v>
      </c>
      <c r="J17" t="s">
        <v>1315</v>
      </c>
      <c r="K17">
        <v>43964</v>
      </c>
      <c r="L17">
        <v>0.016114139338158</v>
      </c>
      <c r="M17">
        <v>-0.007031043716327678</v>
      </c>
      <c r="N17">
        <v>0.1</v>
      </c>
      <c r="O17">
        <v>0.1056849443177466</v>
      </c>
      <c r="P17" t="s">
        <v>635</v>
      </c>
      <c r="Q17" t="s">
        <v>381</v>
      </c>
      <c r="R17">
        <v>16</v>
      </c>
      <c r="S17">
        <v>0.2459090909090909</v>
      </c>
      <c r="T17">
        <v>330</v>
      </c>
      <c r="U17">
        <v>1.035909090909091</v>
      </c>
      <c r="V17">
        <v>14.2782</v>
      </c>
      <c r="W17">
        <v>22</v>
      </c>
      <c r="X17">
        <v>5.41</v>
      </c>
      <c r="Y17">
        <v>-0.107573</v>
      </c>
      <c r="Z17">
        <v>0.1641791044776119</v>
      </c>
      <c r="AA17">
        <v>0.4718196457326892</v>
      </c>
      <c r="AB17">
        <v>0.907556270096463</v>
      </c>
      <c r="AC17">
        <v>0.6157556270096464</v>
      </c>
      <c r="AD17">
        <v>0.8118971061093248</v>
      </c>
    </row>
    <row r="18" spans="1:30">
      <c r="A18" s="1" t="s">
        <v>25</v>
      </c>
      <c r="B18">
        <f>HYPERLINK("https://www.suredividend.com/sure-analysis-ORCL/","Oracle Corp.")</f>
        <v>0</v>
      </c>
      <c r="C18">
        <v>54.27</v>
      </c>
      <c r="D18">
        <v>168593.2792</v>
      </c>
      <c r="E18" t="s">
        <v>659</v>
      </c>
      <c r="F18" t="s">
        <v>631</v>
      </c>
      <c r="G18" t="s">
        <v>671</v>
      </c>
      <c r="H18" t="s">
        <v>702</v>
      </c>
      <c r="I18" t="s">
        <v>721</v>
      </c>
      <c r="J18" t="s">
        <v>1318</v>
      </c>
      <c r="K18">
        <v>44001</v>
      </c>
      <c r="L18">
        <v>0.017473607571896</v>
      </c>
      <c r="M18">
        <v>0.009864270270562026</v>
      </c>
      <c r="N18">
        <v>0.08</v>
      </c>
      <c r="O18">
        <v>0.1056460927116578</v>
      </c>
      <c r="P18" t="s">
        <v>635</v>
      </c>
      <c r="Q18" t="s">
        <v>381</v>
      </c>
      <c r="R18">
        <v>11</v>
      </c>
      <c r="S18">
        <v>0.237037037037037</v>
      </c>
      <c r="T18">
        <v>57</v>
      </c>
      <c r="U18">
        <v>0.9521052631578948</v>
      </c>
      <c r="V18">
        <v>3.1705</v>
      </c>
      <c r="W18">
        <v>4.05</v>
      </c>
      <c r="X18">
        <v>0.96</v>
      </c>
      <c r="Y18">
        <v>0.010613</v>
      </c>
      <c r="Z18">
        <v>0.2023217247097844</v>
      </c>
      <c r="AA18">
        <v>0.6505636070853462</v>
      </c>
      <c r="AB18">
        <v>0.8135048231511255</v>
      </c>
      <c r="AC18">
        <v>0.7090032154340836</v>
      </c>
      <c r="AD18">
        <v>0.8086816720257235</v>
      </c>
    </row>
    <row r="19" spans="1:30">
      <c r="A19" s="1" t="s">
        <v>26</v>
      </c>
      <c r="B19">
        <f>HYPERLINK("https://www.suredividend.com/sure-analysis-BEN/","Franklin Resources, Inc.")</f>
        <v>0</v>
      </c>
      <c r="C19">
        <v>22.67</v>
      </c>
      <c r="D19">
        <v>11086.08966</v>
      </c>
      <c r="E19" t="s">
        <v>661</v>
      </c>
      <c r="F19" t="s">
        <v>631</v>
      </c>
      <c r="G19" t="s">
        <v>671</v>
      </c>
      <c r="H19" t="s">
        <v>702</v>
      </c>
      <c r="I19" t="s">
        <v>722</v>
      </c>
      <c r="J19" t="s">
        <v>1312</v>
      </c>
      <c r="K19">
        <v>44042</v>
      </c>
      <c r="L19">
        <v>0.047810545129579</v>
      </c>
      <c r="M19">
        <v>0.01975935406099438</v>
      </c>
      <c r="N19">
        <v>0.04</v>
      </c>
      <c r="O19">
        <v>0.09917777097077951</v>
      </c>
      <c r="P19" t="s">
        <v>635</v>
      </c>
      <c r="Q19" t="s">
        <v>635</v>
      </c>
      <c r="R19">
        <v>40</v>
      </c>
      <c r="S19">
        <v>0.428</v>
      </c>
      <c r="T19">
        <v>25</v>
      </c>
      <c r="U19">
        <v>0.9068000000000001</v>
      </c>
      <c r="V19">
        <v>2.0521</v>
      </c>
      <c r="W19">
        <v>2.5</v>
      </c>
      <c r="X19">
        <v>1.07</v>
      </c>
      <c r="Y19">
        <v>-0.2702</v>
      </c>
      <c r="Z19">
        <v>0.6650082918739635</v>
      </c>
      <c r="AA19">
        <v>0.2737520128824477</v>
      </c>
      <c r="AB19">
        <v>0.3858520900321543</v>
      </c>
      <c r="AC19">
        <v>0.7572347266881029</v>
      </c>
      <c r="AD19">
        <v>0.7781350482315113</v>
      </c>
    </row>
    <row r="20" spans="1:30">
      <c r="A20" s="1" t="s">
        <v>27</v>
      </c>
      <c r="B20">
        <f>HYPERLINK("https://www.suredividend.com/sure-analysis-MCK/","McKesson Corp.")</f>
        <v>0</v>
      </c>
      <c r="C20">
        <v>151.31</v>
      </c>
      <c r="D20">
        <v>24716.1341</v>
      </c>
      <c r="E20" t="s">
        <v>663</v>
      </c>
      <c r="F20" t="s">
        <v>631</v>
      </c>
      <c r="G20" t="s">
        <v>671</v>
      </c>
      <c r="H20" t="s">
        <v>702</v>
      </c>
      <c r="I20" t="s">
        <v>723</v>
      </c>
      <c r="J20" t="s">
        <v>1316</v>
      </c>
      <c r="K20">
        <v>43986</v>
      </c>
      <c r="L20">
        <v>0.010761861014502</v>
      </c>
      <c r="M20">
        <v>0.02715431368004517</v>
      </c>
      <c r="N20">
        <v>0.06</v>
      </c>
      <c r="O20">
        <v>0.09811359076161508</v>
      </c>
      <c r="P20" t="s">
        <v>635</v>
      </c>
      <c r="Q20" t="s">
        <v>381</v>
      </c>
      <c r="R20">
        <v>12</v>
      </c>
      <c r="S20">
        <v>0.1138888888888889</v>
      </c>
      <c r="T20">
        <v>173</v>
      </c>
      <c r="U20">
        <v>0.8746242774566474</v>
      </c>
      <c r="V20">
        <v>5.6925</v>
      </c>
      <c r="W20">
        <v>14.4</v>
      </c>
      <c r="X20">
        <v>1.64</v>
      </c>
      <c r="Y20">
        <v>0.08185099999999999</v>
      </c>
      <c r="Z20">
        <v>0.08623548922056384</v>
      </c>
      <c r="AA20">
        <v>0.7278582930756844</v>
      </c>
      <c r="AB20">
        <v>0.6430868167202572</v>
      </c>
      <c r="AC20">
        <v>0.802250803858521</v>
      </c>
      <c r="AD20">
        <v>0.770096463022508</v>
      </c>
    </row>
    <row r="21" spans="1:30">
      <c r="A21" s="1" t="s">
        <v>28</v>
      </c>
      <c r="B21">
        <f>HYPERLINK("https://www.suredividend.com/sure-analysis-EV/","Eaton Vance Corp.")</f>
        <v>0</v>
      </c>
      <c r="C21">
        <v>39.25</v>
      </c>
      <c r="D21">
        <v>4467.657509</v>
      </c>
      <c r="E21" t="s">
        <v>659</v>
      </c>
      <c r="F21" t="s">
        <v>631</v>
      </c>
      <c r="G21" t="s">
        <v>671</v>
      </c>
      <c r="H21" t="s">
        <v>702</v>
      </c>
      <c r="I21" t="s">
        <v>724</v>
      </c>
      <c r="J21" t="s">
        <v>1312</v>
      </c>
      <c r="K21">
        <v>43986</v>
      </c>
      <c r="L21">
        <v>0.038412291933418</v>
      </c>
      <c r="M21">
        <v>-0.001277143377104717</v>
      </c>
      <c r="N21">
        <v>0.065</v>
      </c>
      <c r="O21">
        <v>0.09804501173272784</v>
      </c>
      <c r="P21" t="s">
        <v>635</v>
      </c>
      <c r="Q21" t="s">
        <v>635</v>
      </c>
      <c r="R21">
        <v>38</v>
      </c>
      <c r="S21">
        <v>0.4285714285714285</v>
      </c>
      <c r="T21">
        <v>39</v>
      </c>
      <c r="U21">
        <v>1.006410256410256</v>
      </c>
      <c r="V21">
        <v>3.552</v>
      </c>
      <c r="W21">
        <v>3.5</v>
      </c>
      <c r="X21">
        <v>1.5</v>
      </c>
      <c r="Y21">
        <v>-0.09296199999999999</v>
      </c>
      <c r="Z21">
        <v>0.5555555555555556</v>
      </c>
      <c r="AA21">
        <v>0.4943639291465379</v>
      </c>
      <c r="AB21">
        <v>0.6945337620578778</v>
      </c>
      <c r="AC21">
        <v>0.6463022508038585</v>
      </c>
      <c r="AD21">
        <v>0.7668810289389068</v>
      </c>
    </row>
    <row r="22" spans="1:30">
      <c r="A22" s="1" t="s">
        <v>29</v>
      </c>
      <c r="B22">
        <f>HYPERLINK("https://www.suredividend.com/sure-analysis-CSL/","Carlisle Cos., Inc.")</f>
        <v>0</v>
      </c>
      <c r="C22">
        <v>127.86</v>
      </c>
      <c r="D22">
        <v>6957.832904</v>
      </c>
      <c r="E22" t="s">
        <v>659</v>
      </c>
      <c r="F22" t="s">
        <v>631</v>
      </c>
      <c r="G22" t="s">
        <v>671</v>
      </c>
      <c r="H22" t="s">
        <v>702</v>
      </c>
      <c r="I22" t="s">
        <v>725</v>
      </c>
      <c r="J22" t="s">
        <v>1315</v>
      </c>
      <c r="K22">
        <v>44035</v>
      </c>
      <c r="L22">
        <v>0.015688735487919</v>
      </c>
      <c r="M22">
        <v>0.01242029314448767</v>
      </c>
      <c r="N22">
        <v>0.07000000000000001</v>
      </c>
      <c r="O22">
        <v>0.0965464764331716</v>
      </c>
      <c r="P22" t="s">
        <v>635</v>
      </c>
      <c r="Q22" t="s">
        <v>636</v>
      </c>
      <c r="R22">
        <v>43</v>
      </c>
      <c r="S22">
        <v>0.3636363636363636</v>
      </c>
      <c r="T22">
        <v>136</v>
      </c>
      <c r="U22">
        <v>0.9401470588235294</v>
      </c>
      <c r="V22">
        <v>6.723100000000001</v>
      </c>
      <c r="W22">
        <v>5.5</v>
      </c>
      <c r="X22">
        <v>2</v>
      </c>
      <c r="Y22">
        <v>-0.106253</v>
      </c>
      <c r="Z22">
        <v>0.1558872305140962</v>
      </c>
      <c r="AA22">
        <v>0.4734299516908212</v>
      </c>
      <c r="AB22">
        <v>0.7355305466237942</v>
      </c>
      <c r="AC22">
        <v>0.7186495176848875</v>
      </c>
      <c r="AD22">
        <v>0.7556270096463023</v>
      </c>
    </row>
    <row r="23" spans="1:30">
      <c r="A23" s="1" t="s">
        <v>30</v>
      </c>
      <c r="B23">
        <f>HYPERLINK("https://www.suredividend.com/sure-analysis-PRGO/","Perrigo Co. Plc")</f>
        <v>0</v>
      </c>
      <c r="C23">
        <v>52.97</v>
      </c>
      <c r="D23">
        <v>7061.4752</v>
      </c>
      <c r="E23" t="s">
        <v>665</v>
      </c>
      <c r="F23" t="s">
        <v>631</v>
      </c>
      <c r="G23" t="s">
        <v>674</v>
      </c>
      <c r="H23" t="s">
        <v>702</v>
      </c>
      <c r="I23" t="s">
        <v>726</v>
      </c>
      <c r="J23" t="s">
        <v>1316</v>
      </c>
      <c r="K23">
        <v>44052</v>
      </c>
      <c r="L23">
        <v>0.016814843448009</v>
      </c>
      <c r="M23">
        <v>0.02863186175358901</v>
      </c>
      <c r="N23">
        <v>0.05</v>
      </c>
      <c r="O23">
        <v>0.09418796054207501</v>
      </c>
      <c r="P23" t="s">
        <v>635</v>
      </c>
      <c r="Q23" t="s">
        <v>381</v>
      </c>
      <c r="R23">
        <v>18</v>
      </c>
      <c r="S23">
        <v>0.2148148148148148</v>
      </c>
      <c r="T23">
        <v>61</v>
      </c>
      <c r="U23">
        <v>0.8683606557377049</v>
      </c>
      <c r="V23">
        <v>1.7638</v>
      </c>
      <c r="W23">
        <v>4.05</v>
      </c>
      <c r="X23">
        <v>0.87</v>
      </c>
      <c r="Y23">
        <v>0.072491</v>
      </c>
      <c r="Z23">
        <v>0.1840796019900497</v>
      </c>
      <c r="AA23">
        <v>0.7149758454106281</v>
      </c>
      <c r="AB23">
        <v>0.5168810289389068</v>
      </c>
      <c r="AC23">
        <v>0.8054662379421222</v>
      </c>
      <c r="AD23">
        <v>0.7443729903536977</v>
      </c>
    </row>
    <row r="24" spans="1:30">
      <c r="A24" s="1" t="s">
        <v>31</v>
      </c>
      <c r="B24">
        <f>HYPERLINK("https://www.suredividend.com/sure-analysis-BKH/","Black Hills Corp.")</f>
        <v>0</v>
      </c>
      <c r="C24">
        <v>58.77</v>
      </c>
      <c r="D24">
        <v>3757.188564</v>
      </c>
      <c r="E24" t="s">
        <v>659</v>
      </c>
      <c r="F24" t="s">
        <v>631</v>
      </c>
      <c r="G24" t="s">
        <v>671</v>
      </c>
      <c r="H24" t="s">
        <v>702</v>
      </c>
      <c r="I24" t="s">
        <v>727</v>
      </c>
      <c r="J24" t="s">
        <v>1314</v>
      </c>
      <c r="K24">
        <v>43962</v>
      </c>
      <c r="L24">
        <v>0.03523714094856301</v>
      </c>
      <c r="M24">
        <v>0.01719649878449725</v>
      </c>
      <c r="N24">
        <v>0.04</v>
      </c>
      <c r="O24">
        <v>0.08964646193837078</v>
      </c>
      <c r="P24" t="s">
        <v>635</v>
      </c>
      <c r="Q24" t="s">
        <v>635</v>
      </c>
      <c r="R24">
        <v>48</v>
      </c>
      <c r="S24">
        <v>0.5943661971830986</v>
      </c>
      <c r="T24">
        <v>64</v>
      </c>
      <c r="U24">
        <v>0.91828125</v>
      </c>
      <c r="V24">
        <v>3.165</v>
      </c>
      <c r="W24">
        <v>3.55</v>
      </c>
      <c r="X24">
        <v>2.11</v>
      </c>
      <c r="Y24">
        <v>-0.243368</v>
      </c>
      <c r="Z24">
        <v>0.5091210613598673</v>
      </c>
      <c r="AA24">
        <v>0.2995169082125604</v>
      </c>
      <c r="AB24">
        <v>0.3858520900321543</v>
      </c>
      <c r="AC24">
        <v>0.752411575562701</v>
      </c>
      <c r="AD24">
        <v>0.7138263665594856</v>
      </c>
    </row>
    <row r="25" spans="1:30">
      <c r="A25" s="1" t="s">
        <v>32</v>
      </c>
      <c r="B25">
        <f>HYPERLINK("https://www.suredividend.com/sure-analysis-UGI/","UGI Corp.")</f>
        <v>0</v>
      </c>
      <c r="C25">
        <v>34.97</v>
      </c>
      <c r="D25">
        <v>7341.23204</v>
      </c>
      <c r="E25" t="s">
        <v>666</v>
      </c>
      <c r="F25" t="s">
        <v>631</v>
      </c>
      <c r="G25" t="s">
        <v>671</v>
      </c>
      <c r="H25" t="s">
        <v>702</v>
      </c>
      <c r="I25" t="s">
        <v>728</v>
      </c>
      <c r="J25" t="s">
        <v>1314</v>
      </c>
      <c r="K25">
        <v>44013</v>
      </c>
      <c r="L25">
        <v>0.027809307604994</v>
      </c>
      <c r="M25">
        <v>0.0001715167901488179</v>
      </c>
      <c r="N25">
        <v>0.056</v>
      </c>
      <c r="O25">
        <v>0.0869183139460985</v>
      </c>
      <c r="P25" t="s">
        <v>635</v>
      </c>
      <c r="Q25" t="s">
        <v>636</v>
      </c>
      <c r="R25">
        <v>32</v>
      </c>
      <c r="S25">
        <v>0.4298245614035088</v>
      </c>
      <c r="T25">
        <v>35</v>
      </c>
      <c r="U25">
        <v>0.9991428571428571</v>
      </c>
      <c r="V25">
        <v>2.2292</v>
      </c>
      <c r="W25">
        <v>2.28</v>
      </c>
      <c r="X25">
        <v>0.98</v>
      </c>
      <c r="Y25">
        <v>-0.284568</v>
      </c>
      <c r="Z25">
        <v>0.3963515754560531</v>
      </c>
      <c r="AA25">
        <v>0.2560386473429952</v>
      </c>
      <c r="AB25">
        <v>0.5932475884244373</v>
      </c>
      <c r="AC25">
        <v>0.6559485530546624</v>
      </c>
      <c r="AD25">
        <v>0.6993569131832796</v>
      </c>
    </row>
    <row r="26" spans="1:30">
      <c r="A26" s="1" t="s">
        <v>33</v>
      </c>
      <c r="B26">
        <f>HYPERLINK("https://www.suredividend.com/sure-analysis-TCEHY/","Tencent Holdings Ltd.")</f>
        <v>0</v>
      </c>
      <c r="C26">
        <v>64.89</v>
      </c>
      <c r="D26">
        <v>616411.041827</v>
      </c>
      <c r="E26" t="s">
        <v>664</v>
      </c>
      <c r="F26" t="s">
        <v>631</v>
      </c>
      <c r="G26" t="s">
        <v>673</v>
      </c>
      <c r="H26" t="s">
        <v>700</v>
      </c>
      <c r="I26" t="s">
        <v>729</v>
      </c>
      <c r="J26" t="s">
        <v>1319</v>
      </c>
      <c r="K26">
        <v>43997</v>
      </c>
      <c r="L26">
        <v>0.002385575589459</v>
      </c>
      <c r="M26">
        <v>-0.06649636907788425</v>
      </c>
      <c r="N26">
        <v>0.16</v>
      </c>
      <c r="O26">
        <v>0.08622984745481044</v>
      </c>
      <c r="P26" t="s">
        <v>635</v>
      </c>
      <c r="Q26" t="s">
        <v>420</v>
      </c>
      <c r="R26">
        <v>10</v>
      </c>
      <c r="S26">
        <v>0.1005194805194805</v>
      </c>
      <c r="T26">
        <v>46</v>
      </c>
      <c r="U26">
        <v>1.410652173913044</v>
      </c>
      <c r="V26">
        <v>1.4406</v>
      </c>
      <c r="W26">
        <v>1.54</v>
      </c>
      <c r="X26">
        <v>0.1548</v>
      </c>
      <c r="Y26">
        <v>0.533303</v>
      </c>
      <c r="Z26">
        <v>0.008291873963515755</v>
      </c>
      <c r="AA26">
        <v>0.9629629629629629</v>
      </c>
      <c r="AB26">
        <v>0.9855305466237942</v>
      </c>
      <c r="AC26">
        <v>0.2234726688102894</v>
      </c>
      <c r="AD26">
        <v>0.6929260450160771</v>
      </c>
    </row>
    <row r="27" spans="1:30">
      <c r="A27" s="1" t="s">
        <v>34</v>
      </c>
      <c r="B27">
        <f>HYPERLINK("https://www.suredividend.com/sure-analysis-AFL/","Aflac, Inc.")</f>
        <v>0</v>
      </c>
      <c r="C27">
        <v>38.03</v>
      </c>
      <c r="D27">
        <v>26712.81264</v>
      </c>
      <c r="E27" t="s">
        <v>661</v>
      </c>
      <c r="F27" t="s">
        <v>631</v>
      </c>
      <c r="G27" t="s">
        <v>671</v>
      </c>
      <c r="H27" t="s">
        <v>702</v>
      </c>
      <c r="I27" t="s">
        <v>730</v>
      </c>
      <c r="J27" t="s">
        <v>1312</v>
      </c>
      <c r="K27">
        <v>44042</v>
      </c>
      <c r="L27">
        <v>0.029356818788364</v>
      </c>
      <c r="M27">
        <v>0.02959226268374815</v>
      </c>
      <c r="N27">
        <v>0.03</v>
      </c>
      <c r="O27">
        <v>0.08482260856530632</v>
      </c>
      <c r="P27" t="s">
        <v>635</v>
      </c>
      <c r="Q27" t="s">
        <v>635</v>
      </c>
      <c r="R27">
        <v>37</v>
      </c>
      <c r="S27">
        <v>0.25</v>
      </c>
      <c r="T27">
        <v>44</v>
      </c>
      <c r="U27">
        <v>0.8643181818181819</v>
      </c>
      <c r="V27">
        <v>4.0177</v>
      </c>
      <c r="W27">
        <v>4.4</v>
      </c>
      <c r="X27">
        <v>1.1</v>
      </c>
      <c r="Y27">
        <v>-0.2798</v>
      </c>
      <c r="Z27">
        <v>0.4212271973466003</v>
      </c>
      <c r="AA27">
        <v>0.2657004830917875</v>
      </c>
      <c r="AB27">
        <v>0.2540192926045016</v>
      </c>
      <c r="AC27">
        <v>0.8118971061093248</v>
      </c>
      <c r="AD27">
        <v>0.6832797427652733</v>
      </c>
    </row>
    <row r="28" spans="1:30">
      <c r="A28" s="1" t="s">
        <v>35</v>
      </c>
      <c r="B28">
        <f>HYPERLINK("https://www.suredividend.com/sure-analysis-LOW/","Lowe's Cos., Inc.")</f>
        <v>0</v>
      </c>
      <c r="C28">
        <v>153.87</v>
      </c>
      <c r="D28">
        <v>116059.06116</v>
      </c>
      <c r="E28" t="s">
        <v>667</v>
      </c>
      <c r="F28" t="s">
        <v>631</v>
      </c>
      <c r="G28" t="s">
        <v>671</v>
      </c>
      <c r="H28" t="s">
        <v>702</v>
      </c>
      <c r="I28" t="s">
        <v>731</v>
      </c>
      <c r="J28" t="s">
        <v>1313</v>
      </c>
      <c r="K28">
        <v>44000</v>
      </c>
      <c r="L28">
        <v>0.014311735623211</v>
      </c>
      <c r="M28">
        <v>-0.03019594543781423</v>
      </c>
      <c r="N28">
        <v>0.1</v>
      </c>
      <c r="O28">
        <v>0.08216101845330392</v>
      </c>
      <c r="P28" t="s">
        <v>635</v>
      </c>
      <c r="Q28" t="s">
        <v>636</v>
      </c>
      <c r="R28">
        <v>57</v>
      </c>
      <c r="S28">
        <v>0.3333333333333334</v>
      </c>
      <c r="T28">
        <v>132</v>
      </c>
      <c r="U28">
        <v>1.165681818181818</v>
      </c>
      <c r="V28">
        <v>5.9298</v>
      </c>
      <c r="W28">
        <v>6.6</v>
      </c>
      <c r="X28">
        <v>2.2</v>
      </c>
      <c r="Y28">
        <v>0.5206529999999999</v>
      </c>
      <c r="Z28">
        <v>0.142620232172471</v>
      </c>
      <c r="AA28">
        <v>0.9597423510466989</v>
      </c>
      <c r="AB28">
        <v>0.907556270096463</v>
      </c>
      <c r="AC28">
        <v>0.4662379421221865</v>
      </c>
      <c r="AD28">
        <v>0.6704180064308681</v>
      </c>
    </row>
    <row r="29" spans="1:30">
      <c r="A29" s="1" t="s">
        <v>36</v>
      </c>
      <c r="B29">
        <f>HYPERLINK("https://www.suredividend.com/sure-analysis-GD/","General Dynamics Corp.")</f>
        <v>0</v>
      </c>
      <c r="C29">
        <v>158.85</v>
      </c>
      <c r="D29">
        <v>44922.07392</v>
      </c>
      <c r="E29" t="s">
        <v>660</v>
      </c>
      <c r="F29" t="s">
        <v>631</v>
      </c>
      <c r="G29" t="s">
        <v>671</v>
      </c>
      <c r="H29" t="s">
        <v>702</v>
      </c>
      <c r="I29" t="s">
        <v>732</v>
      </c>
      <c r="J29" t="s">
        <v>1315</v>
      </c>
      <c r="K29">
        <v>44049</v>
      </c>
      <c r="L29">
        <v>0.027082268778742</v>
      </c>
      <c r="M29">
        <v>-0.004895028864266848</v>
      </c>
      <c r="N29">
        <v>0.06</v>
      </c>
      <c r="O29">
        <v>0.08176529325995885</v>
      </c>
      <c r="P29" t="s">
        <v>635</v>
      </c>
      <c r="Q29" t="s">
        <v>636</v>
      </c>
      <c r="R29">
        <v>28</v>
      </c>
      <c r="S29">
        <v>0.383710407239819</v>
      </c>
      <c r="T29">
        <v>155</v>
      </c>
      <c r="U29">
        <v>1.024838709677419</v>
      </c>
      <c r="V29">
        <v>11.3268</v>
      </c>
      <c r="W29">
        <v>11.05</v>
      </c>
      <c r="X29">
        <v>4.24</v>
      </c>
      <c r="Y29">
        <v>-0.169409</v>
      </c>
      <c r="Z29">
        <v>0.3797678275290216</v>
      </c>
      <c r="AA29">
        <v>0.3993558776167472</v>
      </c>
      <c r="AB29">
        <v>0.6430868167202572</v>
      </c>
      <c r="AC29">
        <v>0.6318327974276527</v>
      </c>
      <c r="AD29">
        <v>0.662379421221865</v>
      </c>
    </row>
    <row r="30" spans="1:30">
      <c r="A30" s="1" t="s">
        <v>37</v>
      </c>
      <c r="B30">
        <f>HYPERLINK("https://www.suredividend.com/sure-analysis-UNH/","UnitedHealth Group, Inc.")</f>
        <v>0</v>
      </c>
      <c r="C30">
        <v>315.55</v>
      </c>
      <c r="D30">
        <v>303252.2176</v>
      </c>
      <c r="E30" t="s">
        <v>663</v>
      </c>
      <c r="F30" t="s">
        <v>631</v>
      </c>
      <c r="G30" t="s">
        <v>671</v>
      </c>
      <c r="H30" t="s">
        <v>702</v>
      </c>
      <c r="I30" t="s">
        <v>733</v>
      </c>
      <c r="J30" t="s">
        <v>1316</v>
      </c>
      <c r="K30">
        <v>44028</v>
      </c>
      <c r="L30">
        <v>0.014070824193042</v>
      </c>
      <c r="M30">
        <v>-0.03504480519676756</v>
      </c>
      <c r="N30">
        <v>0.1</v>
      </c>
      <c r="O30">
        <v>0.07963321588616745</v>
      </c>
      <c r="P30" t="s">
        <v>635</v>
      </c>
      <c r="Q30" t="s">
        <v>381</v>
      </c>
      <c r="R30">
        <v>12</v>
      </c>
      <c r="S30">
        <v>0.2721212121212122</v>
      </c>
      <c r="T30">
        <v>264</v>
      </c>
      <c r="U30">
        <v>1.195265151515152</v>
      </c>
      <c r="V30">
        <v>18.0208</v>
      </c>
      <c r="W30">
        <v>16.5</v>
      </c>
      <c r="X30">
        <v>4.49</v>
      </c>
      <c r="Y30">
        <v>0.280309</v>
      </c>
      <c r="Z30">
        <v>0.1359867330016584</v>
      </c>
      <c r="AA30">
        <v>0.8760064412238325</v>
      </c>
      <c r="AB30">
        <v>0.907556270096463</v>
      </c>
      <c r="AC30">
        <v>0.4292604501607717</v>
      </c>
      <c r="AD30">
        <v>0.6414790996784566</v>
      </c>
    </row>
    <row r="31" spans="1:30">
      <c r="A31" s="1" t="s">
        <v>38</v>
      </c>
      <c r="B31">
        <f>HYPERLINK("https://www.suredividend.com/sure-analysis-CPKF/","Chesapeake Financial Shares, Inc. (Maryland)")</f>
        <v>0</v>
      </c>
      <c r="C31">
        <v>18.6</v>
      </c>
      <c r="D31">
        <v>91.80085800000001</v>
      </c>
      <c r="E31" t="s">
        <v>663</v>
      </c>
      <c r="F31" t="s">
        <v>631</v>
      </c>
      <c r="G31" t="s">
        <v>671</v>
      </c>
      <c r="H31" t="s">
        <v>700</v>
      </c>
      <c r="I31" t="s">
        <v>734</v>
      </c>
      <c r="J31" t="s">
        <v>1312</v>
      </c>
      <c r="K31">
        <v>44046</v>
      </c>
      <c r="L31">
        <v>0.026657705930779</v>
      </c>
      <c r="M31">
        <v>0.03414621632574555</v>
      </c>
      <c r="N31">
        <v>0.02</v>
      </c>
      <c r="O31">
        <v>0.07826778016451819</v>
      </c>
      <c r="P31" t="s">
        <v>635</v>
      </c>
      <c r="Q31" t="s">
        <v>635</v>
      </c>
      <c r="R31">
        <v>28</v>
      </c>
      <c r="S31">
        <v>0.2109929065159575</v>
      </c>
      <c r="T31">
        <v>22</v>
      </c>
      <c r="U31">
        <v>0.8454545454545456</v>
      </c>
      <c r="V31">
        <v>2.1447</v>
      </c>
      <c r="W31">
        <v>2.35</v>
      </c>
      <c r="X31">
        <v>0.4958333303125</v>
      </c>
      <c r="Y31">
        <v>-0.16295</v>
      </c>
      <c r="Z31">
        <v>0.3781094527363184</v>
      </c>
      <c r="AA31">
        <v>0.4106280193236715</v>
      </c>
      <c r="AB31">
        <v>0.157556270096463</v>
      </c>
      <c r="AC31">
        <v>0.8311897106109325</v>
      </c>
      <c r="AD31">
        <v>0.6286173633440515</v>
      </c>
    </row>
    <row r="32" spans="1:30">
      <c r="A32" s="1" t="s">
        <v>39</v>
      </c>
      <c r="B32">
        <f>HYPERLINK("https://www.suredividend.com/sure-analysis-AIZ/","Assurant, Inc.")</f>
        <v>0</v>
      </c>
      <c r="C32">
        <v>124.96</v>
      </c>
      <c r="D32">
        <v>7408.81566</v>
      </c>
      <c r="E32" t="s">
        <v>662</v>
      </c>
      <c r="F32" t="s">
        <v>631</v>
      </c>
      <c r="G32" t="s">
        <v>671</v>
      </c>
      <c r="H32" t="s">
        <v>702</v>
      </c>
      <c r="I32" t="s">
        <v>735</v>
      </c>
      <c r="J32" t="s">
        <v>1312</v>
      </c>
      <c r="K32">
        <v>43969</v>
      </c>
      <c r="L32">
        <v>0.020048309178743</v>
      </c>
      <c r="M32">
        <v>0.007939504904832306</v>
      </c>
      <c r="N32">
        <v>0.05</v>
      </c>
      <c r="O32">
        <v>0.07702994319369871</v>
      </c>
      <c r="P32" t="s">
        <v>635</v>
      </c>
      <c r="Q32" t="s">
        <v>636</v>
      </c>
      <c r="R32">
        <v>16</v>
      </c>
      <c r="S32">
        <v>0.2648936170212766</v>
      </c>
      <c r="T32">
        <v>130</v>
      </c>
      <c r="U32">
        <v>0.9612307692307692</v>
      </c>
      <c r="V32">
        <v>6.3959</v>
      </c>
      <c r="W32">
        <v>9.4</v>
      </c>
      <c r="X32">
        <v>2.49</v>
      </c>
      <c r="Y32">
        <v>0.02302</v>
      </c>
      <c r="Z32">
        <v>0.2686567164179104</v>
      </c>
      <c r="AA32">
        <v>0.6666666666666667</v>
      </c>
      <c r="AB32">
        <v>0.5168810289389068</v>
      </c>
      <c r="AC32">
        <v>0.697749196141479</v>
      </c>
      <c r="AD32">
        <v>0.6189710610932476</v>
      </c>
    </row>
    <row r="33" spans="1:30">
      <c r="A33" s="1" t="s">
        <v>40</v>
      </c>
      <c r="B33">
        <f>HYPERLINK("https://www.suredividend.com/sure-analysis-SYK/","Stryker Corp.")</f>
        <v>0</v>
      </c>
      <c r="C33">
        <v>188.92</v>
      </c>
      <c r="D33">
        <v>70489.97802</v>
      </c>
      <c r="E33" t="s">
        <v>665</v>
      </c>
      <c r="F33" t="s">
        <v>631</v>
      </c>
      <c r="G33" t="s">
        <v>671</v>
      </c>
      <c r="H33" t="s">
        <v>702</v>
      </c>
      <c r="I33" t="s">
        <v>736</v>
      </c>
      <c r="J33" t="s">
        <v>1316</v>
      </c>
      <c r="K33">
        <v>44043</v>
      </c>
      <c r="L33">
        <v>0.011962487344807</v>
      </c>
      <c r="M33">
        <v>-0.05023757505132787</v>
      </c>
      <c r="N33">
        <v>0.12</v>
      </c>
      <c r="O33">
        <v>0.07692644794358894</v>
      </c>
      <c r="P33" t="s">
        <v>635</v>
      </c>
      <c r="Q33" t="s">
        <v>381</v>
      </c>
      <c r="R33">
        <v>26</v>
      </c>
      <c r="S33">
        <v>0.3529874213836478</v>
      </c>
      <c r="T33">
        <v>146</v>
      </c>
      <c r="U33">
        <v>1.293972602739726</v>
      </c>
      <c r="V33">
        <v>4.2761</v>
      </c>
      <c r="W33">
        <v>6.36</v>
      </c>
      <c r="X33">
        <v>2.245</v>
      </c>
      <c r="Y33">
        <v>-0.120529</v>
      </c>
      <c r="Z33">
        <v>0.0978441127694859</v>
      </c>
      <c r="AA33">
        <v>0.4524959742351047</v>
      </c>
      <c r="AB33">
        <v>0.9485530546623794</v>
      </c>
      <c r="AC33">
        <v>0.3215434083601286</v>
      </c>
      <c r="AD33">
        <v>0.617363344051447</v>
      </c>
    </row>
    <row r="34" spans="1:30">
      <c r="A34" s="1" t="s">
        <v>41</v>
      </c>
      <c r="B34">
        <f>HYPERLINK("https://www.suredividend.com/sure-analysis-AMAT/","Applied Materials, Inc.")</f>
        <v>0</v>
      </c>
      <c r="C34">
        <v>64.47499999999999</v>
      </c>
      <c r="D34">
        <v>59791.08996</v>
      </c>
      <c r="E34" t="s">
        <v>663</v>
      </c>
      <c r="F34" t="s">
        <v>631</v>
      </c>
      <c r="G34" t="s">
        <v>671</v>
      </c>
      <c r="H34" t="s">
        <v>701</v>
      </c>
      <c r="I34" t="s">
        <v>737</v>
      </c>
      <c r="J34" t="s">
        <v>1318</v>
      </c>
      <c r="K34">
        <v>43967</v>
      </c>
      <c r="L34">
        <v>0.013028816676885</v>
      </c>
      <c r="M34">
        <v>-0.02434404202428919</v>
      </c>
      <c r="N34">
        <v>0.09</v>
      </c>
      <c r="O34">
        <v>0.07663673022352602</v>
      </c>
      <c r="P34" t="s">
        <v>635</v>
      </c>
      <c r="Q34" t="s">
        <v>420</v>
      </c>
      <c r="R34">
        <v>3</v>
      </c>
      <c r="S34">
        <v>0.2236842105263158</v>
      </c>
      <c r="T34">
        <v>57</v>
      </c>
      <c r="U34">
        <v>1.131140350877193</v>
      </c>
      <c r="V34">
        <v>3.1705</v>
      </c>
      <c r="W34">
        <v>3.8</v>
      </c>
      <c r="X34">
        <v>0.85</v>
      </c>
      <c r="Y34">
        <v>0.328249</v>
      </c>
      <c r="Z34">
        <v>0.1194029850746269</v>
      </c>
      <c r="AA34">
        <v>0.8985507246376812</v>
      </c>
      <c r="AB34">
        <v>0.8657556270096463</v>
      </c>
      <c r="AC34">
        <v>0.5</v>
      </c>
      <c r="AD34">
        <v>0.6141479099678456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71.92</v>
      </c>
      <c r="D35">
        <v>1296.0675</v>
      </c>
      <c r="E35" t="s">
        <v>659</v>
      </c>
      <c r="F35" t="s">
        <v>631</v>
      </c>
      <c r="G35" t="s">
        <v>671</v>
      </c>
      <c r="H35" t="s">
        <v>702</v>
      </c>
      <c r="I35" t="s">
        <v>738</v>
      </c>
      <c r="J35" t="s">
        <v>1315</v>
      </c>
      <c r="K35">
        <v>44049</v>
      </c>
      <c r="L35">
        <v>0.012535612535612</v>
      </c>
      <c r="M35">
        <v>-0.01407239909997104</v>
      </c>
      <c r="N35">
        <v>0.08</v>
      </c>
      <c r="O35">
        <v>0.075606085662139</v>
      </c>
      <c r="P35" t="s">
        <v>635</v>
      </c>
      <c r="Q35" t="s">
        <v>381</v>
      </c>
      <c r="R35">
        <v>47</v>
      </c>
      <c r="S35">
        <v>0.3384615384615384</v>
      </c>
      <c r="T35">
        <v>67</v>
      </c>
      <c r="U35">
        <v>1.073432835820896</v>
      </c>
      <c r="V35">
        <v>2.4674</v>
      </c>
      <c r="W35">
        <v>2.6</v>
      </c>
      <c r="X35">
        <v>0.88</v>
      </c>
      <c r="Y35">
        <v>-0.030785</v>
      </c>
      <c r="Z35">
        <v>0.1127694859038143</v>
      </c>
      <c r="AA35">
        <v>0.5942028985507246</v>
      </c>
      <c r="AB35">
        <v>0.8135048231511255</v>
      </c>
      <c r="AC35">
        <v>0.5643086816720257</v>
      </c>
      <c r="AD35">
        <v>0.5964630225080385</v>
      </c>
    </row>
    <row r="36" spans="1:30">
      <c r="A36" s="1" t="s">
        <v>43</v>
      </c>
      <c r="B36">
        <f>HYPERLINK("https://www.suredividend.com/sure-analysis-PII/","Polaris Inc.")</f>
        <v>0</v>
      </c>
      <c r="C36">
        <v>107.26</v>
      </c>
      <c r="D36">
        <v>6459.557435</v>
      </c>
      <c r="E36" t="s">
        <v>661</v>
      </c>
      <c r="F36" t="s">
        <v>631</v>
      </c>
      <c r="G36" t="s">
        <v>671</v>
      </c>
      <c r="H36" t="s">
        <v>702</v>
      </c>
      <c r="I36" t="s">
        <v>739</v>
      </c>
      <c r="J36" t="s">
        <v>1313</v>
      </c>
      <c r="K36">
        <v>44042</v>
      </c>
      <c r="L36">
        <v>0.023359604975785</v>
      </c>
      <c r="M36">
        <v>-0.006153965192358779</v>
      </c>
      <c r="N36">
        <v>0.06</v>
      </c>
      <c r="O36">
        <v>0.0750167396664807</v>
      </c>
      <c r="P36" t="s">
        <v>635</v>
      </c>
      <c r="Q36" t="s">
        <v>636</v>
      </c>
      <c r="R36">
        <v>25</v>
      </c>
      <c r="S36">
        <v>0.3784615384615385</v>
      </c>
      <c r="T36">
        <v>104</v>
      </c>
      <c r="U36">
        <v>1.031346153846154</v>
      </c>
      <c r="V36">
        <v>-0.864</v>
      </c>
      <c r="W36">
        <v>6.5</v>
      </c>
      <c r="X36">
        <v>2.46</v>
      </c>
      <c r="Y36">
        <v>0.141388</v>
      </c>
      <c r="Z36">
        <v>0.318407960199005</v>
      </c>
      <c r="AA36">
        <v>0.7826086956521739</v>
      </c>
      <c r="AB36">
        <v>0.6430868167202572</v>
      </c>
      <c r="AC36">
        <v>0.6221864951768489</v>
      </c>
      <c r="AD36">
        <v>0.5932475884244373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53.7</v>
      </c>
      <c r="D37">
        <v>7804.16154</v>
      </c>
      <c r="E37" t="s">
        <v>663</v>
      </c>
      <c r="F37" t="s">
        <v>631</v>
      </c>
      <c r="G37" t="s">
        <v>671</v>
      </c>
      <c r="H37" t="s">
        <v>701</v>
      </c>
      <c r="I37" t="s">
        <v>740</v>
      </c>
      <c r="J37" t="s">
        <v>1312</v>
      </c>
      <c r="K37">
        <v>44038</v>
      </c>
      <c r="L37">
        <v>0.013140604467805</v>
      </c>
      <c r="M37">
        <v>-0.01815177606189111</v>
      </c>
      <c r="N37">
        <v>0.08</v>
      </c>
      <c r="O37">
        <v>0.07316126335010154</v>
      </c>
      <c r="P37" t="s">
        <v>635</v>
      </c>
      <c r="Q37" t="s">
        <v>381</v>
      </c>
      <c r="R37">
        <v>29</v>
      </c>
      <c r="S37">
        <v>0.2413793103448276</v>
      </c>
      <c r="T37">
        <v>49</v>
      </c>
      <c r="U37">
        <v>1.095918367346939</v>
      </c>
      <c r="V37">
        <v>3.1498</v>
      </c>
      <c r="W37">
        <v>2.9</v>
      </c>
      <c r="X37">
        <v>0.7000000000000001</v>
      </c>
      <c r="Y37">
        <v>-0.08062799999999999</v>
      </c>
      <c r="Z37">
        <v>0.12106135986733</v>
      </c>
      <c r="AA37">
        <v>0.5136876006441223</v>
      </c>
      <c r="AB37">
        <v>0.8135048231511255</v>
      </c>
      <c r="AC37">
        <v>0.5418006430868167</v>
      </c>
      <c r="AD37">
        <v>0.5819935691318328</v>
      </c>
    </row>
    <row r="38" spans="1:30">
      <c r="A38" s="1" t="s">
        <v>45</v>
      </c>
      <c r="B38">
        <f>HYPERLINK("https://www.suredividend.com/sure-analysis-CB/","Chubb Ltd.")</f>
        <v>0</v>
      </c>
      <c r="C38">
        <v>132.01</v>
      </c>
      <c r="D38">
        <v>59110.89136</v>
      </c>
      <c r="E38" t="s">
        <v>659</v>
      </c>
      <c r="F38" t="s">
        <v>631</v>
      </c>
      <c r="G38" t="s">
        <v>675</v>
      </c>
      <c r="H38" t="s">
        <v>702</v>
      </c>
      <c r="I38" t="s">
        <v>741</v>
      </c>
      <c r="J38" t="s">
        <v>1312</v>
      </c>
      <c r="K38">
        <v>44043</v>
      </c>
      <c r="L38">
        <v>0.023136835675015</v>
      </c>
      <c r="M38">
        <v>0.001495407193705445</v>
      </c>
      <c r="N38">
        <v>0.05</v>
      </c>
      <c r="O38">
        <v>0.07289877195102723</v>
      </c>
      <c r="P38" t="s">
        <v>635</v>
      </c>
      <c r="Q38" t="s">
        <v>636</v>
      </c>
      <c r="R38">
        <v>27</v>
      </c>
      <c r="S38">
        <v>0.3564705882352941</v>
      </c>
      <c r="T38">
        <v>133</v>
      </c>
      <c r="U38">
        <v>0.9925563909774435</v>
      </c>
      <c r="V38">
        <v>4.8134</v>
      </c>
      <c r="W38">
        <v>8.5</v>
      </c>
      <c r="X38">
        <v>3.03</v>
      </c>
      <c r="Y38">
        <v>-0.176385</v>
      </c>
      <c r="Z38">
        <v>0.3150912106135987</v>
      </c>
      <c r="AA38">
        <v>0.3896940418679549</v>
      </c>
      <c r="AB38">
        <v>0.5168810289389068</v>
      </c>
      <c r="AC38">
        <v>0.662379421221865</v>
      </c>
      <c r="AD38">
        <v>0.5803858520900321</v>
      </c>
    </row>
    <row r="39" spans="1:30">
      <c r="A39" s="1" t="s">
        <v>46</v>
      </c>
      <c r="B39">
        <f>HYPERLINK("https://www.suredividend.com/sure-analysis-ADM/","Archer-Daniels-Midland Co.")</f>
        <v>0</v>
      </c>
      <c r="C39">
        <v>44.39</v>
      </c>
      <c r="D39">
        <v>24720.73503</v>
      </c>
      <c r="E39" t="s">
        <v>668</v>
      </c>
      <c r="F39" t="s">
        <v>631</v>
      </c>
      <c r="G39" t="s">
        <v>671</v>
      </c>
      <c r="H39" t="s">
        <v>702</v>
      </c>
      <c r="I39" t="s">
        <v>742</v>
      </c>
      <c r="J39" t="s">
        <v>1320</v>
      </c>
      <c r="K39">
        <v>43958</v>
      </c>
      <c r="L39">
        <v>0.031917284783097</v>
      </c>
      <c r="M39">
        <v>0.002733383082955232</v>
      </c>
      <c r="N39">
        <v>0.04</v>
      </c>
      <c r="O39">
        <v>0.07242827297839516</v>
      </c>
      <c r="P39" t="s">
        <v>635</v>
      </c>
      <c r="Q39" t="s">
        <v>635</v>
      </c>
      <c r="R39">
        <v>45</v>
      </c>
      <c r="S39">
        <v>0.4733333333333333</v>
      </c>
      <c r="T39">
        <v>45</v>
      </c>
      <c r="U39">
        <v>0.9864444444444445</v>
      </c>
      <c r="V39">
        <v>3.1596</v>
      </c>
      <c r="W39">
        <v>3</v>
      </c>
      <c r="X39">
        <v>1.42</v>
      </c>
      <c r="Y39">
        <v>0.1889</v>
      </c>
      <c r="Z39">
        <v>0.4527363184079602</v>
      </c>
      <c r="AA39">
        <v>0.8164251207729468</v>
      </c>
      <c r="AB39">
        <v>0.3858520900321543</v>
      </c>
      <c r="AC39">
        <v>0.6704180064308681</v>
      </c>
      <c r="AD39">
        <v>0.5787781350482315</v>
      </c>
    </row>
    <row r="40" spans="1:30">
      <c r="A40" s="1" t="s">
        <v>47</v>
      </c>
      <c r="B40">
        <f>HYPERLINK("https://www.suredividend.com/sure-analysis-CAH/","Cardinal Health, Inc.")</f>
        <v>0</v>
      </c>
      <c r="C40">
        <v>53.04</v>
      </c>
      <c r="D40">
        <v>15492.77716</v>
      </c>
      <c r="E40" t="s">
        <v>661</v>
      </c>
      <c r="F40" t="s">
        <v>631</v>
      </c>
      <c r="G40" t="s">
        <v>671</v>
      </c>
      <c r="H40" t="s">
        <v>702</v>
      </c>
      <c r="I40" t="s">
        <v>743</v>
      </c>
      <c r="J40" t="s">
        <v>1316</v>
      </c>
      <c r="K40">
        <v>43964</v>
      </c>
      <c r="L40">
        <v>0.036358839050131</v>
      </c>
      <c r="M40">
        <v>-0.0001508750823069338</v>
      </c>
      <c r="N40">
        <v>0.04</v>
      </c>
      <c r="O40">
        <v>0.07213894753417938</v>
      </c>
      <c r="P40" t="s">
        <v>635</v>
      </c>
      <c r="Q40" t="s">
        <v>635</v>
      </c>
      <c r="R40">
        <v>33</v>
      </c>
      <c r="S40">
        <v>0.364</v>
      </c>
      <c r="T40">
        <v>53</v>
      </c>
      <c r="U40">
        <v>1.000754716981132</v>
      </c>
      <c r="V40">
        <v>-12.4298</v>
      </c>
      <c r="W40">
        <v>5.3</v>
      </c>
      <c r="X40">
        <v>1.9292</v>
      </c>
      <c r="Y40">
        <v>0.197995</v>
      </c>
      <c r="Z40">
        <v>0.5339966832504146</v>
      </c>
      <c r="AA40">
        <v>0.8244766505636071</v>
      </c>
      <c r="AB40">
        <v>0.3858520900321543</v>
      </c>
      <c r="AC40">
        <v>0.6527331189710611</v>
      </c>
      <c r="AD40">
        <v>0.5755627009646302</v>
      </c>
    </row>
    <row r="41" spans="1:30">
      <c r="A41" s="1" t="s">
        <v>48</v>
      </c>
      <c r="B41">
        <f>HYPERLINK("https://www.suredividend.com/sure-analysis-PNR/","Pentair Plc")</f>
        <v>0</v>
      </c>
      <c r="C41">
        <v>44.85</v>
      </c>
      <c r="D41">
        <v>7387.92777</v>
      </c>
      <c r="E41" t="s">
        <v>659</v>
      </c>
      <c r="F41" t="s">
        <v>631</v>
      </c>
      <c r="G41" t="s">
        <v>676</v>
      </c>
      <c r="H41" t="s">
        <v>702</v>
      </c>
      <c r="I41" t="s">
        <v>744</v>
      </c>
      <c r="J41" t="s">
        <v>1315</v>
      </c>
      <c r="K41">
        <v>44041</v>
      </c>
      <c r="L41">
        <v>0.016618010330114</v>
      </c>
      <c r="M41">
        <v>-0.008389306271259445</v>
      </c>
      <c r="N41">
        <v>0.065</v>
      </c>
      <c r="O41">
        <v>0.07189406134341114</v>
      </c>
      <c r="P41" t="s">
        <v>635</v>
      </c>
      <c r="Q41" t="s">
        <v>636</v>
      </c>
      <c r="R41">
        <v>43</v>
      </c>
      <c r="S41">
        <v>0.3523809523809524</v>
      </c>
      <c r="T41">
        <v>43</v>
      </c>
      <c r="U41">
        <v>1.043023255813954</v>
      </c>
      <c r="V41">
        <v>1.9986</v>
      </c>
      <c r="W41">
        <v>2.1</v>
      </c>
      <c r="X41">
        <v>0.74</v>
      </c>
      <c r="Y41">
        <v>0.176691</v>
      </c>
      <c r="Z41">
        <v>0.1774461028192372</v>
      </c>
      <c r="AA41">
        <v>0.8019323671497584</v>
      </c>
      <c r="AB41">
        <v>0.6945337620578778</v>
      </c>
      <c r="AC41">
        <v>0.6077170418006431</v>
      </c>
      <c r="AD41">
        <v>0.5739549839228296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54.15</v>
      </c>
      <c r="D42">
        <v>5359.07464</v>
      </c>
      <c r="E42" t="s">
        <v>665</v>
      </c>
      <c r="F42" t="s">
        <v>631</v>
      </c>
      <c r="G42" t="s">
        <v>671</v>
      </c>
      <c r="H42" t="s">
        <v>702</v>
      </c>
      <c r="I42" t="s">
        <v>745</v>
      </c>
      <c r="J42" t="s">
        <v>1313</v>
      </c>
      <c r="K42">
        <v>44029</v>
      </c>
      <c r="L42">
        <v>0.032215770743584</v>
      </c>
      <c r="M42">
        <v>-0.0119149166039979</v>
      </c>
      <c r="N42">
        <v>0.05</v>
      </c>
      <c r="O42">
        <v>0.0675514300911173</v>
      </c>
      <c r="P42" t="s">
        <v>635</v>
      </c>
      <c r="Q42" t="s">
        <v>635</v>
      </c>
      <c r="R42">
        <v>37</v>
      </c>
      <c r="S42">
        <v>0.5292307692307692</v>
      </c>
      <c r="T42">
        <v>51</v>
      </c>
      <c r="U42">
        <v>1.061764705882353</v>
      </c>
      <c r="V42">
        <v>2.7061</v>
      </c>
      <c r="W42">
        <v>3.25</v>
      </c>
      <c r="X42">
        <v>1.72</v>
      </c>
      <c r="Y42">
        <v>-0.102551</v>
      </c>
      <c r="Z42">
        <v>0.4577114427860697</v>
      </c>
      <c r="AA42">
        <v>0.4782608695652174</v>
      </c>
      <c r="AB42">
        <v>0.5168810289389068</v>
      </c>
      <c r="AC42">
        <v>0.5803858520900321</v>
      </c>
      <c r="AD42">
        <v>0.5369774919614148</v>
      </c>
    </row>
    <row r="43" spans="1:30">
      <c r="A43" s="1" t="s">
        <v>50</v>
      </c>
      <c r="B43">
        <f>HYPERLINK("https://www.suredividend.com/sure-analysis-FUL/","H.B. Fuller Co.")</f>
        <v>0</v>
      </c>
      <c r="C43">
        <v>49.35</v>
      </c>
      <c r="D43">
        <v>2517.496058</v>
      </c>
      <c r="E43" t="s">
        <v>662</v>
      </c>
      <c r="F43" t="s">
        <v>631</v>
      </c>
      <c r="G43" t="s">
        <v>671</v>
      </c>
      <c r="H43" t="s">
        <v>702</v>
      </c>
      <c r="I43" t="s">
        <v>746</v>
      </c>
      <c r="J43" t="s">
        <v>1321</v>
      </c>
      <c r="K43">
        <v>44008</v>
      </c>
      <c r="L43">
        <v>0.01321179844326</v>
      </c>
      <c r="M43">
        <v>-0.05092772222236097</v>
      </c>
      <c r="N43">
        <v>0.11</v>
      </c>
      <c r="O43">
        <v>0.06560054863787679</v>
      </c>
      <c r="P43" t="s">
        <v>635</v>
      </c>
      <c r="Q43" t="s">
        <v>636</v>
      </c>
      <c r="R43">
        <v>51</v>
      </c>
      <c r="S43">
        <v>0.258</v>
      </c>
      <c r="T43">
        <v>38</v>
      </c>
      <c r="U43">
        <v>1.298684210526316</v>
      </c>
      <c r="V43">
        <v>2.4143</v>
      </c>
      <c r="W43">
        <v>2.5</v>
      </c>
      <c r="X43">
        <v>0.645</v>
      </c>
      <c r="Y43">
        <v>0.05110899999999999</v>
      </c>
      <c r="Z43">
        <v>0.1227197346600332</v>
      </c>
      <c r="AA43">
        <v>0.6908212560386474</v>
      </c>
      <c r="AB43">
        <v>0.9340836012861736</v>
      </c>
      <c r="AC43">
        <v>0.3167202572347267</v>
      </c>
      <c r="AD43">
        <v>0.522508038585209</v>
      </c>
    </row>
    <row r="44" spans="1:30">
      <c r="A44" s="1" t="s">
        <v>51</v>
      </c>
      <c r="B44">
        <f>HYPERLINK("https://www.suredividend.com/sure-analysis-SPGI/","S&amp;P Global, Inc.")</f>
        <v>0</v>
      </c>
      <c r="C44">
        <v>343.71</v>
      </c>
      <c r="D44">
        <v>82920.87</v>
      </c>
      <c r="E44" t="s">
        <v>663</v>
      </c>
      <c r="F44" t="s">
        <v>631</v>
      </c>
      <c r="G44" t="s">
        <v>671</v>
      </c>
      <c r="H44" t="s">
        <v>702</v>
      </c>
      <c r="I44" t="s">
        <v>747</v>
      </c>
      <c r="J44" t="s">
        <v>1312</v>
      </c>
      <c r="K44">
        <v>44040</v>
      </c>
      <c r="L44">
        <v>0.007207835614845001</v>
      </c>
      <c r="M44">
        <v>-0.03609380148477015</v>
      </c>
      <c r="N44">
        <v>0.09</v>
      </c>
      <c r="O44">
        <v>0.05960592259301545</v>
      </c>
      <c r="P44" t="s">
        <v>635</v>
      </c>
      <c r="Q44" t="s">
        <v>381</v>
      </c>
      <c r="R44">
        <v>47</v>
      </c>
      <c r="S44">
        <v>0.2254545454545455</v>
      </c>
      <c r="T44">
        <v>286</v>
      </c>
      <c r="U44">
        <v>1.201783216783217</v>
      </c>
      <c r="V44">
        <v>10.6627</v>
      </c>
      <c r="W44">
        <v>11</v>
      </c>
      <c r="X44">
        <v>2.48</v>
      </c>
      <c r="Y44">
        <v>0.347156</v>
      </c>
      <c r="Z44">
        <v>0.04311774461028192</v>
      </c>
      <c r="AA44">
        <v>0.9146537842190016</v>
      </c>
      <c r="AB44">
        <v>0.8657556270096463</v>
      </c>
      <c r="AC44">
        <v>0.4228295819935691</v>
      </c>
      <c r="AD44">
        <v>0.4855305466237942</v>
      </c>
    </row>
    <row r="45" spans="1:30">
      <c r="A45" s="1" t="s">
        <v>52</v>
      </c>
      <c r="B45">
        <f>HYPERLINK("https://www.suredividend.com/sure-analysis-ATO/","Atmos Energy Corp.")</f>
        <v>0</v>
      </c>
      <c r="C45">
        <v>103.53</v>
      </c>
      <c r="D45">
        <v>13080.5642</v>
      </c>
      <c r="E45" t="s">
        <v>663</v>
      </c>
      <c r="F45" t="s">
        <v>631</v>
      </c>
      <c r="G45" t="s">
        <v>671</v>
      </c>
      <c r="H45" t="s">
        <v>702</v>
      </c>
      <c r="I45" t="s">
        <v>748</v>
      </c>
      <c r="J45" t="s">
        <v>1314</v>
      </c>
      <c r="K45">
        <v>43959</v>
      </c>
      <c r="L45">
        <v>0.021218408147868</v>
      </c>
      <c r="M45">
        <v>-0.03198231501511517</v>
      </c>
      <c r="N45">
        <v>0.07000000000000001</v>
      </c>
      <c r="O45">
        <v>0.05916040960189961</v>
      </c>
      <c r="P45" t="s">
        <v>635</v>
      </c>
      <c r="Q45" t="s">
        <v>636</v>
      </c>
      <c r="R45">
        <v>36</v>
      </c>
      <c r="S45">
        <v>0.4838709677419354</v>
      </c>
      <c r="T45">
        <v>88</v>
      </c>
      <c r="U45">
        <v>1.176477272727273</v>
      </c>
      <c r="V45">
        <v>4.8682</v>
      </c>
      <c r="W45">
        <v>4.65</v>
      </c>
      <c r="X45">
        <v>2.25</v>
      </c>
      <c r="Y45">
        <v>-0.033994</v>
      </c>
      <c r="Z45">
        <v>0.2902155887230514</v>
      </c>
      <c r="AA45">
        <v>0.5845410628019324</v>
      </c>
      <c r="AB45">
        <v>0.7355305466237942</v>
      </c>
      <c r="AC45">
        <v>0.4501607717041801</v>
      </c>
      <c r="AD45">
        <v>0.4823151125401929</v>
      </c>
    </row>
    <row r="46" spans="1:30">
      <c r="A46" s="1" t="s">
        <v>53</v>
      </c>
      <c r="B46">
        <f>HYPERLINK("https://www.suredividend.com/sure-analysis-DPZ/","Domino's Pizza, Inc.")</f>
        <v>0</v>
      </c>
      <c r="C46">
        <v>388.65</v>
      </c>
      <c r="D46">
        <v>15186.562779</v>
      </c>
      <c r="E46" t="s">
        <v>662</v>
      </c>
      <c r="F46" t="s">
        <v>631</v>
      </c>
      <c r="G46" t="s">
        <v>671</v>
      </c>
      <c r="H46" t="s">
        <v>702</v>
      </c>
      <c r="I46" t="s">
        <v>749</v>
      </c>
      <c r="J46" t="s">
        <v>1313</v>
      </c>
      <c r="K46">
        <v>44054</v>
      </c>
      <c r="L46">
        <v>0.007410670328816001</v>
      </c>
      <c r="M46">
        <v>-0.03812583258661417</v>
      </c>
      <c r="N46">
        <v>0.09</v>
      </c>
      <c r="O46">
        <v>0.05799893339613971</v>
      </c>
      <c r="P46" t="s">
        <v>635</v>
      </c>
      <c r="Q46" t="s">
        <v>420</v>
      </c>
      <c r="R46">
        <v>7</v>
      </c>
      <c r="S46">
        <v>0.22</v>
      </c>
      <c r="T46">
        <v>320</v>
      </c>
      <c r="U46">
        <v>1.21453125</v>
      </c>
      <c r="V46">
        <v>11.494</v>
      </c>
      <c r="W46">
        <v>13</v>
      </c>
      <c r="X46">
        <v>2.86</v>
      </c>
      <c r="Y46">
        <v>0.576981</v>
      </c>
      <c r="Z46">
        <v>0.04809286898839137</v>
      </c>
      <c r="AA46">
        <v>0.9710144927536232</v>
      </c>
      <c r="AB46">
        <v>0.8657556270096463</v>
      </c>
      <c r="AC46">
        <v>0.4115755627009646</v>
      </c>
      <c r="AD46">
        <v>0.4742765273311897</v>
      </c>
    </row>
    <row r="47" spans="1:30">
      <c r="A47" s="1" t="s">
        <v>54</v>
      </c>
      <c r="B47">
        <f>HYPERLINK("https://www.suredividend.com/sure-analysis-ABM/","ABM Industries, Inc.")</f>
        <v>0</v>
      </c>
      <c r="C47">
        <v>39.08</v>
      </c>
      <c r="D47">
        <v>2616.644425</v>
      </c>
      <c r="E47" t="s">
        <v>659</v>
      </c>
      <c r="F47" t="s">
        <v>631</v>
      </c>
      <c r="G47" t="s">
        <v>671</v>
      </c>
      <c r="H47" t="s">
        <v>702</v>
      </c>
      <c r="I47" t="s">
        <v>750</v>
      </c>
      <c r="J47" t="s">
        <v>1315</v>
      </c>
      <c r="K47">
        <v>44001</v>
      </c>
      <c r="L47">
        <v>0.018598726114649</v>
      </c>
      <c r="M47">
        <v>-0.01087897415115358</v>
      </c>
      <c r="N47">
        <v>0.05</v>
      </c>
      <c r="O47">
        <v>0.05582167548647643</v>
      </c>
      <c r="P47" t="s">
        <v>635</v>
      </c>
      <c r="Q47" t="s">
        <v>636</v>
      </c>
      <c r="R47">
        <v>52</v>
      </c>
      <c r="S47">
        <v>0.3476190476190476</v>
      </c>
      <c r="T47">
        <v>37</v>
      </c>
      <c r="U47">
        <v>1.056216216216216</v>
      </c>
      <c r="V47">
        <v>-0.3567</v>
      </c>
      <c r="W47">
        <v>2.1</v>
      </c>
      <c r="X47">
        <v>0.73</v>
      </c>
      <c r="Y47">
        <v>-0.0239</v>
      </c>
      <c r="Z47">
        <v>0.2354892205638474</v>
      </c>
      <c r="AA47">
        <v>0.605475040257649</v>
      </c>
      <c r="AB47">
        <v>0.5168810289389068</v>
      </c>
      <c r="AC47">
        <v>0.590032154340836</v>
      </c>
      <c r="AD47">
        <v>0.4598070739549839</v>
      </c>
    </row>
    <row r="48" spans="1:30">
      <c r="A48" s="1" t="s">
        <v>55</v>
      </c>
      <c r="B48">
        <f>HYPERLINK("https://www.suredividend.com/sure-analysis-BANF/","BancFirst Corp. (Oklahoma)")</f>
        <v>0</v>
      </c>
      <c r="C48">
        <v>45.82</v>
      </c>
      <c r="D48">
        <v>1480.600191</v>
      </c>
      <c r="E48" t="s">
        <v>668</v>
      </c>
      <c r="F48" t="s">
        <v>631</v>
      </c>
      <c r="G48" t="s">
        <v>671</v>
      </c>
      <c r="H48" t="s">
        <v>701</v>
      </c>
      <c r="I48" t="s">
        <v>751</v>
      </c>
      <c r="J48" t="s">
        <v>1312</v>
      </c>
      <c r="K48">
        <v>43958</v>
      </c>
      <c r="L48">
        <v>0.028237370394881</v>
      </c>
      <c r="M48">
        <v>-0.003605123333037752</v>
      </c>
      <c r="N48">
        <v>0.03</v>
      </c>
      <c r="O48">
        <v>0.05560412338299758</v>
      </c>
      <c r="P48" t="s">
        <v>635</v>
      </c>
      <c r="Q48" t="s">
        <v>636</v>
      </c>
      <c r="R48">
        <v>26</v>
      </c>
      <c r="S48">
        <v>0.4280936454849498</v>
      </c>
      <c r="T48">
        <v>45</v>
      </c>
      <c r="U48">
        <v>1.018222222222222</v>
      </c>
      <c r="V48">
        <v>3.4357</v>
      </c>
      <c r="W48">
        <v>2.99</v>
      </c>
      <c r="X48">
        <v>1.28</v>
      </c>
      <c r="Y48">
        <v>-0.19656</v>
      </c>
      <c r="Z48">
        <v>0.4029850746268657</v>
      </c>
      <c r="AA48">
        <v>0.3655394524959742</v>
      </c>
      <c r="AB48">
        <v>0.2540192926045016</v>
      </c>
      <c r="AC48">
        <v>0.6398713826366559</v>
      </c>
      <c r="AD48">
        <v>0.4565916398713826</v>
      </c>
    </row>
    <row r="49" spans="1:30">
      <c r="A49" s="1" t="s">
        <v>56</v>
      </c>
      <c r="B49">
        <f>HYPERLINK("https://www.suredividend.com/sure-analysis-JNJ/","Johnson &amp; Johnson")</f>
        <v>0</v>
      </c>
      <c r="C49">
        <v>146.97</v>
      </c>
      <c r="D49">
        <v>389736.3446</v>
      </c>
      <c r="E49" t="s">
        <v>665</v>
      </c>
      <c r="F49" t="s">
        <v>631</v>
      </c>
      <c r="G49" t="s">
        <v>671</v>
      </c>
      <c r="H49" t="s">
        <v>702</v>
      </c>
      <c r="I49" t="s">
        <v>752</v>
      </c>
      <c r="J49" t="s">
        <v>1316</v>
      </c>
      <c r="K49">
        <v>44028</v>
      </c>
      <c r="L49">
        <v>0.026075795446868</v>
      </c>
      <c r="M49">
        <v>-0.03341823393624332</v>
      </c>
      <c r="N49">
        <v>0.06</v>
      </c>
      <c r="O49">
        <v>0.05280078905997909</v>
      </c>
      <c r="P49" t="s">
        <v>635</v>
      </c>
      <c r="Q49" t="s">
        <v>635</v>
      </c>
      <c r="R49">
        <v>58</v>
      </c>
      <c r="S49">
        <v>0.4917197452229299</v>
      </c>
      <c r="T49">
        <v>124</v>
      </c>
      <c r="U49">
        <v>1.185241935483871</v>
      </c>
      <c r="V49">
        <v>5.7664</v>
      </c>
      <c r="W49">
        <v>7.85</v>
      </c>
      <c r="X49">
        <v>3.86</v>
      </c>
      <c r="Y49">
        <v>0.128493</v>
      </c>
      <c r="Z49">
        <v>0.3582089552238806</v>
      </c>
      <c r="AA49">
        <v>0.7729468599033816</v>
      </c>
      <c r="AB49">
        <v>0.6430868167202572</v>
      </c>
      <c r="AC49">
        <v>0.4372990353697749</v>
      </c>
      <c r="AD49">
        <v>0.4437299035369775</v>
      </c>
    </row>
    <row r="50" spans="1:30">
      <c r="A50" s="1" t="s">
        <v>57</v>
      </c>
      <c r="B50">
        <f>HYPERLINK("https://www.suredividend.com/sure-analysis-ABC/","AmerisourceBergen Corp.")</f>
        <v>0</v>
      </c>
      <c r="C50">
        <v>101.38</v>
      </c>
      <c r="D50">
        <v>21034.79168</v>
      </c>
      <c r="E50" t="s">
        <v>661</v>
      </c>
      <c r="F50" t="s">
        <v>631</v>
      </c>
      <c r="G50" t="s">
        <v>671</v>
      </c>
      <c r="H50" t="s">
        <v>702</v>
      </c>
      <c r="I50" t="s">
        <v>753</v>
      </c>
      <c r="J50" t="s">
        <v>1316</v>
      </c>
      <c r="K50">
        <v>44049</v>
      </c>
      <c r="L50">
        <v>0.015916149068322</v>
      </c>
      <c r="M50">
        <v>-0.01500253375636096</v>
      </c>
      <c r="N50">
        <v>0.05</v>
      </c>
      <c r="O50">
        <v>0.051503111400794</v>
      </c>
      <c r="P50" t="s">
        <v>635</v>
      </c>
      <c r="Q50" t="s">
        <v>381</v>
      </c>
      <c r="R50">
        <v>16</v>
      </c>
      <c r="S50">
        <v>0.2083862770012707</v>
      </c>
      <c r="T50">
        <v>94</v>
      </c>
      <c r="U50">
        <v>1.078510638297872</v>
      </c>
      <c r="V50">
        <v>7.6456</v>
      </c>
      <c r="W50">
        <v>7.87</v>
      </c>
      <c r="X50">
        <v>1.64</v>
      </c>
      <c r="Y50">
        <v>0.2251</v>
      </c>
      <c r="Z50">
        <v>0.1575456053067993</v>
      </c>
      <c r="AA50">
        <v>0.8357487922705314</v>
      </c>
      <c r="AB50">
        <v>0.5168810289389068</v>
      </c>
      <c r="AC50">
        <v>0.5530546623794212</v>
      </c>
      <c r="AD50">
        <v>0.4356913183279743</v>
      </c>
    </row>
    <row r="51" spans="1:30">
      <c r="A51" s="1" t="s">
        <v>58</v>
      </c>
      <c r="B51">
        <f>HYPERLINK("https://www.suredividend.com/sure-analysis-RE/","Everest Re Group Ltd.")</f>
        <v>0</v>
      </c>
      <c r="C51">
        <v>228.27</v>
      </c>
      <c r="D51">
        <v>9272.18556</v>
      </c>
      <c r="E51" t="s">
        <v>659</v>
      </c>
      <c r="F51" t="s">
        <v>631</v>
      </c>
      <c r="G51" t="s">
        <v>677</v>
      </c>
      <c r="H51" t="s">
        <v>702</v>
      </c>
      <c r="I51" t="s">
        <v>754</v>
      </c>
      <c r="J51" t="s">
        <v>1312</v>
      </c>
      <c r="K51">
        <v>43974</v>
      </c>
      <c r="L51">
        <v>0.026091081593927</v>
      </c>
      <c r="M51">
        <v>-0.02805146322917684</v>
      </c>
      <c r="N51">
        <v>0.05</v>
      </c>
      <c r="O51">
        <v>0.0488602871629229</v>
      </c>
      <c r="P51" t="s">
        <v>635</v>
      </c>
      <c r="Q51" t="s">
        <v>636</v>
      </c>
      <c r="R51">
        <v>8</v>
      </c>
      <c r="S51">
        <v>0.275</v>
      </c>
      <c r="T51">
        <v>198</v>
      </c>
      <c r="U51">
        <v>1.152878787878788</v>
      </c>
      <c r="V51">
        <v>13.0214</v>
      </c>
      <c r="W51">
        <v>22</v>
      </c>
      <c r="X51">
        <v>6.05</v>
      </c>
      <c r="Y51">
        <v>-0.07714599999999999</v>
      </c>
      <c r="Z51">
        <v>0.3615257048092869</v>
      </c>
      <c r="AA51">
        <v>0.5265700483091788</v>
      </c>
      <c r="AB51">
        <v>0.5168810289389068</v>
      </c>
      <c r="AC51">
        <v>0.4823151125401929</v>
      </c>
      <c r="AD51">
        <v>0.409967845659164</v>
      </c>
    </row>
    <row r="52" spans="1:30">
      <c r="A52" s="1" t="s">
        <v>59</v>
      </c>
      <c r="B52">
        <f>HYPERLINK("https://www.suredividend.com/sure-analysis-MDT/","Medtronic Plc")</f>
        <v>0</v>
      </c>
      <c r="C52">
        <v>100.72</v>
      </c>
      <c r="D52">
        <v>134639.694</v>
      </c>
      <c r="E52" t="s">
        <v>661</v>
      </c>
      <c r="F52" t="s">
        <v>631</v>
      </c>
      <c r="G52" t="s">
        <v>674</v>
      </c>
      <c r="H52" t="s">
        <v>702</v>
      </c>
      <c r="I52" t="s">
        <v>755</v>
      </c>
      <c r="J52" t="s">
        <v>1316</v>
      </c>
      <c r="K52">
        <v>43979</v>
      </c>
      <c r="L52">
        <v>0.021518230723251</v>
      </c>
      <c r="M52">
        <v>-0.04501872976436916</v>
      </c>
      <c r="N52">
        <v>0.07000000000000001</v>
      </c>
      <c r="O52">
        <v>0.04735119763577122</v>
      </c>
      <c r="P52" t="s">
        <v>635</v>
      </c>
      <c r="Q52" t="s">
        <v>636</v>
      </c>
      <c r="R52">
        <v>43</v>
      </c>
      <c r="S52">
        <v>0.4320000000000001</v>
      </c>
      <c r="T52">
        <v>80</v>
      </c>
      <c r="U52">
        <v>1.259</v>
      </c>
      <c r="V52">
        <v>3.5721</v>
      </c>
      <c r="W52">
        <v>5</v>
      </c>
      <c r="X52">
        <v>2.16</v>
      </c>
      <c r="Y52">
        <v>-0.021803</v>
      </c>
      <c r="Z52">
        <v>0.296849087893864</v>
      </c>
      <c r="AA52">
        <v>0.6119162640901772</v>
      </c>
      <c r="AB52">
        <v>0.7355305466237942</v>
      </c>
      <c r="AC52">
        <v>0.3601286173633441</v>
      </c>
      <c r="AD52">
        <v>0.3987138263665595</v>
      </c>
    </row>
    <row r="53" spans="1:30">
      <c r="A53" s="1" t="s">
        <v>60</v>
      </c>
      <c r="B53">
        <f>HYPERLINK("https://www.suredividend.com/sure-analysis-TXT/","Textron, Inc.")</f>
        <v>0</v>
      </c>
      <c r="C53">
        <v>38.68</v>
      </c>
      <c r="D53">
        <v>8861.4401</v>
      </c>
      <c r="E53" t="s">
        <v>660</v>
      </c>
      <c r="F53" t="s">
        <v>631</v>
      </c>
      <c r="G53" t="s">
        <v>671</v>
      </c>
      <c r="H53" t="s">
        <v>702</v>
      </c>
      <c r="I53" t="s">
        <v>756</v>
      </c>
      <c r="J53" t="s">
        <v>1315</v>
      </c>
      <c r="K53">
        <v>43958</v>
      </c>
      <c r="L53">
        <v>0.002058672156459</v>
      </c>
      <c r="M53">
        <v>-0.09103961630436941</v>
      </c>
      <c r="N53">
        <v>0.15</v>
      </c>
      <c r="O53">
        <v>0.04703106461374662</v>
      </c>
      <c r="P53" t="s">
        <v>635</v>
      </c>
      <c r="Q53" t="s">
        <v>420</v>
      </c>
      <c r="R53">
        <v>0</v>
      </c>
      <c r="S53">
        <v>0.05228758169934641</v>
      </c>
      <c r="T53">
        <v>24</v>
      </c>
      <c r="U53">
        <v>1.611666666666667</v>
      </c>
      <c r="V53">
        <v>1.6438</v>
      </c>
      <c r="W53">
        <v>1.53</v>
      </c>
      <c r="X53">
        <v>0.08</v>
      </c>
      <c r="Y53">
        <v>-0.22114</v>
      </c>
      <c r="Z53">
        <v>0.006633499170812604</v>
      </c>
      <c r="AA53">
        <v>0.3268921095008052</v>
      </c>
      <c r="AB53">
        <v>0.9790996784565916</v>
      </c>
      <c r="AC53">
        <v>0.1334405144694534</v>
      </c>
      <c r="AD53">
        <v>0.3922829581993569</v>
      </c>
    </row>
    <row r="54" spans="1:30">
      <c r="A54" s="1" t="s">
        <v>61</v>
      </c>
      <c r="B54">
        <f>HYPERLINK("https://www.suredividend.com/sure-analysis-GPC/","Genuine Parts Co.")</f>
        <v>0</v>
      </c>
      <c r="C54">
        <v>95.27</v>
      </c>
      <c r="D54">
        <v>13570.91448</v>
      </c>
      <c r="E54" t="s">
        <v>663</v>
      </c>
      <c r="F54" t="s">
        <v>631</v>
      </c>
      <c r="G54" t="s">
        <v>671</v>
      </c>
      <c r="H54" t="s">
        <v>702</v>
      </c>
      <c r="I54" t="s">
        <v>757</v>
      </c>
      <c r="J54" t="s">
        <v>1313</v>
      </c>
      <c r="K54">
        <v>43960</v>
      </c>
      <c r="L54">
        <v>0.033007334963325</v>
      </c>
      <c r="M54">
        <v>-0.01575027666260287</v>
      </c>
      <c r="N54">
        <v>0.03</v>
      </c>
      <c r="O54">
        <v>0.04598922109398362</v>
      </c>
      <c r="P54" t="s">
        <v>635</v>
      </c>
      <c r="Q54" t="s">
        <v>635</v>
      </c>
      <c r="R54">
        <v>64</v>
      </c>
      <c r="S54">
        <v>0.7860759493670886</v>
      </c>
      <c r="T54">
        <v>88</v>
      </c>
      <c r="U54">
        <v>1.082613636363636</v>
      </c>
      <c r="V54">
        <v>0.102</v>
      </c>
      <c r="W54">
        <v>3.95</v>
      </c>
      <c r="X54">
        <v>3.105</v>
      </c>
      <c r="Y54">
        <v>0.009139</v>
      </c>
      <c r="Z54">
        <v>0.4709784411276949</v>
      </c>
      <c r="AA54">
        <v>0.6473429951690821</v>
      </c>
      <c r="AB54">
        <v>0.2540192926045016</v>
      </c>
      <c r="AC54">
        <v>0.5514469453376205</v>
      </c>
      <c r="AD54">
        <v>0.3842443729903537</v>
      </c>
    </row>
    <row r="55" spans="1:30">
      <c r="A55" s="1" t="s">
        <v>62</v>
      </c>
      <c r="B55">
        <f>HYPERLINK("https://www.suredividend.com/sure-analysis-KR/","The Kroger Co.")</f>
        <v>0</v>
      </c>
      <c r="C55">
        <v>34.26</v>
      </c>
      <c r="D55">
        <v>27250.74778</v>
      </c>
      <c r="E55" t="s">
        <v>661</v>
      </c>
      <c r="F55" t="s">
        <v>631</v>
      </c>
      <c r="G55" t="s">
        <v>671</v>
      </c>
      <c r="H55" t="s">
        <v>702</v>
      </c>
      <c r="I55" t="s">
        <v>758</v>
      </c>
      <c r="J55" t="s">
        <v>1320</v>
      </c>
      <c r="K55">
        <v>44007</v>
      </c>
      <c r="L55">
        <v>0.018270054239223</v>
      </c>
      <c r="M55">
        <v>-0.01355579930089068</v>
      </c>
      <c r="N55">
        <v>0.04</v>
      </c>
      <c r="O55">
        <v>0.04508212440038784</v>
      </c>
      <c r="P55" t="s">
        <v>635</v>
      </c>
      <c r="Q55" t="s">
        <v>381</v>
      </c>
      <c r="R55">
        <v>13</v>
      </c>
      <c r="S55">
        <v>0.237037037037037</v>
      </c>
      <c r="T55">
        <v>32</v>
      </c>
      <c r="U55">
        <v>1.070625</v>
      </c>
      <c r="V55">
        <v>2.6583</v>
      </c>
      <c r="W55">
        <v>2.7</v>
      </c>
      <c r="X55">
        <v>0.64</v>
      </c>
      <c r="Y55">
        <v>0.509208</v>
      </c>
      <c r="Z55">
        <v>0.2255389718076285</v>
      </c>
      <c r="AA55">
        <v>0.9549114331723026</v>
      </c>
      <c r="AB55">
        <v>0.3858520900321543</v>
      </c>
      <c r="AC55">
        <v>0.572347266881029</v>
      </c>
      <c r="AD55">
        <v>0.3745980707395498</v>
      </c>
    </row>
    <row r="56" spans="1:30">
      <c r="A56" s="1" t="s">
        <v>63</v>
      </c>
      <c r="B56">
        <f>HYPERLINK("https://www.suredividend.com/sure-analysis-MMM/","3M Co.")</f>
        <v>0</v>
      </c>
      <c r="C56">
        <v>163.38</v>
      </c>
      <c r="D56">
        <v>92992.6688</v>
      </c>
      <c r="E56" t="s">
        <v>665</v>
      </c>
      <c r="F56" t="s">
        <v>631</v>
      </c>
      <c r="G56" t="s">
        <v>671</v>
      </c>
      <c r="H56" t="s">
        <v>702</v>
      </c>
      <c r="I56" t="s">
        <v>759</v>
      </c>
      <c r="J56" t="s">
        <v>1315</v>
      </c>
      <c r="K56">
        <v>44040</v>
      </c>
      <c r="L56">
        <v>0.036050545094152</v>
      </c>
      <c r="M56">
        <v>-0.03744185041806658</v>
      </c>
      <c r="N56">
        <v>0.05</v>
      </c>
      <c r="O56">
        <v>0.04490012736173998</v>
      </c>
      <c r="P56" t="s">
        <v>635</v>
      </c>
      <c r="Q56" t="s">
        <v>635</v>
      </c>
      <c r="R56">
        <v>62</v>
      </c>
      <c r="S56">
        <v>0.7114914425427874</v>
      </c>
      <c r="T56">
        <v>135</v>
      </c>
      <c r="U56">
        <v>1.210222222222222</v>
      </c>
      <c r="V56">
        <v>8.902900000000001</v>
      </c>
      <c r="W56">
        <v>8.18</v>
      </c>
      <c r="X56">
        <v>5.82</v>
      </c>
      <c r="Y56">
        <v>-0.035867</v>
      </c>
      <c r="Z56">
        <v>0.5240464344941956</v>
      </c>
      <c r="AA56">
        <v>0.5829307568438004</v>
      </c>
      <c r="AB56">
        <v>0.5168810289389068</v>
      </c>
      <c r="AC56">
        <v>0.4163987138263666</v>
      </c>
      <c r="AD56">
        <v>0.3729903536977492</v>
      </c>
    </row>
    <row r="57" spans="1:30">
      <c r="A57" s="1" t="s">
        <v>64</v>
      </c>
      <c r="B57">
        <f>HYPERLINK("https://www.suredividend.com/sure-analysis-DG/","Dollar General Corp.")</f>
        <v>0</v>
      </c>
      <c r="C57">
        <v>191.09</v>
      </c>
      <c r="D57">
        <v>48655.34538</v>
      </c>
      <c r="E57" t="s">
        <v>660</v>
      </c>
      <c r="F57" t="s">
        <v>631</v>
      </c>
      <c r="G57" t="s">
        <v>671</v>
      </c>
      <c r="H57" t="s">
        <v>702</v>
      </c>
      <c r="I57" t="s">
        <v>760</v>
      </c>
      <c r="J57" t="s">
        <v>1320</v>
      </c>
      <c r="K57">
        <v>44007</v>
      </c>
      <c r="L57">
        <v>0.006829116871022001</v>
      </c>
      <c r="M57">
        <v>-0.05765468272426022</v>
      </c>
      <c r="N57">
        <v>0.1</v>
      </c>
      <c r="O57">
        <v>0.04472007241303566</v>
      </c>
      <c r="P57" t="s">
        <v>635</v>
      </c>
      <c r="Q57" t="s">
        <v>420</v>
      </c>
      <c r="R57">
        <v>5</v>
      </c>
      <c r="S57">
        <v>0.16751269035533</v>
      </c>
      <c r="T57">
        <v>142</v>
      </c>
      <c r="U57">
        <v>1.345704225352113</v>
      </c>
      <c r="V57">
        <v>7.7768</v>
      </c>
      <c r="W57">
        <v>7.88</v>
      </c>
      <c r="X57">
        <v>1.32</v>
      </c>
      <c r="Y57">
        <v>0.421428</v>
      </c>
      <c r="Z57">
        <v>0.03482587064676617</v>
      </c>
      <c r="AA57">
        <v>0.9323671497584541</v>
      </c>
      <c r="AB57">
        <v>0.907556270096463</v>
      </c>
      <c r="AC57">
        <v>0.2781350482315113</v>
      </c>
      <c r="AD57">
        <v>0.3681672025723473</v>
      </c>
    </row>
    <row r="58" spans="1:30">
      <c r="A58" s="1" t="s">
        <v>65</v>
      </c>
      <c r="B58">
        <f>HYPERLINK("https://www.suredividend.com/sure-analysis-MCO/","Moody's Corp.")</f>
        <v>0</v>
      </c>
      <c r="C58">
        <v>274.53</v>
      </c>
      <c r="D58">
        <v>50894.855</v>
      </c>
      <c r="E58" t="s">
        <v>663</v>
      </c>
      <c r="F58" t="s">
        <v>631</v>
      </c>
      <c r="G58" t="s">
        <v>671</v>
      </c>
      <c r="H58" t="s">
        <v>702</v>
      </c>
      <c r="I58" t="s">
        <v>761</v>
      </c>
      <c r="J58" t="s">
        <v>1312</v>
      </c>
      <c r="K58">
        <v>44050</v>
      </c>
      <c r="L58">
        <v>0.007818550617739001</v>
      </c>
      <c r="M58">
        <v>-0.04332026589686033</v>
      </c>
      <c r="N58">
        <v>0.08</v>
      </c>
      <c r="O58">
        <v>0.0429212175403737</v>
      </c>
      <c r="P58" t="s">
        <v>635</v>
      </c>
      <c r="Q58" t="s">
        <v>420</v>
      </c>
      <c r="R58">
        <v>11</v>
      </c>
      <c r="S58">
        <v>0.2316939890710382</v>
      </c>
      <c r="T58">
        <v>220</v>
      </c>
      <c r="U58">
        <v>1.247863636363636</v>
      </c>
      <c r="V58">
        <v>9.228400000000001</v>
      </c>
      <c r="W58">
        <v>9.15</v>
      </c>
      <c r="X58">
        <v>2.12</v>
      </c>
      <c r="Y58">
        <v>0.283578</v>
      </c>
      <c r="Z58">
        <v>0.05638474295190713</v>
      </c>
      <c r="AA58">
        <v>0.8776167471819646</v>
      </c>
      <c r="AB58">
        <v>0.8135048231511255</v>
      </c>
      <c r="AC58">
        <v>0.3762057877813505</v>
      </c>
      <c r="AD58">
        <v>0.3601286173633441</v>
      </c>
    </row>
    <row r="59" spans="1:30">
      <c r="A59" s="1" t="s">
        <v>66</v>
      </c>
      <c r="B59">
        <f>HYPERLINK("https://www.suredividend.com/sure-analysis-BDX/","Becton, Dickinson &amp; Co.")</f>
        <v>0</v>
      </c>
      <c r="C59">
        <v>255</v>
      </c>
      <c r="D59">
        <v>74423.86575</v>
      </c>
      <c r="E59" t="s">
        <v>665</v>
      </c>
      <c r="F59" t="s">
        <v>631</v>
      </c>
      <c r="G59" t="s">
        <v>671</v>
      </c>
      <c r="H59" t="s">
        <v>702</v>
      </c>
      <c r="I59" t="s">
        <v>762</v>
      </c>
      <c r="J59" t="s">
        <v>1316</v>
      </c>
      <c r="K59">
        <v>44051</v>
      </c>
      <c r="L59">
        <v>0.012229795520934</v>
      </c>
      <c r="M59">
        <v>-0.06522682398054136</v>
      </c>
      <c r="N59">
        <v>0.1</v>
      </c>
      <c r="O59">
        <v>0.04272756881544493</v>
      </c>
      <c r="P59" t="s">
        <v>635</v>
      </c>
      <c r="Q59" t="s">
        <v>381</v>
      </c>
      <c r="R59">
        <v>48</v>
      </c>
      <c r="S59">
        <v>0.3171717171717172</v>
      </c>
      <c r="T59">
        <v>182</v>
      </c>
      <c r="U59">
        <v>1.401098901098901</v>
      </c>
      <c r="V59">
        <v>2.8093</v>
      </c>
      <c r="W59">
        <v>9.9</v>
      </c>
      <c r="X59">
        <v>3.14</v>
      </c>
      <c r="Y59">
        <v>0.019239</v>
      </c>
      <c r="Z59">
        <v>0.1044776119402985</v>
      </c>
      <c r="AA59">
        <v>0.6586151368760065</v>
      </c>
      <c r="AB59">
        <v>0.907556270096463</v>
      </c>
      <c r="AC59">
        <v>0.2363344051446945</v>
      </c>
      <c r="AD59">
        <v>0.3585209003215434</v>
      </c>
    </row>
    <row r="60" spans="1:30">
      <c r="A60" s="1" t="s">
        <v>67</v>
      </c>
      <c r="B60">
        <f>HYPERLINK("https://www.suredividend.com/sure-analysis-KMB/","Kimberly-Clark Corp.")</f>
        <v>0</v>
      </c>
      <c r="C60">
        <v>155.79</v>
      </c>
      <c r="D60">
        <v>53916.12023</v>
      </c>
      <c r="E60" t="s">
        <v>663</v>
      </c>
      <c r="F60" t="s">
        <v>631</v>
      </c>
      <c r="G60" t="s">
        <v>671</v>
      </c>
      <c r="H60" t="s">
        <v>702</v>
      </c>
      <c r="I60" t="s">
        <v>763</v>
      </c>
      <c r="J60" t="s">
        <v>1320</v>
      </c>
      <c r="K60">
        <v>44036</v>
      </c>
      <c r="L60">
        <v>0.026567145296982</v>
      </c>
      <c r="M60">
        <v>-0.02395935822531492</v>
      </c>
      <c r="N60">
        <v>0.04</v>
      </c>
      <c r="O60">
        <v>0.04263743979012613</v>
      </c>
      <c r="P60" t="s">
        <v>635</v>
      </c>
      <c r="Q60" t="s">
        <v>636</v>
      </c>
      <c r="R60">
        <v>48</v>
      </c>
      <c r="S60">
        <v>0.5490196078431373</v>
      </c>
      <c r="T60">
        <v>138</v>
      </c>
      <c r="U60">
        <v>1.128913043478261</v>
      </c>
      <c r="V60">
        <v>7.4849</v>
      </c>
      <c r="W60">
        <v>7.65</v>
      </c>
      <c r="X60">
        <v>4.2</v>
      </c>
      <c r="Y60">
        <v>0.135123</v>
      </c>
      <c r="Z60">
        <v>0.3747927031509121</v>
      </c>
      <c r="AA60">
        <v>0.7777777777777777</v>
      </c>
      <c r="AB60">
        <v>0.3858520900321543</v>
      </c>
      <c r="AC60">
        <v>0.5016077170418006</v>
      </c>
      <c r="AD60">
        <v>0.3553054662379422</v>
      </c>
    </row>
    <row r="61" spans="1:30">
      <c r="A61" s="1" t="s">
        <v>68</v>
      </c>
      <c r="B61">
        <f>HYPERLINK("https://www.suredividend.com/sure-analysis-DCI/","Donaldson Co., Inc.")</f>
        <v>0</v>
      </c>
      <c r="C61">
        <v>52.15</v>
      </c>
      <c r="D61">
        <v>6529.69833</v>
      </c>
      <c r="E61" t="s">
        <v>663</v>
      </c>
      <c r="F61" t="s">
        <v>631</v>
      </c>
      <c r="G61" t="s">
        <v>671</v>
      </c>
      <c r="H61" t="s">
        <v>702</v>
      </c>
      <c r="I61" t="s">
        <v>764</v>
      </c>
      <c r="J61" t="s">
        <v>1315</v>
      </c>
      <c r="K61">
        <v>43991</v>
      </c>
      <c r="L61">
        <v>0.016225613289549</v>
      </c>
      <c r="M61">
        <v>-0.05166640528391864</v>
      </c>
      <c r="N61">
        <v>0.08</v>
      </c>
      <c r="O61">
        <v>0.04207448047516293</v>
      </c>
      <c r="P61" t="s">
        <v>635</v>
      </c>
      <c r="Q61" t="s">
        <v>381</v>
      </c>
      <c r="R61">
        <v>33</v>
      </c>
      <c r="S61">
        <v>0.4421052631578947</v>
      </c>
      <c r="T61">
        <v>40</v>
      </c>
      <c r="U61">
        <v>1.30375</v>
      </c>
      <c r="V61">
        <v>1.9716</v>
      </c>
      <c r="W61">
        <v>1.9</v>
      </c>
      <c r="X61">
        <v>0.84</v>
      </c>
      <c r="Y61">
        <v>0.047201</v>
      </c>
      <c r="Z61">
        <v>0.1674958540630183</v>
      </c>
      <c r="AA61">
        <v>0.6859903381642511</v>
      </c>
      <c r="AB61">
        <v>0.8135048231511255</v>
      </c>
      <c r="AC61">
        <v>0.3086816720257235</v>
      </c>
      <c r="AD61">
        <v>0.3520900321543408</v>
      </c>
    </row>
    <row r="62" spans="1:30">
      <c r="A62" s="1" t="s">
        <v>69</v>
      </c>
      <c r="B62">
        <f>HYPERLINK("https://www.suredividend.com/sure-analysis-CL/","Colgate-Palmolive Co.")</f>
        <v>0</v>
      </c>
      <c r="C62">
        <v>75.95999999999999</v>
      </c>
      <c r="D62">
        <v>65719.71000000001</v>
      </c>
      <c r="E62" t="s">
        <v>663</v>
      </c>
      <c r="F62" t="s">
        <v>631</v>
      </c>
      <c r="G62" t="s">
        <v>671</v>
      </c>
      <c r="H62" t="s">
        <v>702</v>
      </c>
      <c r="I62" t="s">
        <v>765</v>
      </c>
      <c r="J62" t="s">
        <v>1320</v>
      </c>
      <c r="K62">
        <v>44051</v>
      </c>
      <c r="L62">
        <v>0.022570123939986</v>
      </c>
      <c r="M62">
        <v>-0.0398007847658598</v>
      </c>
      <c r="N62">
        <v>0.06</v>
      </c>
      <c r="O62">
        <v>0.04173831468576061</v>
      </c>
      <c r="P62" t="s">
        <v>635</v>
      </c>
      <c r="Q62" t="s">
        <v>636</v>
      </c>
      <c r="R62">
        <v>57</v>
      </c>
      <c r="S62">
        <v>0.5864406779661017</v>
      </c>
      <c r="T62">
        <v>62</v>
      </c>
      <c r="U62">
        <v>1.225161290322581</v>
      </c>
      <c r="V62">
        <v>2.9987</v>
      </c>
      <c r="W62">
        <v>2.95</v>
      </c>
      <c r="X62">
        <v>1.73</v>
      </c>
      <c r="Y62">
        <v>0.06317099999999999</v>
      </c>
      <c r="Z62">
        <v>0.3034825870646766</v>
      </c>
      <c r="AA62">
        <v>0.7020933977455717</v>
      </c>
      <c r="AB62">
        <v>0.6430868167202572</v>
      </c>
      <c r="AC62">
        <v>0.4035369774919614</v>
      </c>
      <c r="AD62">
        <v>0.3472668810289389</v>
      </c>
    </row>
    <row r="63" spans="1:30">
      <c r="A63" s="1" t="s">
        <v>70</v>
      </c>
      <c r="B63">
        <f>HYPERLINK("https://www.suredividend.com/sure-analysis-AROW/","Arrow Financial Corp.")</f>
        <v>0</v>
      </c>
      <c r="C63">
        <v>29.76</v>
      </c>
      <c r="D63">
        <v>439.22186</v>
      </c>
      <c r="E63" t="s">
        <v>663</v>
      </c>
      <c r="F63" t="s">
        <v>631</v>
      </c>
      <c r="G63" t="s">
        <v>671</v>
      </c>
      <c r="H63" t="s">
        <v>701</v>
      </c>
      <c r="I63" t="s">
        <v>766</v>
      </c>
      <c r="J63" t="s">
        <v>1312</v>
      </c>
      <c r="K63">
        <v>44039</v>
      </c>
      <c r="L63">
        <v>0.035284688995215</v>
      </c>
      <c r="M63">
        <v>-0.005160514552689066</v>
      </c>
      <c r="N63">
        <v>0.01</v>
      </c>
      <c r="O63">
        <v>0.04082209478572496</v>
      </c>
      <c r="P63" t="s">
        <v>635</v>
      </c>
      <c r="Q63" t="s">
        <v>635</v>
      </c>
      <c r="R63">
        <v>26</v>
      </c>
      <c r="S63">
        <v>0.4213999999999999</v>
      </c>
      <c r="T63">
        <v>29</v>
      </c>
      <c r="U63">
        <v>1.026206896551724</v>
      </c>
      <c r="V63">
        <v>2.4763</v>
      </c>
      <c r="W63">
        <v>2.45</v>
      </c>
      <c r="X63">
        <v>1.03243</v>
      </c>
      <c r="Y63">
        <v>-0.07965499999999999</v>
      </c>
      <c r="Z63">
        <v>0.5124378109452736</v>
      </c>
      <c r="AA63">
        <v>0.5201288244766505</v>
      </c>
      <c r="AB63">
        <v>0.08601286173633441</v>
      </c>
      <c r="AC63">
        <v>0.6254019292604501</v>
      </c>
      <c r="AD63">
        <v>0.3424437299035369</v>
      </c>
    </row>
    <row r="64" spans="1:30">
      <c r="A64" s="1" t="s">
        <v>71</v>
      </c>
      <c r="B64">
        <f>HYPERLINK("https://www.suredividend.com/sure-analysis-CP/","Canadian Pacific Railway Ltd.")</f>
        <v>0</v>
      </c>
      <c r="C64">
        <v>291.26</v>
      </c>
      <c r="D64">
        <v>38883.34926</v>
      </c>
      <c r="E64" t="s">
        <v>669</v>
      </c>
      <c r="F64" t="s">
        <v>631</v>
      </c>
      <c r="G64" t="s">
        <v>672</v>
      </c>
      <c r="H64" t="s">
        <v>702</v>
      </c>
      <c r="I64" t="s">
        <v>767</v>
      </c>
      <c r="J64" t="s">
        <v>1315</v>
      </c>
      <c r="K64">
        <v>44042</v>
      </c>
      <c r="L64">
        <v>0.008621573202270002</v>
      </c>
      <c r="M64">
        <v>-0.04283457515429268</v>
      </c>
      <c r="N64">
        <v>0.075</v>
      </c>
      <c r="O64">
        <v>0.04037283032815697</v>
      </c>
      <c r="P64" t="s">
        <v>635</v>
      </c>
      <c r="Q64" t="s">
        <v>420</v>
      </c>
      <c r="R64">
        <v>4</v>
      </c>
      <c r="S64">
        <v>0.1902648566153423</v>
      </c>
      <c r="T64">
        <v>234</v>
      </c>
      <c r="U64">
        <v>1.244700854700855</v>
      </c>
      <c r="V64">
        <v>12.6594</v>
      </c>
      <c r="W64">
        <v>13</v>
      </c>
      <c r="X64">
        <v>2.47344313599945</v>
      </c>
      <c r="Y64">
        <v>0.215055</v>
      </c>
      <c r="Z64">
        <v>0.06135986733001658</v>
      </c>
      <c r="AA64">
        <v>0.8309178743961353</v>
      </c>
      <c r="AB64">
        <v>0.7757234726688103</v>
      </c>
      <c r="AC64">
        <v>0.3794212218649518</v>
      </c>
      <c r="AD64">
        <v>0.3408360128617363</v>
      </c>
    </row>
    <row r="65" spans="1:30">
      <c r="A65" s="1" t="s">
        <v>72</v>
      </c>
      <c r="B65">
        <f>HYPERLINK("https://www.suredividend.com/sure-analysis-TR/","Tootsie Roll Industries, Inc.")</f>
        <v>0</v>
      </c>
      <c r="C65">
        <v>31.46</v>
      </c>
      <c r="D65">
        <v>2085.708296</v>
      </c>
      <c r="E65" t="s">
        <v>660</v>
      </c>
      <c r="F65" t="s">
        <v>631</v>
      </c>
      <c r="G65" t="s">
        <v>671</v>
      </c>
      <c r="H65" t="s">
        <v>702</v>
      </c>
      <c r="I65" t="s">
        <v>768</v>
      </c>
      <c r="J65" t="s">
        <v>1320</v>
      </c>
      <c r="K65">
        <v>43993</v>
      </c>
      <c r="L65">
        <v>0.011279264544523</v>
      </c>
      <c r="M65">
        <v>-0.002941603609739274</v>
      </c>
      <c r="N65">
        <v>0.03</v>
      </c>
      <c r="O65">
        <v>0.0370575868741605</v>
      </c>
      <c r="P65" t="s">
        <v>635</v>
      </c>
      <c r="Q65" t="s">
        <v>381</v>
      </c>
      <c r="R65">
        <v>52</v>
      </c>
      <c r="S65">
        <v>0.3452339598823824</v>
      </c>
      <c r="T65">
        <v>31</v>
      </c>
      <c r="U65">
        <v>1.014838709677419</v>
      </c>
      <c r="V65">
        <v>0.9506</v>
      </c>
      <c r="W65">
        <v>1.02</v>
      </c>
      <c r="X65">
        <v>0.35213863908003</v>
      </c>
      <c r="Y65">
        <v>-0.120331</v>
      </c>
      <c r="Z65">
        <v>0.0912106135986733</v>
      </c>
      <c r="AA65">
        <v>0.4541062801932367</v>
      </c>
      <c r="AB65">
        <v>0.2540192926045016</v>
      </c>
      <c r="AC65">
        <v>0.6430868167202572</v>
      </c>
      <c r="AD65">
        <v>0.3183279742765273</v>
      </c>
    </row>
    <row r="66" spans="1:30">
      <c r="A66" s="1" t="s">
        <v>73</v>
      </c>
      <c r="B66">
        <f>HYPERLINK("https://www.suredividend.com/sure-analysis-NWN/","Northwest Natural Holding Co.")</f>
        <v>0</v>
      </c>
      <c r="C66">
        <v>54.05</v>
      </c>
      <c r="D66">
        <v>1660.48056</v>
      </c>
      <c r="E66" t="s">
        <v>666</v>
      </c>
      <c r="F66" t="s">
        <v>631</v>
      </c>
      <c r="G66" t="s">
        <v>671</v>
      </c>
      <c r="H66" t="s">
        <v>702</v>
      </c>
      <c r="I66" t="s">
        <v>769</v>
      </c>
      <c r="J66" t="s">
        <v>1314</v>
      </c>
      <c r="K66">
        <v>44013</v>
      </c>
      <c r="L66">
        <v>0.03513612950699</v>
      </c>
      <c r="M66">
        <v>-0.02756533520359794</v>
      </c>
      <c r="N66">
        <v>0.029</v>
      </c>
      <c r="O66">
        <v>0.03582738265728702</v>
      </c>
      <c r="P66" t="s">
        <v>635</v>
      </c>
      <c r="Q66" t="s">
        <v>635</v>
      </c>
      <c r="R66">
        <v>64</v>
      </c>
      <c r="S66">
        <v>0.8127659574468086</v>
      </c>
      <c r="T66">
        <v>47</v>
      </c>
      <c r="U66">
        <v>1.15</v>
      </c>
      <c r="V66">
        <v>1.9712</v>
      </c>
      <c r="W66">
        <v>2.35</v>
      </c>
      <c r="X66">
        <v>1.91</v>
      </c>
      <c r="Y66">
        <v>-0.228956</v>
      </c>
      <c r="Z66">
        <v>0.5074626865671642</v>
      </c>
      <c r="AA66">
        <v>0.3091787439613526</v>
      </c>
      <c r="AB66">
        <v>0.2057877813504823</v>
      </c>
      <c r="AC66">
        <v>0.4871382636655949</v>
      </c>
      <c r="AD66">
        <v>0.3135048231511254</v>
      </c>
    </row>
    <row r="67" spans="1:30">
      <c r="A67" s="1" t="s">
        <v>74</v>
      </c>
      <c r="B67">
        <f>HYPERLINK("https://www.suredividend.com/sure-analysis-PH/","Parker-Hannifin Corp.")</f>
        <v>0</v>
      </c>
      <c r="C67">
        <v>208.53</v>
      </c>
      <c r="D67">
        <v>26216.52999</v>
      </c>
      <c r="E67" t="s">
        <v>662</v>
      </c>
      <c r="F67" t="s">
        <v>631</v>
      </c>
      <c r="G67" t="s">
        <v>671</v>
      </c>
      <c r="H67" t="s">
        <v>702</v>
      </c>
      <c r="I67" t="s">
        <v>770</v>
      </c>
      <c r="J67" t="s">
        <v>1315</v>
      </c>
      <c r="K67">
        <v>43963</v>
      </c>
      <c r="L67">
        <v>0.017215239399422</v>
      </c>
      <c r="M67">
        <v>-0.07528029136474679</v>
      </c>
      <c r="N67">
        <v>0.1</v>
      </c>
      <c r="O67">
        <v>0.03558035168521156</v>
      </c>
      <c r="P67" t="s">
        <v>635</v>
      </c>
      <c r="Q67" t="s">
        <v>636</v>
      </c>
      <c r="R67">
        <v>63</v>
      </c>
      <c r="S67">
        <v>0.374468085106383</v>
      </c>
      <c r="T67">
        <v>141</v>
      </c>
      <c r="U67">
        <v>1.478936170212766</v>
      </c>
      <c r="V67">
        <v>9.3941</v>
      </c>
      <c r="W67">
        <v>9.4</v>
      </c>
      <c r="X67">
        <v>3.52</v>
      </c>
      <c r="Y67">
        <v>0.180124</v>
      </c>
      <c r="Z67">
        <v>0.1940298507462687</v>
      </c>
      <c r="AA67">
        <v>0.8083735909822866</v>
      </c>
      <c r="AB67">
        <v>0.907556270096463</v>
      </c>
      <c r="AC67">
        <v>0.1897106109324759</v>
      </c>
      <c r="AD67">
        <v>0.3086816720257235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112.36</v>
      </c>
      <c r="D68">
        <v>15908.685</v>
      </c>
      <c r="E68" t="s">
        <v>665</v>
      </c>
      <c r="F68" t="s">
        <v>631</v>
      </c>
      <c r="G68" t="s">
        <v>671</v>
      </c>
      <c r="H68" t="s">
        <v>702</v>
      </c>
      <c r="I68" t="s">
        <v>771</v>
      </c>
      <c r="J68" t="s">
        <v>1315</v>
      </c>
      <c r="K68">
        <v>44034</v>
      </c>
      <c r="L68">
        <v>0.017737556561085</v>
      </c>
      <c r="M68">
        <v>-0.05877539365988926</v>
      </c>
      <c r="N68">
        <v>0.08</v>
      </c>
      <c r="O68">
        <v>0.03480337484081608</v>
      </c>
      <c r="P68" t="s">
        <v>635</v>
      </c>
      <c r="Q68" t="s">
        <v>636</v>
      </c>
      <c r="R68">
        <v>65</v>
      </c>
      <c r="S68">
        <v>0.3820662768031189</v>
      </c>
      <c r="T68">
        <v>83</v>
      </c>
      <c r="U68">
        <v>1.353734939759036</v>
      </c>
      <c r="V68">
        <v>4.6655</v>
      </c>
      <c r="W68">
        <v>5.13</v>
      </c>
      <c r="X68">
        <v>1.96</v>
      </c>
      <c r="Y68">
        <v>0.168903</v>
      </c>
      <c r="Z68">
        <v>0.2122719734660033</v>
      </c>
      <c r="AA68">
        <v>0.7938808373590982</v>
      </c>
      <c r="AB68">
        <v>0.8135048231511255</v>
      </c>
      <c r="AC68">
        <v>0.2749196141479099</v>
      </c>
      <c r="AD68">
        <v>0.3038585209003216</v>
      </c>
    </row>
    <row r="69" spans="1:30">
      <c r="A69" s="1" t="s">
        <v>76</v>
      </c>
      <c r="B69">
        <f>HYPERLINK("https://www.suredividend.com/sure-analysis-BRC/","Brady Corp.")</f>
        <v>0</v>
      </c>
      <c r="C69">
        <v>50.19</v>
      </c>
      <c r="D69">
        <v>2552.806002</v>
      </c>
      <c r="E69" t="s">
        <v>665</v>
      </c>
      <c r="F69" t="s">
        <v>631</v>
      </c>
      <c r="G69" t="s">
        <v>671</v>
      </c>
      <c r="H69" t="s">
        <v>702</v>
      </c>
      <c r="I69" t="s">
        <v>772</v>
      </c>
      <c r="J69" t="s">
        <v>1315</v>
      </c>
      <c r="K69">
        <v>43973</v>
      </c>
      <c r="L69">
        <v>0.017606350498676</v>
      </c>
      <c r="M69">
        <v>-0.03044990783568369</v>
      </c>
      <c r="N69">
        <v>0.05</v>
      </c>
      <c r="O69">
        <v>0.03419663791384253</v>
      </c>
      <c r="P69" t="s">
        <v>635</v>
      </c>
      <c r="Q69" t="s">
        <v>636</v>
      </c>
      <c r="R69">
        <v>34</v>
      </c>
      <c r="S69">
        <v>0.3680851063829787</v>
      </c>
      <c r="T69">
        <v>43</v>
      </c>
      <c r="U69">
        <v>1.167209302325581</v>
      </c>
      <c r="V69">
        <v>2.2863</v>
      </c>
      <c r="W69">
        <v>2.35</v>
      </c>
      <c r="X69">
        <v>0.865</v>
      </c>
      <c r="Y69">
        <v>-0.045446</v>
      </c>
      <c r="Z69">
        <v>0.208955223880597</v>
      </c>
      <c r="AA69">
        <v>0.571658615136876</v>
      </c>
      <c r="AB69">
        <v>0.5168810289389068</v>
      </c>
      <c r="AC69">
        <v>0.4614147909967846</v>
      </c>
      <c r="AD69">
        <v>0.2990353697749196</v>
      </c>
    </row>
    <row r="70" spans="1:30">
      <c r="A70" s="1" t="s">
        <v>77</v>
      </c>
      <c r="B70">
        <f>HYPERLINK("https://www.suredividend.com/sure-analysis-TROW/","T. Rowe Price Group, Inc.")</f>
        <v>0</v>
      </c>
      <c r="C70">
        <v>139.01</v>
      </c>
      <c r="D70">
        <v>31473.87876</v>
      </c>
      <c r="E70" t="s">
        <v>661</v>
      </c>
      <c r="F70" t="s">
        <v>631</v>
      </c>
      <c r="G70" t="s">
        <v>671</v>
      </c>
      <c r="H70" t="s">
        <v>701</v>
      </c>
      <c r="I70" t="s">
        <v>773</v>
      </c>
      <c r="J70" t="s">
        <v>1312</v>
      </c>
      <c r="K70">
        <v>44042</v>
      </c>
      <c r="L70">
        <v>0.023943458820135</v>
      </c>
      <c r="M70">
        <v>-0.04228917590254799</v>
      </c>
      <c r="N70">
        <v>0.05</v>
      </c>
      <c r="O70">
        <v>0.03338656545705643</v>
      </c>
      <c r="P70" t="s">
        <v>635</v>
      </c>
      <c r="Q70" t="s">
        <v>636</v>
      </c>
      <c r="R70">
        <v>34</v>
      </c>
      <c r="S70">
        <v>0.415</v>
      </c>
      <c r="T70">
        <v>112</v>
      </c>
      <c r="U70">
        <v>1.241160714285714</v>
      </c>
      <c r="V70">
        <v>8.5351</v>
      </c>
      <c r="W70">
        <v>8</v>
      </c>
      <c r="X70">
        <v>3.32</v>
      </c>
      <c r="Y70">
        <v>0.266485</v>
      </c>
      <c r="Z70">
        <v>0.330016583747927</v>
      </c>
      <c r="AA70">
        <v>0.8679549114331724</v>
      </c>
      <c r="AB70">
        <v>0.5168810289389068</v>
      </c>
      <c r="AC70">
        <v>0.3826366559485531</v>
      </c>
      <c r="AD70">
        <v>0.2845659163987138</v>
      </c>
    </row>
    <row r="71" spans="1:30">
      <c r="A71" s="1" t="s">
        <v>78</v>
      </c>
      <c r="B71">
        <f>HYPERLINK("https://www.suredividend.com/sure-analysis-BRO/","Brown &amp; Brown, Inc.")</f>
        <v>0</v>
      </c>
      <c r="C71">
        <v>45.66</v>
      </c>
      <c r="D71">
        <v>12989.64702</v>
      </c>
      <c r="E71" t="s">
        <v>663</v>
      </c>
      <c r="F71" t="s">
        <v>631</v>
      </c>
      <c r="G71" t="s">
        <v>671</v>
      </c>
      <c r="H71" t="s">
        <v>702</v>
      </c>
      <c r="I71" t="s">
        <v>774</v>
      </c>
      <c r="J71" t="s">
        <v>1312</v>
      </c>
      <c r="K71">
        <v>44041</v>
      </c>
      <c r="L71">
        <v>0.007402569126932001</v>
      </c>
      <c r="M71">
        <v>-0.05178585977514327</v>
      </c>
      <c r="N71">
        <v>0.08</v>
      </c>
      <c r="O71">
        <v>0.03272353168188213</v>
      </c>
      <c r="P71" t="s">
        <v>635</v>
      </c>
      <c r="Q71" t="s">
        <v>381</v>
      </c>
      <c r="R71">
        <v>26</v>
      </c>
      <c r="S71">
        <v>0.2125</v>
      </c>
      <c r="T71">
        <v>35</v>
      </c>
      <c r="U71">
        <v>1.304571428571428</v>
      </c>
      <c r="V71">
        <v>1.5618</v>
      </c>
      <c r="W71">
        <v>1.6</v>
      </c>
      <c r="X71">
        <v>0.34</v>
      </c>
      <c r="Y71">
        <v>0.25129</v>
      </c>
      <c r="Z71">
        <v>0.04643449419568823</v>
      </c>
      <c r="AA71">
        <v>0.85829307568438</v>
      </c>
      <c r="AB71">
        <v>0.8135048231511255</v>
      </c>
      <c r="AC71">
        <v>0.3070739549839228</v>
      </c>
      <c r="AD71">
        <v>0.2797427652733119</v>
      </c>
    </row>
    <row r="72" spans="1:30">
      <c r="A72" s="1" t="s">
        <v>79</v>
      </c>
      <c r="B72">
        <f>HYPERLINK("https://www.suredividend.com/sure-analysis-TGT/","Target Corp.")</f>
        <v>0</v>
      </c>
      <c r="C72">
        <v>131.72</v>
      </c>
      <c r="D72">
        <v>66471.9941</v>
      </c>
      <c r="E72" t="s">
        <v>663</v>
      </c>
      <c r="F72" t="s">
        <v>631</v>
      </c>
      <c r="G72" t="s">
        <v>671</v>
      </c>
      <c r="H72" t="s">
        <v>702</v>
      </c>
      <c r="I72" t="s">
        <v>775</v>
      </c>
      <c r="J72" t="s">
        <v>1320</v>
      </c>
      <c r="K72">
        <v>43984</v>
      </c>
      <c r="L72">
        <v>0.019858582819316</v>
      </c>
      <c r="M72">
        <v>-0.04985543173549134</v>
      </c>
      <c r="N72">
        <v>0.06</v>
      </c>
      <c r="O72">
        <v>0.02941405211129555</v>
      </c>
      <c r="P72" t="s">
        <v>635</v>
      </c>
      <c r="Q72" t="s">
        <v>636</v>
      </c>
      <c r="R72">
        <v>52</v>
      </c>
      <c r="S72">
        <v>0.528</v>
      </c>
      <c r="T72">
        <v>102</v>
      </c>
      <c r="U72">
        <v>1.291372549019608</v>
      </c>
      <c r="V72">
        <v>5.4469</v>
      </c>
      <c r="W72">
        <v>5</v>
      </c>
      <c r="X72">
        <v>2.64</v>
      </c>
      <c r="Y72">
        <v>0.5721959999999999</v>
      </c>
      <c r="Z72">
        <v>0.2653399668325042</v>
      </c>
      <c r="AA72">
        <v>0.9694041867954911</v>
      </c>
      <c r="AB72">
        <v>0.6430868167202572</v>
      </c>
      <c r="AC72">
        <v>0.3247588424437299</v>
      </c>
      <c r="AD72">
        <v>0.2668810289389068</v>
      </c>
    </row>
    <row r="73" spans="1:30">
      <c r="A73" s="1" t="s">
        <v>80</v>
      </c>
      <c r="B73">
        <f>HYPERLINK("https://www.suredividend.com/sure-analysis-AAP/","Advance Auto Parts, Inc.")</f>
        <v>0</v>
      </c>
      <c r="C73">
        <v>151.94</v>
      </c>
      <c r="D73">
        <v>10594.595984</v>
      </c>
      <c r="E73" t="s">
        <v>661</v>
      </c>
      <c r="F73" t="s">
        <v>631</v>
      </c>
      <c r="G73" t="s">
        <v>671</v>
      </c>
      <c r="H73" t="s">
        <v>702</v>
      </c>
      <c r="I73" t="s">
        <v>776</v>
      </c>
      <c r="J73" t="s">
        <v>1313</v>
      </c>
      <c r="K73">
        <v>43971</v>
      </c>
      <c r="L73">
        <v>0.002804591703626</v>
      </c>
      <c r="M73">
        <v>-0.07301598873072823</v>
      </c>
      <c r="N73">
        <v>0.1</v>
      </c>
      <c r="O73">
        <v>0.02666322295026546</v>
      </c>
      <c r="P73" t="s">
        <v>635</v>
      </c>
      <c r="Q73" t="s">
        <v>420</v>
      </c>
      <c r="R73">
        <v>1</v>
      </c>
      <c r="S73">
        <v>0.06615384615384615</v>
      </c>
      <c r="T73">
        <v>104</v>
      </c>
      <c r="U73">
        <v>1.460961538461538</v>
      </c>
      <c r="V73">
        <v>5.5118</v>
      </c>
      <c r="W73">
        <v>6.5</v>
      </c>
      <c r="X73">
        <v>0.43</v>
      </c>
      <c r="Y73">
        <v>0.0527</v>
      </c>
      <c r="Z73">
        <v>0.01326699834162521</v>
      </c>
      <c r="AA73">
        <v>0.6924315619967794</v>
      </c>
      <c r="AB73">
        <v>0.907556270096463</v>
      </c>
      <c r="AC73">
        <v>0.1961414790996784</v>
      </c>
      <c r="AD73">
        <v>0.2556270096463023</v>
      </c>
    </row>
    <row r="74" spans="1:30">
      <c r="A74" s="1" t="s">
        <v>81</v>
      </c>
      <c r="B74">
        <f>HYPERLINK("https://www.suredividend.com/sure-analysis-TSCO/","Tractor Supply Co.")</f>
        <v>0</v>
      </c>
      <c r="C74">
        <v>145.135</v>
      </c>
      <c r="D74">
        <v>17102.3616</v>
      </c>
      <c r="E74" t="s">
        <v>666</v>
      </c>
      <c r="F74" t="s">
        <v>631</v>
      </c>
      <c r="G74" t="s">
        <v>671</v>
      </c>
      <c r="H74" t="s">
        <v>701</v>
      </c>
      <c r="I74" t="s">
        <v>777</v>
      </c>
      <c r="J74" t="s">
        <v>1313</v>
      </c>
      <c r="K74">
        <v>44041</v>
      </c>
      <c r="L74">
        <v>0.009514101257220001</v>
      </c>
      <c r="M74">
        <v>-0.05565460224621421</v>
      </c>
      <c r="N74">
        <v>0.075</v>
      </c>
      <c r="O74">
        <v>0.0262345259245178</v>
      </c>
      <c r="P74" t="s">
        <v>635</v>
      </c>
      <c r="Q74" t="s">
        <v>420</v>
      </c>
      <c r="R74">
        <v>9</v>
      </c>
      <c r="S74">
        <v>0.2447552447552447</v>
      </c>
      <c r="T74">
        <v>109</v>
      </c>
      <c r="U74">
        <v>1.33151376146789</v>
      </c>
      <c r="V74">
        <v>5.8842</v>
      </c>
      <c r="W74">
        <v>5.72</v>
      </c>
      <c r="X74">
        <v>1.4</v>
      </c>
      <c r="Y74">
        <v>0.357719</v>
      </c>
      <c r="Z74">
        <v>0.06965174129353234</v>
      </c>
      <c r="AA74">
        <v>0.9194847020933977</v>
      </c>
      <c r="AB74">
        <v>0.7757234726688103</v>
      </c>
      <c r="AC74">
        <v>0.2877813504823151</v>
      </c>
      <c r="AD74">
        <v>0.2524115755627009</v>
      </c>
    </row>
    <row r="75" spans="1:30">
      <c r="A75" s="1" t="s">
        <v>82</v>
      </c>
      <c r="B75">
        <f>HYPERLINK("https://www.suredividend.com/sure-analysis-EMR/","Emerson Electric Co.")</f>
        <v>0</v>
      </c>
      <c r="C75">
        <v>70.29000000000001</v>
      </c>
      <c r="D75">
        <v>40737.84664</v>
      </c>
      <c r="E75" t="s">
        <v>663</v>
      </c>
      <c r="F75" t="s">
        <v>631</v>
      </c>
      <c r="G75" t="s">
        <v>671</v>
      </c>
      <c r="H75" t="s">
        <v>702</v>
      </c>
      <c r="I75" t="s">
        <v>778</v>
      </c>
      <c r="J75" t="s">
        <v>1315</v>
      </c>
      <c r="K75">
        <v>43965</v>
      </c>
      <c r="L75">
        <v>0.029191726565938</v>
      </c>
      <c r="M75">
        <v>-0.05136303554982413</v>
      </c>
      <c r="N75">
        <v>0.05</v>
      </c>
      <c r="O75">
        <v>0.0258583201460072</v>
      </c>
      <c r="P75" t="s">
        <v>635</v>
      </c>
      <c r="Q75" t="s">
        <v>635</v>
      </c>
      <c r="R75">
        <v>63</v>
      </c>
      <c r="S75">
        <v>0.6633333333333333</v>
      </c>
      <c r="T75">
        <v>54</v>
      </c>
      <c r="U75">
        <v>1.301666666666667</v>
      </c>
      <c r="V75">
        <v>3.224</v>
      </c>
      <c r="W75">
        <v>3</v>
      </c>
      <c r="X75">
        <v>1.99</v>
      </c>
      <c r="Y75">
        <v>0.092151</v>
      </c>
      <c r="Z75">
        <v>0.4145936981757877</v>
      </c>
      <c r="AA75">
        <v>0.7359098228663445</v>
      </c>
      <c r="AB75">
        <v>0.5168810289389068</v>
      </c>
      <c r="AC75">
        <v>0.3118971061093248</v>
      </c>
      <c r="AD75">
        <v>0.2491961414790997</v>
      </c>
    </row>
    <row r="76" spans="1:30">
      <c r="A76" s="1" t="s">
        <v>83</v>
      </c>
      <c r="B76">
        <f>HYPERLINK("https://www.suredividend.com/sure-analysis-MSA/","MSA Safety, Inc.")</f>
        <v>0</v>
      </c>
      <c r="C76">
        <v>126.14</v>
      </c>
      <c r="D76">
        <v>4856.56164</v>
      </c>
      <c r="E76" t="s">
        <v>661</v>
      </c>
      <c r="F76" t="s">
        <v>631</v>
      </c>
      <c r="G76" t="s">
        <v>671</v>
      </c>
      <c r="H76" t="s">
        <v>702</v>
      </c>
      <c r="I76" t="s">
        <v>779</v>
      </c>
      <c r="J76" t="s">
        <v>1315</v>
      </c>
      <c r="K76">
        <v>44049</v>
      </c>
      <c r="L76">
        <v>0.013530824659727</v>
      </c>
      <c r="M76">
        <v>-0.05712307934729766</v>
      </c>
      <c r="N76">
        <v>0.07000000000000001</v>
      </c>
      <c r="O76">
        <v>0.02550764165169106</v>
      </c>
      <c r="P76" t="s">
        <v>635</v>
      </c>
      <c r="Q76" t="s">
        <v>636</v>
      </c>
      <c r="R76">
        <v>49</v>
      </c>
      <c r="S76">
        <v>0.3595744680851063</v>
      </c>
      <c r="T76">
        <v>94</v>
      </c>
      <c r="U76">
        <v>1.341914893617021</v>
      </c>
      <c r="V76">
        <v>3.9448</v>
      </c>
      <c r="W76">
        <v>4.7</v>
      </c>
      <c r="X76">
        <v>1.69</v>
      </c>
      <c r="Y76">
        <v>0.147856</v>
      </c>
      <c r="Z76">
        <v>0.1293532338308458</v>
      </c>
      <c r="AA76">
        <v>0.7842190016103059</v>
      </c>
      <c r="AB76">
        <v>0.7355305466237942</v>
      </c>
      <c r="AC76">
        <v>0.2797427652733119</v>
      </c>
      <c r="AD76">
        <v>0.247588424437299</v>
      </c>
    </row>
    <row r="77" spans="1:30">
      <c r="A77" s="1" t="s">
        <v>84</v>
      </c>
      <c r="B77">
        <f>HYPERLINK("https://www.suredividend.com/sure-analysis-CSX/","CSX Corp.")</f>
        <v>0</v>
      </c>
      <c r="C77">
        <v>75.16500000000001</v>
      </c>
      <c r="D77">
        <v>56675.12624</v>
      </c>
      <c r="E77" t="s">
        <v>663</v>
      </c>
      <c r="F77" t="s">
        <v>631</v>
      </c>
      <c r="G77" t="s">
        <v>671</v>
      </c>
      <c r="H77" t="s">
        <v>701</v>
      </c>
      <c r="I77" t="s">
        <v>780</v>
      </c>
      <c r="J77" t="s">
        <v>1315</v>
      </c>
      <c r="K77">
        <v>44035</v>
      </c>
      <c r="L77">
        <v>0.013498920086393</v>
      </c>
      <c r="M77">
        <v>-0.06749312674224583</v>
      </c>
      <c r="N77">
        <v>0.08</v>
      </c>
      <c r="O77">
        <v>0.02503612421365875</v>
      </c>
      <c r="P77" t="s">
        <v>635</v>
      </c>
      <c r="Q77" t="s">
        <v>381</v>
      </c>
      <c r="R77">
        <v>16</v>
      </c>
      <c r="S77">
        <v>0.2857142857142857</v>
      </c>
      <c r="T77">
        <v>53</v>
      </c>
      <c r="U77">
        <v>1.418207547169811</v>
      </c>
      <c r="V77">
        <v>3.7224</v>
      </c>
      <c r="W77">
        <v>3.5</v>
      </c>
      <c r="X77">
        <v>1</v>
      </c>
      <c r="Y77">
        <v>0.092748</v>
      </c>
      <c r="Z77">
        <v>0.1276948590381426</v>
      </c>
      <c r="AA77">
        <v>0.7391304347826088</v>
      </c>
      <c r="AB77">
        <v>0.8135048231511255</v>
      </c>
      <c r="AC77">
        <v>0.2186495176848874</v>
      </c>
      <c r="AD77">
        <v>0.2443729903536977</v>
      </c>
    </row>
    <row r="78" spans="1:30">
      <c r="A78" s="1" t="s">
        <v>85</v>
      </c>
      <c r="B78">
        <f>HYPERLINK("https://www.suredividend.com/sure-analysis-COST/","Costco Wholesale Corp.")</f>
        <v>0</v>
      </c>
      <c r="C78">
        <v>332.1</v>
      </c>
      <c r="D78">
        <v>150118.16</v>
      </c>
      <c r="E78" t="s">
        <v>663</v>
      </c>
      <c r="F78" t="s">
        <v>631</v>
      </c>
      <c r="G78" t="s">
        <v>671</v>
      </c>
      <c r="H78" t="s">
        <v>701</v>
      </c>
      <c r="I78" t="s">
        <v>781</v>
      </c>
      <c r="J78" t="s">
        <v>1320</v>
      </c>
      <c r="K78">
        <v>43998</v>
      </c>
      <c r="L78">
        <v>0.007794117647058001</v>
      </c>
      <c r="M78">
        <v>-0.07822552122579807</v>
      </c>
      <c r="N78">
        <v>0.1</v>
      </c>
      <c r="O78">
        <v>0.02444687009897595</v>
      </c>
      <c r="P78" t="s">
        <v>635</v>
      </c>
      <c r="Q78" t="s">
        <v>420</v>
      </c>
      <c r="R78">
        <v>17</v>
      </c>
      <c r="S78">
        <v>0.3117647058823529</v>
      </c>
      <c r="T78">
        <v>221</v>
      </c>
      <c r="U78">
        <v>1.502714932126697</v>
      </c>
      <c r="V78">
        <v>8.405799999999999</v>
      </c>
      <c r="W78">
        <v>8.5</v>
      </c>
      <c r="X78">
        <v>2.65</v>
      </c>
      <c r="Y78">
        <v>0.240575</v>
      </c>
      <c r="Z78">
        <v>0.05472636815920398</v>
      </c>
      <c r="AA78">
        <v>0.8534621578099839</v>
      </c>
      <c r="AB78">
        <v>0.907556270096463</v>
      </c>
      <c r="AC78">
        <v>0.1752411575562701</v>
      </c>
      <c r="AD78">
        <v>0.2395498392282958</v>
      </c>
    </row>
    <row r="79" spans="1:30">
      <c r="A79" s="1" t="s">
        <v>86</v>
      </c>
      <c r="B79">
        <f>HYPERLINK("https://www.suredividend.com/sure-analysis-ROP/","Roper Technologies, Inc.")</f>
        <v>0</v>
      </c>
      <c r="C79">
        <v>434.71</v>
      </c>
      <c r="D79">
        <v>46211.05852</v>
      </c>
      <c r="E79" t="s">
        <v>670</v>
      </c>
      <c r="F79" t="s">
        <v>631</v>
      </c>
      <c r="G79" t="s">
        <v>671</v>
      </c>
      <c r="H79" t="s">
        <v>702</v>
      </c>
      <c r="I79" t="s">
        <v>782</v>
      </c>
      <c r="J79" t="s">
        <v>1315</v>
      </c>
      <c r="K79">
        <v>44050</v>
      </c>
      <c r="L79">
        <v>0.004531858968548</v>
      </c>
      <c r="M79">
        <v>-0.06120249592741778</v>
      </c>
      <c r="N79">
        <v>0.08500000000000001</v>
      </c>
      <c r="O79">
        <v>0.02424292012646734</v>
      </c>
      <c r="P79" t="s">
        <v>635</v>
      </c>
      <c r="Q79" t="s">
        <v>381</v>
      </c>
      <c r="R79">
        <v>27</v>
      </c>
      <c r="S79">
        <v>0.1639344262295082</v>
      </c>
      <c r="T79">
        <v>317</v>
      </c>
      <c r="U79">
        <v>1.371324921135647</v>
      </c>
      <c r="V79">
        <v>15.4377</v>
      </c>
      <c r="W79">
        <v>12.2</v>
      </c>
      <c r="X79">
        <v>2</v>
      </c>
      <c r="Y79">
        <v>0.229881</v>
      </c>
      <c r="Z79">
        <v>0.01658374792703151</v>
      </c>
      <c r="AA79">
        <v>0.8405797101449275</v>
      </c>
      <c r="AB79">
        <v>0.8480707395498392</v>
      </c>
      <c r="AC79">
        <v>0.2524115755627009</v>
      </c>
      <c r="AD79">
        <v>0.2379421221864952</v>
      </c>
    </row>
    <row r="80" spans="1:30">
      <c r="A80" s="1" t="s">
        <v>87</v>
      </c>
      <c r="B80">
        <f>HYPERLINK("https://www.suredividend.com/sure-analysis-THFF/","First Financial Corp. (Indiana)")</f>
        <v>0</v>
      </c>
      <c r="C80">
        <v>35.91</v>
      </c>
      <c r="D80">
        <v>488.099055</v>
      </c>
      <c r="E80" t="s">
        <v>663</v>
      </c>
      <c r="F80" t="s">
        <v>631</v>
      </c>
      <c r="G80" t="s">
        <v>671</v>
      </c>
      <c r="H80" t="s">
        <v>701</v>
      </c>
      <c r="I80" t="s">
        <v>783</v>
      </c>
      <c r="J80" t="s">
        <v>1312</v>
      </c>
      <c r="K80">
        <v>44050</v>
      </c>
      <c r="L80">
        <v>0.029221691486372</v>
      </c>
      <c r="M80">
        <v>-0.005120395204030626</v>
      </c>
      <c r="N80">
        <v>0</v>
      </c>
      <c r="O80">
        <v>0.0235842747059809</v>
      </c>
      <c r="P80" t="s">
        <v>635</v>
      </c>
      <c r="Q80" t="s">
        <v>635</v>
      </c>
      <c r="R80">
        <v>31</v>
      </c>
      <c r="S80">
        <v>0.3301587301587302</v>
      </c>
      <c r="T80">
        <v>35</v>
      </c>
      <c r="U80">
        <v>1.026</v>
      </c>
      <c r="V80">
        <v>3.7352</v>
      </c>
      <c r="W80">
        <v>3.15</v>
      </c>
      <c r="X80">
        <v>1.04</v>
      </c>
      <c r="Y80">
        <v>-0.148798</v>
      </c>
      <c r="Z80">
        <v>0.4179104477611941</v>
      </c>
      <c r="AA80">
        <v>0.4235104669887279</v>
      </c>
      <c r="AB80">
        <v>0.04662379421221865</v>
      </c>
      <c r="AC80">
        <v>0.6286173633440515</v>
      </c>
      <c r="AD80">
        <v>0.2347266881028939</v>
      </c>
    </row>
    <row r="81" spans="1:30">
      <c r="A81" s="1" t="s">
        <v>88</v>
      </c>
      <c r="B81">
        <f>HYPERLINK("https://www.suredividend.com/sure-analysis-GRC/","The Gorman-Rupp Co.")</f>
        <v>0</v>
      </c>
      <c r="C81">
        <v>34.64</v>
      </c>
      <c r="D81">
        <v>880.68148</v>
      </c>
      <c r="E81" t="s">
        <v>663</v>
      </c>
      <c r="F81" t="s">
        <v>631</v>
      </c>
      <c r="G81" t="s">
        <v>671</v>
      </c>
      <c r="H81" t="s">
        <v>702</v>
      </c>
      <c r="I81" t="s">
        <v>784</v>
      </c>
      <c r="J81" t="s">
        <v>1315</v>
      </c>
      <c r="K81">
        <v>44043</v>
      </c>
      <c r="L81">
        <v>0.016893894487255</v>
      </c>
      <c r="M81">
        <v>-0.07076261993262511</v>
      </c>
      <c r="N81">
        <v>0.08</v>
      </c>
      <c r="O81">
        <v>0.02082214014127337</v>
      </c>
      <c r="P81" t="s">
        <v>635</v>
      </c>
      <c r="Q81" t="s">
        <v>381</v>
      </c>
      <c r="R81">
        <v>47</v>
      </c>
      <c r="S81">
        <v>0.5181818181818182</v>
      </c>
      <c r="T81">
        <v>24</v>
      </c>
      <c r="U81">
        <v>1.443333333333333</v>
      </c>
      <c r="V81">
        <v>1.1202</v>
      </c>
      <c r="W81">
        <v>1.1</v>
      </c>
      <c r="X81">
        <v>0.5700000000000001</v>
      </c>
      <c r="Y81">
        <v>0.020006</v>
      </c>
      <c r="Z81">
        <v>0.1873963515754561</v>
      </c>
      <c r="AA81">
        <v>0.6602254428341385</v>
      </c>
      <c r="AB81">
        <v>0.8135048231511255</v>
      </c>
      <c r="AC81">
        <v>0.2057877813504823</v>
      </c>
      <c r="AD81">
        <v>0.2202572347266881</v>
      </c>
    </row>
    <row r="82" spans="1:30">
      <c r="A82" s="1" t="s">
        <v>89</v>
      </c>
      <c r="B82">
        <f>HYPERLINK("https://www.suredividend.com/sure-analysis-CLX/","The Clorox Co.")</f>
        <v>0</v>
      </c>
      <c r="C82">
        <v>222.3</v>
      </c>
      <c r="D82">
        <v>29193.336</v>
      </c>
      <c r="E82" t="s">
        <v>663</v>
      </c>
      <c r="F82" t="s">
        <v>631</v>
      </c>
      <c r="G82" t="s">
        <v>671</v>
      </c>
      <c r="H82" t="s">
        <v>702</v>
      </c>
      <c r="I82" t="s">
        <v>785</v>
      </c>
      <c r="J82" t="s">
        <v>1320</v>
      </c>
      <c r="K82">
        <v>44051</v>
      </c>
      <c r="L82">
        <v>0.018383613301336</v>
      </c>
      <c r="M82">
        <v>-0.04672167772566893</v>
      </c>
      <c r="N82">
        <v>0.045</v>
      </c>
      <c r="O82">
        <v>0.01803885841804664</v>
      </c>
      <c r="P82" t="s">
        <v>635</v>
      </c>
      <c r="Q82" t="s">
        <v>381</v>
      </c>
      <c r="R82">
        <v>43</v>
      </c>
      <c r="S82">
        <v>0.5644736842105263</v>
      </c>
      <c r="T82">
        <v>175</v>
      </c>
      <c r="U82">
        <v>1.270285714285714</v>
      </c>
      <c r="V82">
        <v>7.4588</v>
      </c>
      <c r="W82">
        <v>7.6</v>
      </c>
      <c r="X82">
        <v>4.29</v>
      </c>
      <c r="Y82">
        <v>0.493836</v>
      </c>
      <c r="Z82">
        <v>0.2288557213930348</v>
      </c>
      <c r="AA82">
        <v>0.9516908212560387</v>
      </c>
      <c r="AB82">
        <v>0.4429260450160772</v>
      </c>
      <c r="AC82">
        <v>0.3520900321543408</v>
      </c>
      <c r="AD82">
        <v>0.202572347266881</v>
      </c>
    </row>
    <row r="83" spans="1:30">
      <c r="A83" s="1" t="s">
        <v>90</v>
      </c>
      <c r="B83">
        <f>HYPERLINK("https://www.suredividend.com/sure-analysis-MSFT/","Microsoft Corp.")</f>
        <v>0</v>
      </c>
      <c r="C83">
        <v>203.57</v>
      </c>
      <c r="D83">
        <v>1575963.1125</v>
      </c>
      <c r="E83" t="s">
        <v>661</v>
      </c>
      <c r="F83" t="s">
        <v>631</v>
      </c>
      <c r="G83" t="s">
        <v>671</v>
      </c>
      <c r="H83" t="s">
        <v>701</v>
      </c>
      <c r="I83" t="s">
        <v>786</v>
      </c>
      <c r="J83" t="s">
        <v>1318</v>
      </c>
      <c r="K83">
        <v>44042</v>
      </c>
      <c r="L83">
        <v>0.009795918367346002</v>
      </c>
      <c r="M83">
        <v>-0.07750286435909159</v>
      </c>
      <c r="N83">
        <v>0.09</v>
      </c>
      <c r="O83">
        <v>0.01800078726179533</v>
      </c>
      <c r="P83" t="s">
        <v>635</v>
      </c>
      <c r="Q83" t="s">
        <v>420</v>
      </c>
      <c r="R83">
        <v>18</v>
      </c>
      <c r="S83">
        <v>0.3290322580645161</v>
      </c>
      <c r="T83">
        <v>136</v>
      </c>
      <c r="U83">
        <v>1.496838235294118</v>
      </c>
      <c r="V83">
        <v>5.8207</v>
      </c>
      <c r="W83">
        <v>6.2</v>
      </c>
      <c r="X83">
        <v>2.04</v>
      </c>
      <c r="Y83">
        <v>0.529844</v>
      </c>
      <c r="Z83">
        <v>0.07296849087893864</v>
      </c>
      <c r="AA83">
        <v>0.9613526570048309</v>
      </c>
      <c r="AB83">
        <v>0.8657556270096463</v>
      </c>
      <c r="AC83">
        <v>0.180064308681672</v>
      </c>
      <c r="AD83">
        <v>0.2009646302250804</v>
      </c>
    </row>
    <row r="84" spans="1:30">
      <c r="A84" s="1" t="s">
        <v>91</v>
      </c>
      <c r="B84">
        <f>HYPERLINK("https://www.suredividend.com/sure-analysis-CHD/","Church &amp; Dwight Co., Inc.")</f>
        <v>0</v>
      </c>
      <c r="C84">
        <v>92.70999999999999</v>
      </c>
      <c r="D84">
        <v>23440.23136</v>
      </c>
      <c r="E84" t="s">
        <v>663</v>
      </c>
      <c r="F84" t="s">
        <v>631</v>
      </c>
      <c r="G84" t="s">
        <v>671</v>
      </c>
      <c r="H84" t="s">
        <v>702</v>
      </c>
      <c r="I84" t="s">
        <v>787</v>
      </c>
      <c r="J84" t="s">
        <v>1320</v>
      </c>
      <c r="K84">
        <v>44050</v>
      </c>
      <c r="L84">
        <v>0.009864950411479001</v>
      </c>
      <c r="M84">
        <v>-0.06011121757628113</v>
      </c>
      <c r="N84">
        <v>0.07000000000000001</v>
      </c>
      <c r="O84">
        <v>0.01786076775195844</v>
      </c>
      <c r="P84" t="s">
        <v>635</v>
      </c>
      <c r="Q84" t="s">
        <v>381</v>
      </c>
      <c r="R84">
        <v>24</v>
      </c>
      <c r="S84">
        <v>0.3280701754385965</v>
      </c>
      <c r="T84">
        <v>68</v>
      </c>
      <c r="U84">
        <v>1.363382352941176</v>
      </c>
      <c r="V84">
        <v>2.9322</v>
      </c>
      <c r="W84">
        <v>2.85</v>
      </c>
      <c r="X84">
        <v>0.9350000000000001</v>
      </c>
      <c r="Y84">
        <v>0.230052</v>
      </c>
      <c r="Z84">
        <v>0.07628524046434494</v>
      </c>
      <c r="AA84">
        <v>0.8421900161030595</v>
      </c>
      <c r="AB84">
        <v>0.7355305466237942</v>
      </c>
      <c r="AC84">
        <v>0.2652733118971061</v>
      </c>
      <c r="AD84">
        <v>0.1993569131832797</v>
      </c>
    </row>
    <row r="85" spans="1:30">
      <c r="A85" s="1" t="s">
        <v>92</v>
      </c>
      <c r="B85">
        <f>HYPERLINK("https://www.suredividend.com/sure-analysis-GWW/","W.W. Grainger, Inc.")</f>
        <v>0</v>
      </c>
      <c r="C85">
        <v>352.92</v>
      </c>
      <c r="D85">
        <v>18860.988419</v>
      </c>
      <c r="E85" t="s">
        <v>666</v>
      </c>
      <c r="F85" t="s">
        <v>631</v>
      </c>
      <c r="G85" t="s">
        <v>671</v>
      </c>
      <c r="H85" t="s">
        <v>702</v>
      </c>
      <c r="I85" t="s">
        <v>788</v>
      </c>
      <c r="J85" t="s">
        <v>1315</v>
      </c>
      <c r="K85">
        <v>44039</v>
      </c>
      <c r="L85">
        <v>0.016360382878404</v>
      </c>
      <c r="M85">
        <v>-0.08609458725212538</v>
      </c>
      <c r="N85">
        <v>0.094</v>
      </c>
      <c r="O85">
        <v>0.01755934526499225</v>
      </c>
      <c r="P85" t="s">
        <v>635</v>
      </c>
      <c r="Q85" t="s">
        <v>636</v>
      </c>
      <c r="R85">
        <v>48</v>
      </c>
      <c r="S85">
        <v>0.3842561707805203</v>
      </c>
      <c r="T85">
        <v>225</v>
      </c>
      <c r="U85">
        <v>1.568533333333333</v>
      </c>
      <c r="V85">
        <v>11.5778</v>
      </c>
      <c r="W85">
        <v>14.99</v>
      </c>
      <c r="X85">
        <v>5.76</v>
      </c>
      <c r="Y85">
        <v>0.262758</v>
      </c>
      <c r="Z85">
        <v>0.1741293532338309</v>
      </c>
      <c r="AA85">
        <v>0.8647342995169082</v>
      </c>
      <c r="AB85">
        <v>0.8810289389067525</v>
      </c>
      <c r="AC85">
        <v>0.1479099678456592</v>
      </c>
      <c r="AD85">
        <v>0.1961414790996784</v>
      </c>
    </row>
    <row r="86" spans="1:30">
      <c r="A86" s="1" t="s">
        <v>93</v>
      </c>
      <c r="B86">
        <f>HYPERLINK("https://www.suredividend.com/sure-analysis-SHW/","The Sherwin-Williams Co.")</f>
        <v>0</v>
      </c>
      <c r="C86">
        <v>652.4</v>
      </c>
      <c r="D86">
        <v>59296.117125</v>
      </c>
      <c r="E86" t="s">
        <v>661</v>
      </c>
      <c r="F86" t="s">
        <v>631</v>
      </c>
      <c r="G86" t="s">
        <v>671</v>
      </c>
      <c r="H86" t="s">
        <v>702</v>
      </c>
      <c r="I86" t="s">
        <v>789</v>
      </c>
      <c r="J86" t="s">
        <v>1321</v>
      </c>
      <c r="K86">
        <v>44042</v>
      </c>
      <c r="L86">
        <v>0.007585412667946</v>
      </c>
      <c r="M86">
        <v>-0.06228807790741553</v>
      </c>
      <c r="N86">
        <v>0.07000000000000001</v>
      </c>
      <c r="O86">
        <v>0.01401690489912899</v>
      </c>
      <c r="P86" t="s">
        <v>635</v>
      </c>
      <c r="Q86" t="s">
        <v>381</v>
      </c>
      <c r="R86">
        <v>42</v>
      </c>
      <c r="S86">
        <v>0.2195555555555556</v>
      </c>
      <c r="T86">
        <v>473</v>
      </c>
      <c r="U86">
        <v>1.379281183932347</v>
      </c>
      <c r="V86">
        <v>19.1088</v>
      </c>
      <c r="W86">
        <v>22.5</v>
      </c>
      <c r="X86">
        <v>4.94</v>
      </c>
      <c r="Y86">
        <v>0.254935</v>
      </c>
      <c r="Z86">
        <v>0.05306799336650083</v>
      </c>
      <c r="AA86">
        <v>0.8615136876006442</v>
      </c>
      <c r="AB86">
        <v>0.7355305466237942</v>
      </c>
      <c r="AC86">
        <v>0.2491961414790997</v>
      </c>
      <c r="AD86">
        <v>0.180064308681672</v>
      </c>
    </row>
    <row r="87" spans="1:30">
      <c r="A87" s="1" t="s">
        <v>94</v>
      </c>
      <c r="B87">
        <f>HYPERLINK("https://www.suredividend.com/sure-analysis-ABT/","Abbott Laboratories")</f>
        <v>0</v>
      </c>
      <c r="C87">
        <v>99.06</v>
      </c>
      <c r="D87">
        <v>177123.8212</v>
      </c>
      <c r="E87" t="s">
        <v>661</v>
      </c>
      <c r="F87" t="s">
        <v>631</v>
      </c>
      <c r="G87" t="s">
        <v>671</v>
      </c>
      <c r="H87" t="s">
        <v>702</v>
      </c>
      <c r="I87" t="s">
        <v>790</v>
      </c>
      <c r="J87" t="s">
        <v>1316</v>
      </c>
      <c r="K87">
        <v>44035</v>
      </c>
      <c r="L87">
        <v>0.013994402239104</v>
      </c>
      <c r="M87">
        <v>-0.07800381854838967</v>
      </c>
      <c r="N87">
        <v>0.08</v>
      </c>
      <c r="O87">
        <v>0.013846461422101</v>
      </c>
      <c r="P87" t="s">
        <v>635</v>
      </c>
      <c r="Q87" t="s">
        <v>381</v>
      </c>
      <c r="R87">
        <v>48</v>
      </c>
      <c r="S87">
        <v>0.4242424242424243</v>
      </c>
      <c r="T87">
        <v>66</v>
      </c>
      <c r="U87">
        <v>1.500909090909091</v>
      </c>
      <c r="V87">
        <v>1.7492</v>
      </c>
      <c r="W87">
        <v>3.3</v>
      </c>
      <c r="X87">
        <v>1.4</v>
      </c>
      <c r="Y87">
        <v>0.1789</v>
      </c>
      <c r="Z87">
        <v>0.1343283582089552</v>
      </c>
      <c r="AA87">
        <v>0.8051529790660226</v>
      </c>
      <c r="AB87">
        <v>0.8135048231511255</v>
      </c>
      <c r="AC87">
        <v>0.1768488745980707</v>
      </c>
      <c r="AD87">
        <v>0.1784565916398714</v>
      </c>
    </row>
    <row r="88" spans="1:30">
      <c r="A88" s="1" t="s">
        <v>95</v>
      </c>
      <c r="B88">
        <f>HYPERLINK("https://www.suredividend.com/sure-analysis-SJW/","SJW Group")</f>
        <v>0</v>
      </c>
      <c r="C88">
        <v>66.43000000000001</v>
      </c>
      <c r="D88">
        <v>2025.735844</v>
      </c>
      <c r="E88" t="s">
        <v>665</v>
      </c>
      <c r="F88" t="s">
        <v>631</v>
      </c>
      <c r="G88" t="s">
        <v>671</v>
      </c>
      <c r="H88" t="s">
        <v>702</v>
      </c>
      <c r="I88" t="s">
        <v>791</v>
      </c>
      <c r="J88" t="s">
        <v>1314</v>
      </c>
      <c r="K88">
        <v>44051</v>
      </c>
      <c r="L88">
        <v>0.017450042217844</v>
      </c>
      <c r="M88">
        <v>-0.07908894848625947</v>
      </c>
      <c r="N88">
        <v>0.076</v>
      </c>
      <c r="O88">
        <v>0.01140449129319454</v>
      </c>
      <c r="P88" t="s">
        <v>635</v>
      </c>
      <c r="Q88" t="s">
        <v>381</v>
      </c>
      <c r="R88">
        <v>54</v>
      </c>
      <c r="S88">
        <v>0.62</v>
      </c>
      <c r="T88">
        <v>44</v>
      </c>
      <c r="U88">
        <v>1.509772727272727</v>
      </c>
      <c r="V88">
        <v>0.9169</v>
      </c>
      <c r="W88">
        <v>2</v>
      </c>
      <c r="X88">
        <v>1.24</v>
      </c>
      <c r="Y88">
        <v>0.08103099999999999</v>
      </c>
      <c r="Z88">
        <v>0.2006633499170812</v>
      </c>
      <c r="AA88">
        <v>0.7262479871175523</v>
      </c>
      <c r="AB88">
        <v>0.7813504823151125</v>
      </c>
      <c r="AC88">
        <v>0.1688102893890675</v>
      </c>
      <c r="AD88">
        <v>0.1720257234726688</v>
      </c>
    </row>
    <row r="89" spans="1:30">
      <c r="A89" s="1" t="s">
        <v>96</v>
      </c>
      <c r="B89">
        <f>HYPERLINK("https://www.suredividend.com/sure-analysis-CINF/","Cincinnati Financial Corp.")</f>
        <v>0</v>
      </c>
      <c r="C89">
        <v>83.09</v>
      </c>
      <c r="D89">
        <v>13418.44068</v>
      </c>
      <c r="E89" t="s">
        <v>668</v>
      </c>
      <c r="F89" t="s">
        <v>631</v>
      </c>
      <c r="G89" t="s">
        <v>671</v>
      </c>
      <c r="H89" t="s">
        <v>701</v>
      </c>
      <c r="I89" t="s">
        <v>792</v>
      </c>
      <c r="J89" t="s">
        <v>1312</v>
      </c>
      <c r="K89">
        <v>43958</v>
      </c>
      <c r="L89">
        <v>0.02781107648046</v>
      </c>
      <c r="M89">
        <v>-0.03370472437277405</v>
      </c>
      <c r="N89">
        <v>0.01</v>
      </c>
      <c r="O89">
        <v>0.01036568293713835</v>
      </c>
      <c r="P89" t="s">
        <v>635</v>
      </c>
      <c r="Q89" t="s">
        <v>635</v>
      </c>
      <c r="R89">
        <v>59</v>
      </c>
      <c r="S89">
        <v>0.6628571428571428</v>
      </c>
      <c r="T89">
        <v>70</v>
      </c>
      <c r="U89">
        <v>1.187</v>
      </c>
      <c r="V89">
        <v>3.4489</v>
      </c>
      <c r="W89">
        <v>3.5</v>
      </c>
      <c r="X89">
        <v>2.32</v>
      </c>
      <c r="Y89">
        <v>-0.255786</v>
      </c>
      <c r="Z89">
        <v>0.3980099502487562</v>
      </c>
      <c r="AA89">
        <v>0.2882447665056361</v>
      </c>
      <c r="AB89">
        <v>0.08601286173633441</v>
      </c>
      <c r="AC89">
        <v>0.4340836012861736</v>
      </c>
      <c r="AD89">
        <v>0.1704180064308682</v>
      </c>
    </row>
    <row r="90" spans="1:30">
      <c r="A90" s="1" t="s">
        <v>97</v>
      </c>
      <c r="B90">
        <f>HYPERLINK("https://www.suredividend.com/sure-analysis-PG/","Procter &amp; Gamble Co.")</f>
        <v>0</v>
      </c>
      <c r="C90">
        <v>133.23</v>
      </c>
      <c r="D90">
        <v>333384.669</v>
      </c>
      <c r="E90" t="s">
        <v>666</v>
      </c>
      <c r="F90" t="s">
        <v>631</v>
      </c>
      <c r="G90" t="s">
        <v>671</v>
      </c>
      <c r="H90" t="s">
        <v>702</v>
      </c>
      <c r="I90" t="s">
        <v>793</v>
      </c>
      <c r="J90" t="s">
        <v>1320</v>
      </c>
      <c r="K90">
        <v>43950</v>
      </c>
      <c r="L90">
        <v>0.022583146905294</v>
      </c>
      <c r="M90">
        <v>-0.06344380475803413</v>
      </c>
      <c r="N90">
        <v>0.05</v>
      </c>
      <c r="O90">
        <v>0.009347392302500035</v>
      </c>
      <c r="P90" t="s">
        <v>635</v>
      </c>
      <c r="Q90" t="s">
        <v>636</v>
      </c>
      <c r="R90">
        <v>63</v>
      </c>
      <c r="S90">
        <v>0.628298755186722</v>
      </c>
      <c r="T90">
        <v>96</v>
      </c>
      <c r="U90">
        <v>1.3878125</v>
      </c>
      <c r="V90">
        <v>5.132</v>
      </c>
      <c r="W90">
        <v>4.82</v>
      </c>
      <c r="X90">
        <v>3.0284</v>
      </c>
      <c r="Y90">
        <v>0.137176</v>
      </c>
      <c r="Z90">
        <v>0.3051409618573798</v>
      </c>
      <c r="AA90">
        <v>0.7809983896940419</v>
      </c>
      <c r="AB90">
        <v>0.5168810289389068</v>
      </c>
      <c r="AC90">
        <v>0.2443729903536977</v>
      </c>
      <c r="AD90">
        <v>0.1655948553054662</v>
      </c>
    </row>
    <row r="91" spans="1:30">
      <c r="A91" s="1" t="s">
        <v>98</v>
      </c>
      <c r="B91">
        <f>HYPERLINK("https://www.suredividend.com/sure-analysis-SWK/","Stanley Black &amp; Decker, Inc.")</f>
        <v>0</v>
      </c>
      <c r="C91">
        <v>161.41</v>
      </c>
      <c r="D91">
        <v>25544.32954</v>
      </c>
      <c r="E91" t="s">
        <v>665</v>
      </c>
      <c r="F91" t="s">
        <v>631</v>
      </c>
      <c r="G91" t="s">
        <v>671</v>
      </c>
      <c r="H91" t="s">
        <v>702</v>
      </c>
      <c r="I91" t="s">
        <v>794</v>
      </c>
      <c r="J91" t="s">
        <v>1315</v>
      </c>
      <c r="K91">
        <v>44043</v>
      </c>
      <c r="L91">
        <v>0.017253234981559</v>
      </c>
      <c r="M91">
        <v>-0.08770783121297021</v>
      </c>
      <c r="N91">
        <v>0.08</v>
      </c>
      <c r="O91">
        <v>0.007555927455052958</v>
      </c>
      <c r="P91" t="s">
        <v>635</v>
      </c>
      <c r="Q91" t="s">
        <v>636</v>
      </c>
      <c r="R91">
        <v>53</v>
      </c>
      <c r="S91">
        <v>0.423963133640553</v>
      </c>
      <c r="T91">
        <v>102</v>
      </c>
      <c r="U91">
        <v>1.582450980392157</v>
      </c>
      <c r="V91">
        <v>5.3001</v>
      </c>
      <c r="W91">
        <v>6.51</v>
      </c>
      <c r="X91">
        <v>2.76</v>
      </c>
      <c r="Y91">
        <v>0.128121</v>
      </c>
      <c r="Z91">
        <v>0.197346600331675</v>
      </c>
      <c r="AA91">
        <v>0.7713365539452497</v>
      </c>
      <c r="AB91">
        <v>0.8135048231511255</v>
      </c>
      <c r="AC91">
        <v>0.1414790996784566</v>
      </c>
      <c r="AD91">
        <v>0.157556270096463</v>
      </c>
    </row>
    <row r="92" spans="1:30">
      <c r="A92" s="1" t="s">
        <v>99</v>
      </c>
      <c r="B92">
        <f>HYPERLINK("https://www.suredividend.com/sure-analysis-WMT/","Walmart, Inc.")</f>
        <v>0</v>
      </c>
      <c r="C92">
        <v>130.2</v>
      </c>
      <c r="D92">
        <v>373477.566</v>
      </c>
      <c r="E92" t="s">
        <v>663</v>
      </c>
      <c r="F92" t="s">
        <v>631</v>
      </c>
      <c r="G92" t="s">
        <v>671</v>
      </c>
      <c r="H92" t="s">
        <v>702</v>
      </c>
      <c r="I92" t="s">
        <v>795</v>
      </c>
      <c r="J92" t="s">
        <v>1320</v>
      </c>
      <c r="K92">
        <v>43976</v>
      </c>
      <c r="L92">
        <v>0.016151046405823</v>
      </c>
      <c r="M92">
        <v>-0.06109311400436124</v>
      </c>
      <c r="N92">
        <v>0.05</v>
      </c>
      <c r="O92">
        <v>0.005451722854532326</v>
      </c>
      <c r="P92" t="s">
        <v>635</v>
      </c>
      <c r="Q92" t="s">
        <v>636</v>
      </c>
      <c r="R92">
        <v>47</v>
      </c>
      <c r="S92">
        <v>0.426</v>
      </c>
      <c r="T92">
        <v>95</v>
      </c>
      <c r="U92">
        <v>1.370526315789474</v>
      </c>
      <c r="V92">
        <v>5.2914</v>
      </c>
      <c r="W92">
        <v>5</v>
      </c>
      <c r="X92">
        <v>2.13</v>
      </c>
      <c r="Y92">
        <v>0.197659</v>
      </c>
      <c r="Z92">
        <v>0.1658374792703151</v>
      </c>
      <c r="AA92">
        <v>0.822866344605475</v>
      </c>
      <c r="AB92">
        <v>0.5168810289389068</v>
      </c>
      <c r="AC92">
        <v>0.2556270096463023</v>
      </c>
      <c r="AD92">
        <v>0.1543408360128617</v>
      </c>
    </row>
    <row r="93" spans="1:30">
      <c r="A93" s="1" t="s">
        <v>100</v>
      </c>
      <c r="B93">
        <f>HYPERLINK("https://www.suredividend.com/sure-analysis-PPG/","PPG Industries, Inc.")</f>
        <v>0</v>
      </c>
      <c r="C93">
        <v>120.89</v>
      </c>
      <c r="D93">
        <v>27311.97798</v>
      </c>
      <c r="E93" t="s">
        <v>665</v>
      </c>
      <c r="F93" t="s">
        <v>631</v>
      </c>
      <c r="G93" t="s">
        <v>671</v>
      </c>
      <c r="H93" t="s">
        <v>702</v>
      </c>
      <c r="I93" t="s">
        <v>796</v>
      </c>
      <c r="J93" t="s">
        <v>1321</v>
      </c>
      <c r="K93">
        <v>44029</v>
      </c>
      <c r="L93">
        <v>0.017625712804561</v>
      </c>
      <c r="M93">
        <v>-0.09106217413794904</v>
      </c>
      <c r="N93">
        <v>0.08</v>
      </c>
      <c r="O93">
        <v>0.004890334778691274</v>
      </c>
      <c r="P93" t="s">
        <v>635</v>
      </c>
      <c r="Q93" t="s">
        <v>636</v>
      </c>
      <c r="R93">
        <v>49</v>
      </c>
      <c r="S93">
        <v>0.4594594594594594</v>
      </c>
      <c r="T93">
        <v>75</v>
      </c>
      <c r="U93">
        <v>1.611866666666667</v>
      </c>
      <c r="V93">
        <v>4.2385</v>
      </c>
      <c r="W93">
        <v>4.44</v>
      </c>
      <c r="X93">
        <v>2.04</v>
      </c>
      <c r="Y93">
        <v>-0.025204</v>
      </c>
      <c r="Z93">
        <v>0.2106135986733002</v>
      </c>
      <c r="AA93">
        <v>0.6038647342995169</v>
      </c>
      <c r="AB93">
        <v>0.8135048231511255</v>
      </c>
      <c r="AC93">
        <v>0.1318327974276527</v>
      </c>
      <c r="AD93">
        <v>0.1511254019292605</v>
      </c>
    </row>
    <row r="94" spans="1:30">
      <c r="A94" s="1" t="s">
        <v>101</v>
      </c>
      <c r="B94">
        <f>HYPERLINK("https://www.suredividend.com/sure-analysis-CNI/","Canadian National Railway Co.")</f>
        <v>0</v>
      </c>
      <c r="C94">
        <v>101.84</v>
      </c>
      <c r="D94">
        <v>72019.355</v>
      </c>
      <c r="E94" t="s">
        <v>665</v>
      </c>
      <c r="F94" t="s">
        <v>631</v>
      </c>
      <c r="G94" t="s">
        <v>672</v>
      </c>
      <c r="H94" t="s">
        <v>702</v>
      </c>
      <c r="I94" t="s">
        <v>797</v>
      </c>
      <c r="J94" t="s">
        <v>1315</v>
      </c>
      <c r="K94">
        <v>44034</v>
      </c>
      <c r="L94">
        <v>0.01633046084216</v>
      </c>
      <c r="M94">
        <v>-0.08033156162936284</v>
      </c>
      <c r="N94">
        <v>0.07000000000000001</v>
      </c>
      <c r="O94">
        <v>0.004325833736079865</v>
      </c>
      <c r="P94" t="s">
        <v>635</v>
      </c>
      <c r="Q94" t="s">
        <v>381</v>
      </c>
      <c r="R94">
        <v>25</v>
      </c>
      <c r="S94">
        <v>0.4183649627366565</v>
      </c>
      <c r="T94">
        <v>67</v>
      </c>
      <c r="U94">
        <v>1.52</v>
      </c>
      <c r="V94">
        <v>3.7934</v>
      </c>
      <c r="W94">
        <v>3.96</v>
      </c>
      <c r="X94">
        <v>1.65672525243716</v>
      </c>
      <c r="Y94">
        <v>0.064681</v>
      </c>
      <c r="Z94">
        <v>0.1708126036484245</v>
      </c>
      <c r="AA94">
        <v>0.7037037037037037</v>
      </c>
      <c r="AB94">
        <v>0.7355305466237942</v>
      </c>
      <c r="AC94">
        <v>0.1639871382636656</v>
      </c>
      <c r="AD94">
        <v>0.1479099678456592</v>
      </c>
    </row>
    <row r="95" spans="1:30">
      <c r="A95" s="1" t="s">
        <v>102</v>
      </c>
      <c r="B95">
        <f>HYPERLINK("https://www.suredividend.com/sure-analysis-BAM/","Brookfield Asset Management, Inc.")</f>
        <v>0</v>
      </c>
      <c r="C95">
        <v>33.85</v>
      </c>
      <c r="D95">
        <v>49783.084002</v>
      </c>
      <c r="E95" t="s">
        <v>663</v>
      </c>
      <c r="F95" t="s">
        <v>631</v>
      </c>
      <c r="G95" t="s">
        <v>672</v>
      </c>
      <c r="H95" t="s">
        <v>702</v>
      </c>
      <c r="I95" t="s">
        <v>798</v>
      </c>
      <c r="J95" t="s">
        <v>1312</v>
      </c>
      <c r="K95">
        <v>43967</v>
      </c>
      <c r="L95">
        <v>0.013412684203998</v>
      </c>
      <c r="M95">
        <v>-0.04421322228584823</v>
      </c>
      <c r="N95">
        <v>0.03</v>
      </c>
      <c r="O95">
        <v>0.001836754080542846</v>
      </c>
      <c r="P95" t="s">
        <v>635</v>
      </c>
      <c r="Q95" t="s">
        <v>420</v>
      </c>
      <c r="R95">
        <v>8</v>
      </c>
      <c r="S95">
        <v>0.2523883947643875</v>
      </c>
      <c r="T95">
        <v>27</v>
      </c>
      <c r="U95">
        <v>1.253703703703704</v>
      </c>
      <c r="V95">
        <v>1.2752</v>
      </c>
      <c r="W95">
        <v>1.75</v>
      </c>
      <c r="X95">
        <v>0.4416796908376781</v>
      </c>
      <c r="Y95">
        <v>-0.032529</v>
      </c>
      <c r="Z95">
        <v>0.1260364842454395</v>
      </c>
      <c r="AA95">
        <v>0.5893719806763285</v>
      </c>
      <c r="AB95">
        <v>0.2540192926045016</v>
      </c>
      <c r="AC95">
        <v>0.3681672025723473</v>
      </c>
      <c r="AD95">
        <v>0.1398713826366559</v>
      </c>
    </row>
    <row r="96" spans="1:30">
      <c r="A96" s="1" t="s">
        <v>103</v>
      </c>
      <c r="B96">
        <f>HYPERLINK("https://www.suredividend.com/sure-analysis-EBAY/","eBay, Inc.")</f>
        <v>0</v>
      </c>
      <c r="C96">
        <v>54.28</v>
      </c>
      <c r="D96">
        <v>38052.52997</v>
      </c>
      <c r="E96" t="s">
        <v>666</v>
      </c>
      <c r="F96" t="s">
        <v>631</v>
      </c>
      <c r="G96" t="s">
        <v>671</v>
      </c>
      <c r="H96" t="s">
        <v>701</v>
      </c>
      <c r="I96" t="s">
        <v>799</v>
      </c>
      <c r="J96" t="s">
        <v>1313</v>
      </c>
      <c r="K96">
        <v>43963</v>
      </c>
      <c r="L96">
        <v>0.011035497517013</v>
      </c>
      <c r="M96">
        <v>-0.07884538480907954</v>
      </c>
      <c r="N96">
        <v>0.07000000000000001</v>
      </c>
      <c r="O96">
        <v>-0.0005739092186264338</v>
      </c>
      <c r="P96" t="s">
        <v>635</v>
      </c>
      <c r="Q96" t="s">
        <v>420</v>
      </c>
      <c r="R96">
        <v>1</v>
      </c>
      <c r="S96">
        <v>0.2</v>
      </c>
      <c r="T96">
        <v>36</v>
      </c>
      <c r="U96">
        <v>1.507777777777778</v>
      </c>
      <c r="V96">
        <v>6.6548</v>
      </c>
      <c r="W96">
        <v>3</v>
      </c>
      <c r="X96">
        <v>0.6000000000000001</v>
      </c>
      <c r="Y96">
        <v>0.338424</v>
      </c>
      <c r="Z96">
        <v>0.08955223880597014</v>
      </c>
      <c r="AA96">
        <v>0.9066022544283413</v>
      </c>
      <c r="AB96">
        <v>0.7355305466237942</v>
      </c>
      <c r="AC96">
        <v>0.1704180064308682</v>
      </c>
      <c r="AD96">
        <v>0.1286173633440514</v>
      </c>
    </row>
    <row r="97" spans="1:30">
      <c r="A97" s="1" t="s">
        <v>104</v>
      </c>
      <c r="B97">
        <f>HYPERLINK("https://www.suredividend.com/sure-analysis-FELE/","Franklin Electric Co., Inc.")</f>
        <v>0</v>
      </c>
      <c r="C97">
        <v>60.575</v>
      </c>
      <c r="D97">
        <v>2764.975302</v>
      </c>
      <c r="E97" t="s">
        <v>662</v>
      </c>
      <c r="F97" t="s">
        <v>631</v>
      </c>
      <c r="G97" t="s">
        <v>671</v>
      </c>
      <c r="H97" t="s">
        <v>701</v>
      </c>
      <c r="I97" t="s">
        <v>800</v>
      </c>
      <c r="J97" t="s">
        <v>1315</v>
      </c>
      <c r="K97">
        <v>43956</v>
      </c>
      <c r="L97">
        <v>0.010023387905111</v>
      </c>
      <c r="M97">
        <v>-0.11982037478819</v>
      </c>
      <c r="N97">
        <v>0.12</v>
      </c>
      <c r="O97">
        <v>-0.001295703089299716</v>
      </c>
      <c r="P97" t="s">
        <v>635</v>
      </c>
      <c r="Q97" t="s">
        <v>381</v>
      </c>
      <c r="R97">
        <v>28</v>
      </c>
      <c r="S97">
        <v>0.3529411764705883</v>
      </c>
      <c r="T97">
        <v>32</v>
      </c>
      <c r="U97">
        <v>1.89296875</v>
      </c>
      <c r="V97">
        <v>1.907</v>
      </c>
      <c r="W97">
        <v>1.7</v>
      </c>
      <c r="X97">
        <v>0.6000000000000001</v>
      </c>
      <c r="Y97">
        <v>0.294989</v>
      </c>
      <c r="Z97">
        <v>0.07960199004975124</v>
      </c>
      <c r="AA97">
        <v>0.8840579710144928</v>
      </c>
      <c r="AB97">
        <v>0.9485530546623794</v>
      </c>
      <c r="AC97">
        <v>0.05466237942122186</v>
      </c>
      <c r="AD97">
        <v>0.1254019292604502</v>
      </c>
    </row>
    <row r="98" spans="1:30">
      <c r="A98" s="1" t="s">
        <v>105</v>
      </c>
      <c r="B98">
        <f>HYPERLINK("https://www.suredividend.com/sure-analysis-ECL/","Ecolab, Inc.")</f>
        <v>0</v>
      </c>
      <c r="C98">
        <v>196.22</v>
      </c>
      <c r="D98">
        <v>55735.6905</v>
      </c>
      <c r="E98" t="s">
        <v>662</v>
      </c>
      <c r="F98" t="s">
        <v>631</v>
      </c>
      <c r="G98" t="s">
        <v>671</v>
      </c>
      <c r="H98" t="s">
        <v>702</v>
      </c>
      <c r="I98" t="s">
        <v>801</v>
      </c>
      <c r="J98" t="s">
        <v>1321</v>
      </c>
      <c r="K98">
        <v>44047</v>
      </c>
      <c r="L98">
        <v>0.009575012800819</v>
      </c>
      <c r="M98">
        <v>-0.1443427241395185</v>
      </c>
      <c r="N98">
        <v>0.15</v>
      </c>
      <c r="O98">
        <v>-0.002988064628462905</v>
      </c>
      <c r="P98" t="s">
        <v>635</v>
      </c>
      <c r="Q98" t="s">
        <v>381</v>
      </c>
      <c r="R98">
        <v>34</v>
      </c>
      <c r="S98">
        <v>0.4155555555555556</v>
      </c>
      <c r="T98">
        <v>90</v>
      </c>
      <c r="U98">
        <v>2.180222222222222</v>
      </c>
      <c r="V98">
        <v>-2.9784</v>
      </c>
      <c r="W98">
        <v>4.5</v>
      </c>
      <c r="X98">
        <v>1.87</v>
      </c>
      <c r="Y98">
        <v>-0.049454</v>
      </c>
      <c r="Z98">
        <v>0.07131011608623548</v>
      </c>
      <c r="AA98">
        <v>0.5652173913043478</v>
      </c>
      <c r="AB98">
        <v>0.9790996784565916</v>
      </c>
      <c r="AC98">
        <v>0.022508038585209</v>
      </c>
      <c r="AD98">
        <v>0.1189710610932476</v>
      </c>
    </row>
    <row r="99" spans="1:30">
      <c r="A99" s="1" t="s">
        <v>106</v>
      </c>
      <c r="B99">
        <f>HYPERLINK("https://www.suredividend.com/sure-analysis-LANC/","Lancaster Colony Corp.")</f>
        <v>0</v>
      </c>
      <c r="C99">
        <v>168.44</v>
      </c>
      <c r="D99">
        <v>4613.33256</v>
      </c>
      <c r="E99" t="s">
        <v>663</v>
      </c>
      <c r="F99" t="s">
        <v>631</v>
      </c>
      <c r="G99" t="s">
        <v>671</v>
      </c>
      <c r="H99" t="s">
        <v>701</v>
      </c>
      <c r="I99" t="s">
        <v>802</v>
      </c>
      <c r="J99" t="s">
        <v>1320</v>
      </c>
      <c r="K99">
        <v>43963</v>
      </c>
      <c r="L99">
        <v>0.016104020040558</v>
      </c>
      <c r="M99">
        <v>-0.07188337670463807</v>
      </c>
      <c r="N99">
        <v>0.04</v>
      </c>
      <c r="O99">
        <v>-0.01350774783868958</v>
      </c>
      <c r="P99" t="s">
        <v>635</v>
      </c>
      <c r="Q99" t="s">
        <v>636</v>
      </c>
      <c r="R99">
        <v>57</v>
      </c>
      <c r="S99">
        <v>0.5142857142857143</v>
      </c>
      <c r="T99">
        <v>116</v>
      </c>
      <c r="U99">
        <v>1.452068965517241</v>
      </c>
      <c r="V99">
        <v>5.0784</v>
      </c>
      <c r="W99">
        <v>5.25</v>
      </c>
      <c r="X99">
        <v>2.7</v>
      </c>
      <c r="Y99">
        <v>0.073946</v>
      </c>
      <c r="Z99">
        <v>0.1625207296849088</v>
      </c>
      <c r="AA99">
        <v>0.7165861513687601</v>
      </c>
      <c r="AB99">
        <v>0.3858520900321543</v>
      </c>
      <c r="AC99">
        <v>0.1993569131832797</v>
      </c>
      <c r="AD99">
        <v>0.0932475884244373</v>
      </c>
    </row>
    <row r="100" spans="1:30">
      <c r="A100" s="1" t="s">
        <v>107</v>
      </c>
      <c r="B100">
        <f>HYPERLINK("https://www.suredividend.com/sure-analysis-TMP/","Tompkins Financial Corp.")</f>
        <v>0</v>
      </c>
      <c r="C100">
        <v>70.36</v>
      </c>
      <c r="D100">
        <v>1031.219123</v>
      </c>
      <c r="E100" t="s">
        <v>663</v>
      </c>
      <c r="F100" t="s">
        <v>631</v>
      </c>
      <c r="G100" t="s">
        <v>671</v>
      </c>
      <c r="H100" t="s">
        <v>703</v>
      </c>
      <c r="I100" t="s">
        <v>803</v>
      </c>
      <c r="J100" t="s">
        <v>1312</v>
      </c>
      <c r="K100">
        <v>44050</v>
      </c>
      <c r="L100">
        <v>0.029798929553016</v>
      </c>
      <c r="M100">
        <v>-0.05155186735547257</v>
      </c>
      <c r="N100">
        <v>0</v>
      </c>
      <c r="O100">
        <v>-0.01356736377535805</v>
      </c>
      <c r="P100" t="s">
        <v>635</v>
      </c>
      <c r="Q100" t="s">
        <v>636</v>
      </c>
      <c r="R100">
        <v>33</v>
      </c>
      <c r="S100">
        <v>0.4577777777777778</v>
      </c>
      <c r="T100">
        <v>54</v>
      </c>
      <c r="U100">
        <v>1.302962962962963</v>
      </c>
      <c r="V100">
        <v>4.7261</v>
      </c>
      <c r="W100">
        <v>4.5</v>
      </c>
      <c r="X100">
        <v>2.06</v>
      </c>
      <c r="Y100">
        <v>-0.112245</v>
      </c>
      <c r="Z100">
        <v>0.4262023217247098</v>
      </c>
      <c r="AA100">
        <v>0.462157809983897</v>
      </c>
      <c r="AB100">
        <v>0.04662379421221865</v>
      </c>
      <c r="AC100">
        <v>0.3102893890675241</v>
      </c>
      <c r="AD100">
        <v>0.09163987138263666</v>
      </c>
    </row>
    <row r="101" spans="1:30">
      <c r="A101" s="1" t="s">
        <v>108</v>
      </c>
      <c r="B101">
        <f>HYPERLINK("https://www.suredividend.com/sure-analysis-ATR/","AptarGroup, Inc.")</f>
        <v>0</v>
      </c>
      <c r="C101">
        <v>116.74</v>
      </c>
      <c r="D101">
        <v>7543.4346</v>
      </c>
      <c r="E101" t="s">
        <v>668</v>
      </c>
      <c r="F101" t="s">
        <v>631</v>
      </c>
      <c r="G101" t="s">
        <v>671</v>
      </c>
      <c r="H101" t="s">
        <v>702</v>
      </c>
      <c r="I101" t="s">
        <v>804</v>
      </c>
      <c r="J101" t="s">
        <v>1313</v>
      </c>
      <c r="K101">
        <v>43971</v>
      </c>
      <c r="L101">
        <v>0.012307692307692</v>
      </c>
      <c r="M101">
        <v>-0.08468977298152613</v>
      </c>
      <c r="N101">
        <v>0.06</v>
      </c>
      <c r="O101">
        <v>-0.01411982385865562</v>
      </c>
      <c r="P101" t="s">
        <v>635</v>
      </c>
      <c r="Q101" t="s">
        <v>381</v>
      </c>
      <c r="R101">
        <v>26</v>
      </c>
      <c r="S101">
        <v>0.384</v>
      </c>
      <c r="T101">
        <v>75</v>
      </c>
      <c r="U101">
        <v>1.556533333333333</v>
      </c>
      <c r="V101">
        <v>3.1612</v>
      </c>
      <c r="W101">
        <v>3.75</v>
      </c>
      <c r="X101">
        <v>1.44</v>
      </c>
      <c r="Y101">
        <v>-0.029462</v>
      </c>
      <c r="Z101">
        <v>0.109452736318408</v>
      </c>
      <c r="AA101">
        <v>0.5974235104669887</v>
      </c>
      <c r="AB101">
        <v>0.6430868167202572</v>
      </c>
      <c r="AC101">
        <v>0.1591639871382637</v>
      </c>
      <c r="AD101">
        <v>0.09003215434083602</v>
      </c>
    </row>
    <row r="102" spans="1:30">
      <c r="A102" s="1" t="s">
        <v>109</v>
      </c>
      <c r="B102">
        <f>HYPERLINK("https://www.suredividend.com/sure-analysis-MGEE/","MGE Energy, Inc.")</f>
        <v>0</v>
      </c>
      <c r="C102">
        <v>67.12</v>
      </c>
      <c r="D102">
        <v>2457.664664</v>
      </c>
      <c r="E102" t="s">
        <v>666</v>
      </c>
      <c r="F102" t="s">
        <v>631</v>
      </c>
      <c r="G102" t="s">
        <v>671</v>
      </c>
      <c r="H102" t="s">
        <v>701</v>
      </c>
      <c r="I102" t="s">
        <v>805</v>
      </c>
      <c r="J102" t="s">
        <v>1314</v>
      </c>
      <c r="K102">
        <v>44012</v>
      </c>
      <c r="L102">
        <v>0.020747498528546</v>
      </c>
      <c r="M102">
        <v>-0.07685034187685325</v>
      </c>
      <c r="N102">
        <v>0.04</v>
      </c>
      <c r="O102">
        <v>-0.01447202681936854</v>
      </c>
      <c r="P102" t="s">
        <v>635</v>
      </c>
      <c r="Q102" t="s">
        <v>636</v>
      </c>
      <c r="R102">
        <v>44</v>
      </c>
      <c r="S102">
        <v>0.5595238095238095</v>
      </c>
      <c r="T102">
        <v>45</v>
      </c>
      <c r="U102">
        <v>1.491555555555556</v>
      </c>
      <c r="V102">
        <v>2.6462</v>
      </c>
      <c r="W102">
        <v>2.52</v>
      </c>
      <c r="X102">
        <v>1.41</v>
      </c>
      <c r="Y102">
        <v>-0.094761</v>
      </c>
      <c r="Z102">
        <v>0.2835820895522388</v>
      </c>
      <c r="AA102">
        <v>0.4863123993558777</v>
      </c>
      <c r="AB102">
        <v>0.3858520900321543</v>
      </c>
      <c r="AC102">
        <v>0.1832797427652733</v>
      </c>
      <c r="AD102">
        <v>0.08842443729903536</v>
      </c>
    </row>
    <row r="103" spans="1:30">
      <c r="A103" s="1" t="s">
        <v>110</v>
      </c>
      <c r="B103">
        <f>HYPERLINK("https://www.suredividend.com/sure-analysis-AWR/","American States Water Co.")</f>
        <v>0</v>
      </c>
      <c r="C103">
        <v>78.13</v>
      </c>
      <c r="D103">
        <v>2945.1874</v>
      </c>
      <c r="E103" t="s">
        <v>666</v>
      </c>
      <c r="F103" t="s">
        <v>631</v>
      </c>
      <c r="G103" t="s">
        <v>671</v>
      </c>
      <c r="H103" t="s">
        <v>702</v>
      </c>
      <c r="I103" t="s">
        <v>806</v>
      </c>
      <c r="J103" t="s">
        <v>1314</v>
      </c>
      <c r="K103">
        <v>43978</v>
      </c>
      <c r="L103">
        <v>0.015278647463994</v>
      </c>
      <c r="M103">
        <v>-0.06111714971301718</v>
      </c>
      <c r="N103">
        <v>0.027</v>
      </c>
      <c r="O103">
        <v>-0.01524613327667212</v>
      </c>
      <c r="P103" t="s">
        <v>635</v>
      </c>
      <c r="Q103" t="s">
        <v>636</v>
      </c>
      <c r="R103">
        <v>64</v>
      </c>
      <c r="S103">
        <v>0.5350877192982456</v>
      </c>
      <c r="T103">
        <v>57</v>
      </c>
      <c r="U103">
        <v>1.370701754385965</v>
      </c>
      <c r="V103">
        <v>2.281</v>
      </c>
      <c r="W103">
        <v>2.28</v>
      </c>
      <c r="X103">
        <v>1.22</v>
      </c>
      <c r="Y103">
        <v>-0.037943</v>
      </c>
      <c r="Z103">
        <v>0.1525704809286899</v>
      </c>
      <c r="AA103">
        <v>0.5780998389694042</v>
      </c>
      <c r="AB103">
        <v>0.2017684887459807</v>
      </c>
      <c r="AC103">
        <v>0.2540192926045016</v>
      </c>
      <c r="AD103">
        <v>0.08681672025723472</v>
      </c>
    </row>
    <row r="104" spans="1:30">
      <c r="A104" s="1" t="s">
        <v>111</v>
      </c>
      <c r="B104">
        <f>HYPERLINK("https://www.suredividend.com/sure-analysis-HRL/","Hormel Foods Corp.")</f>
        <v>0</v>
      </c>
      <c r="C104">
        <v>51.41</v>
      </c>
      <c r="D104">
        <v>28014.72496</v>
      </c>
      <c r="E104" t="s">
        <v>663</v>
      </c>
      <c r="F104" t="s">
        <v>631</v>
      </c>
      <c r="G104" t="s">
        <v>671</v>
      </c>
      <c r="H104" t="s">
        <v>702</v>
      </c>
      <c r="I104" t="s">
        <v>807</v>
      </c>
      <c r="J104" t="s">
        <v>1320</v>
      </c>
      <c r="K104">
        <v>43988</v>
      </c>
      <c r="L104">
        <v>0.017025779145825</v>
      </c>
      <c r="M104">
        <v>-0.08484792828476462</v>
      </c>
      <c r="N104">
        <v>0.05</v>
      </c>
      <c r="O104">
        <v>-0.01560627553594107</v>
      </c>
      <c r="P104" t="s">
        <v>635</v>
      </c>
      <c r="Q104" t="s">
        <v>636</v>
      </c>
      <c r="R104">
        <v>54</v>
      </c>
      <c r="S104">
        <v>0.5363636363636364</v>
      </c>
      <c r="T104">
        <v>33</v>
      </c>
      <c r="U104">
        <v>1.557878787878788</v>
      </c>
      <c r="V104">
        <v>1.7288</v>
      </c>
      <c r="W104">
        <v>1.65</v>
      </c>
      <c r="X104">
        <v>0.885</v>
      </c>
      <c r="Y104">
        <v>0.235519</v>
      </c>
      <c r="Z104">
        <v>0.1907131011608623</v>
      </c>
      <c r="AA104">
        <v>0.8486312399355878</v>
      </c>
      <c r="AB104">
        <v>0.5168810289389068</v>
      </c>
      <c r="AC104">
        <v>0.157556270096463</v>
      </c>
      <c r="AD104">
        <v>0.08520900321543408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59</v>
      </c>
      <c r="D105">
        <v>1637.958</v>
      </c>
      <c r="E105" t="s">
        <v>662</v>
      </c>
      <c r="F105" t="s">
        <v>631</v>
      </c>
      <c r="G105" t="s">
        <v>671</v>
      </c>
      <c r="H105" t="s">
        <v>700</v>
      </c>
      <c r="I105" t="s">
        <v>808</v>
      </c>
      <c r="J105" t="s">
        <v>1318</v>
      </c>
      <c r="K105">
        <v>44021</v>
      </c>
      <c r="L105">
        <v>0.013728813559322</v>
      </c>
      <c r="M105">
        <v>-0.09916924155668205</v>
      </c>
      <c r="N105">
        <v>0.07000000000000001</v>
      </c>
      <c r="O105">
        <v>-0.01626945313616546</v>
      </c>
      <c r="P105" t="s">
        <v>635</v>
      </c>
      <c r="Q105" t="s">
        <v>381</v>
      </c>
      <c r="R105">
        <v>48</v>
      </c>
      <c r="S105">
        <v>0.405</v>
      </c>
      <c r="T105">
        <v>35</v>
      </c>
      <c r="U105">
        <v>1.685714285714286</v>
      </c>
      <c r="V105">
        <v>1.9677</v>
      </c>
      <c r="W105">
        <v>2</v>
      </c>
      <c r="X105">
        <v>0.8100000000000001</v>
      </c>
      <c r="Y105">
        <v>0.469136</v>
      </c>
      <c r="Z105">
        <v>0.1326699834162521</v>
      </c>
      <c r="AA105">
        <v>0.9468599033816425</v>
      </c>
      <c r="AB105">
        <v>0.7355305466237942</v>
      </c>
      <c r="AC105">
        <v>0.1109324758842444</v>
      </c>
      <c r="AD105">
        <v>0.08360128617363344</v>
      </c>
    </row>
    <row r="106" spans="1:30">
      <c r="A106" s="1" t="s">
        <v>113</v>
      </c>
      <c r="B106">
        <f>HYPERLINK("https://www.suredividend.com/sure-analysis-SCL/","Stepan Co.")</f>
        <v>0</v>
      </c>
      <c r="C106">
        <v>114.76</v>
      </c>
      <c r="D106">
        <v>2558.53527</v>
      </c>
      <c r="E106" t="s">
        <v>663</v>
      </c>
      <c r="F106" t="s">
        <v>631</v>
      </c>
      <c r="G106" t="s">
        <v>671</v>
      </c>
      <c r="H106" t="s">
        <v>702</v>
      </c>
      <c r="I106" t="s">
        <v>809</v>
      </c>
      <c r="J106" t="s">
        <v>1321</v>
      </c>
      <c r="K106">
        <v>44034</v>
      </c>
      <c r="L106">
        <v>0.009417433201927001</v>
      </c>
      <c r="M106">
        <v>-0.07670594940134545</v>
      </c>
      <c r="N106">
        <v>0.05</v>
      </c>
      <c r="O106">
        <v>-0.01714581117419012</v>
      </c>
      <c r="P106" t="s">
        <v>635</v>
      </c>
      <c r="Q106" t="s">
        <v>381</v>
      </c>
      <c r="R106">
        <v>52</v>
      </c>
      <c r="S106">
        <v>0.2388888888888889</v>
      </c>
      <c r="T106">
        <v>77</v>
      </c>
      <c r="U106">
        <v>1.49038961038961</v>
      </c>
      <c r="V106">
        <v>4.8365</v>
      </c>
      <c r="W106">
        <v>4.5</v>
      </c>
      <c r="X106">
        <v>1.075</v>
      </c>
      <c r="Y106">
        <v>0.181658</v>
      </c>
      <c r="Z106">
        <v>0.06799336650082918</v>
      </c>
      <c r="AA106">
        <v>0.8099838969404186</v>
      </c>
      <c r="AB106">
        <v>0.5168810289389068</v>
      </c>
      <c r="AC106">
        <v>0.184887459807074</v>
      </c>
      <c r="AD106">
        <v>0.07877813504823152</v>
      </c>
    </row>
    <row r="107" spans="1:30">
      <c r="A107" s="1" t="s">
        <v>114</v>
      </c>
      <c r="B107">
        <f>HYPERLINK("https://www.suredividend.com/sure-analysis-MKC/","McCormick &amp; Co., Inc.")</f>
        <v>0</v>
      </c>
      <c r="C107">
        <v>197.77</v>
      </c>
      <c r="D107">
        <v>26886.948804</v>
      </c>
      <c r="E107" t="s">
        <v>665</v>
      </c>
      <c r="F107" t="s">
        <v>631</v>
      </c>
      <c r="G107" t="s">
        <v>671</v>
      </c>
      <c r="H107" t="s">
        <v>702</v>
      </c>
      <c r="I107" t="s">
        <v>810</v>
      </c>
      <c r="J107" t="s">
        <v>1320</v>
      </c>
      <c r="K107">
        <v>44009</v>
      </c>
      <c r="L107">
        <v>0.011792686552373</v>
      </c>
      <c r="M107">
        <v>-0.1107037636268108</v>
      </c>
      <c r="N107">
        <v>0.08</v>
      </c>
      <c r="O107">
        <v>-0.0210472379599691</v>
      </c>
      <c r="P107" t="s">
        <v>635</v>
      </c>
      <c r="Q107" t="s">
        <v>381</v>
      </c>
      <c r="R107">
        <v>34</v>
      </c>
      <c r="S107">
        <v>0.4533333333333333</v>
      </c>
      <c r="T107">
        <v>110</v>
      </c>
      <c r="U107">
        <v>1.797909090909091</v>
      </c>
      <c r="V107">
        <v>5.6093</v>
      </c>
      <c r="W107">
        <v>5.25</v>
      </c>
      <c r="X107">
        <v>2.38</v>
      </c>
      <c r="Y107">
        <v>0.242449</v>
      </c>
      <c r="Z107">
        <v>0.09618573797678275</v>
      </c>
      <c r="AA107">
        <v>0.855072463768116</v>
      </c>
      <c r="AB107">
        <v>0.8135048231511255</v>
      </c>
      <c r="AC107">
        <v>0.07797427652733119</v>
      </c>
      <c r="AD107">
        <v>0.07556270096463023</v>
      </c>
    </row>
    <row r="108" spans="1:30">
      <c r="A108" s="1" t="s">
        <v>115</v>
      </c>
      <c r="B108">
        <f>HYPERLINK("https://www.suredividend.com/sure-analysis-CARR/","Carrier Global Corp.")</f>
        <v>0</v>
      </c>
      <c r="C108">
        <v>29.49</v>
      </c>
      <c r="D108">
        <v>25517.2209</v>
      </c>
      <c r="E108" t="s">
        <v>661</v>
      </c>
      <c r="F108" t="s">
        <v>631</v>
      </c>
      <c r="G108" t="s">
        <v>671</v>
      </c>
      <c r="H108" t="s">
        <v>702</v>
      </c>
      <c r="I108" t="s">
        <v>811</v>
      </c>
      <c r="J108" t="s">
        <v>1315</v>
      </c>
      <c r="K108">
        <v>44049</v>
      </c>
      <c r="L108">
        <v>0.002715546503733</v>
      </c>
      <c r="M108">
        <v>-0.09401804738287101</v>
      </c>
      <c r="N108">
        <v>0.06</v>
      </c>
      <c r="O108">
        <v>-0.02301285931759478</v>
      </c>
      <c r="P108" t="s">
        <v>635</v>
      </c>
      <c r="Q108" t="s">
        <v>381</v>
      </c>
      <c r="R108">
        <v>26</v>
      </c>
      <c r="S108">
        <v>0.06153846153846153</v>
      </c>
      <c r="T108">
        <v>18</v>
      </c>
      <c r="U108">
        <v>1.638333333333333</v>
      </c>
      <c r="W108">
        <v>1.3</v>
      </c>
      <c r="X108">
        <v>0.08</v>
      </c>
      <c r="Y108">
        <v>1.414167</v>
      </c>
      <c r="Z108">
        <v>0.01160862354892206</v>
      </c>
      <c r="AA108">
        <v>0.9951690821256038</v>
      </c>
      <c r="AB108">
        <v>0.6430868167202572</v>
      </c>
      <c r="AC108">
        <v>0.1254019292604502</v>
      </c>
      <c r="AD108">
        <v>0.07234726688102894</v>
      </c>
    </row>
    <row r="109" spans="1:30">
      <c r="A109" s="1" t="s">
        <v>116</v>
      </c>
      <c r="B109">
        <f>HYPERLINK("https://www.suredividend.com/sure-analysis-EXPD/","Expeditors International of Washington, Inc.")</f>
        <v>0</v>
      </c>
      <c r="C109">
        <v>85.64</v>
      </c>
      <c r="D109">
        <v>14211.05504</v>
      </c>
      <c r="E109" t="s">
        <v>668</v>
      </c>
      <c r="F109" t="s">
        <v>631</v>
      </c>
      <c r="G109" t="s">
        <v>671</v>
      </c>
      <c r="H109" t="s">
        <v>701</v>
      </c>
      <c r="I109" t="s">
        <v>812</v>
      </c>
      <c r="J109" t="s">
        <v>1315</v>
      </c>
      <c r="K109">
        <v>43978</v>
      </c>
      <c r="L109">
        <v>0.011973236295339</v>
      </c>
      <c r="M109">
        <v>-0.08810796941393617</v>
      </c>
      <c r="N109">
        <v>0.05</v>
      </c>
      <c r="O109">
        <v>-0.02628603533769047</v>
      </c>
      <c r="P109" t="s">
        <v>635</v>
      </c>
      <c r="Q109" t="s">
        <v>381</v>
      </c>
      <c r="R109">
        <v>26</v>
      </c>
      <c r="S109">
        <v>0.34</v>
      </c>
      <c r="T109">
        <v>54</v>
      </c>
      <c r="U109">
        <v>1.585925925925926</v>
      </c>
      <c r="V109">
        <v>3.574</v>
      </c>
      <c r="W109">
        <v>3</v>
      </c>
      <c r="X109">
        <v>1.02</v>
      </c>
      <c r="Y109">
        <v>0.168307</v>
      </c>
      <c r="Z109">
        <v>0.09950248756218905</v>
      </c>
      <c r="AA109">
        <v>0.7922705314009661</v>
      </c>
      <c r="AB109">
        <v>0.5168810289389068</v>
      </c>
      <c r="AC109">
        <v>0.1398713826366559</v>
      </c>
      <c r="AD109">
        <v>0.0707395498392283</v>
      </c>
    </row>
    <row r="110" spans="1:30">
      <c r="A110" s="1" t="s">
        <v>117</v>
      </c>
      <c r="B110">
        <f>HYPERLINK("https://www.suredividend.com/sure-analysis-OTIS/","Otis Worldwide Corp.")</f>
        <v>0</v>
      </c>
      <c r="C110">
        <v>64.37</v>
      </c>
      <c r="D110">
        <v>28241.08159</v>
      </c>
      <c r="E110" t="s">
        <v>661</v>
      </c>
      <c r="F110" t="s">
        <v>631</v>
      </c>
      <c r="G110" t="s">
        <v>671</v>
      </c>
      <c r="H110" t="s">
        <v>702</v>
      </c>
      <c r="I110" t="s">
        <v>813</v>
      </c>
      <c r="J110" t="s">
        <v>1315</v>
      </c>
      <c r="K110">
        <v>44042</v>
      </c>
      <c r="L110">
        <v>0.003067014261616</v>
      </c>
      <c r="M110">
        <v>-0.1097257783693886</v>
      </c>
      <c r="N110">
        <v>0.07000000000000001</v>
      </c>
      <c r="O110">
        <v>-0.02953658093277223</v>
      </c>
      <c r="P110" t="s">
        <v>635</v>
      </c>
      <c r="Q110" t="s">
        <v>381</v>
      </c>
      <c r="R110">
        <v>26</v>
      </c>
      <c r="S110">
        <v>0.08888888888888889</v>
      </c>
      <c r="T110">
        <v>36</v>
      </c>
      <c r="U110">
        <v>1.788055555555556</v>
      </c>
      <c r="W110">
        <v>2.25</v>
      </c>
      <c r="X110">
        <v>0.2</v>
      </c>
      <c r="Y110">
        <v>0.463864</v>
      </c>
      <c r="Z110">
        <v>0.01492537313432836</v>
      </c>
      <c r="AA110">
        <v>0.9452495974235104</v>
      </c>
      <c r="AB110">
        <v>0.7355305466237942</v>
      </c>
      <c r="AC110">
        <v>0.08520900321543408</v>
      </c>
      <c r="AD110">
        <v>0.06591639871382637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69.61</v>
      </c>
      <c r="D111">
        <v>33201.307</v>
      </c>
      <c r="E111" t="s">
        <v>659</v>
      </c>
      <c r="F111" t="s">
        <v>631</v>
      </c>
      <c r="G111" t="s">
        <v>671</v>
      </c>
      <c r="H111" t="s">
        <v>702</v>
      </c>
      <c r="I111" t="s">
        <v>814</v>
      </c>
      <c r="J111" t="s">
        <v>1320</v>
      </c>
      <c r="K111">
        <v>43992</v>
      </c>
      <c r="L111">
        <v>0.009806916426512</v>
      </c>
      <c r="M111">
        <v>-0.109408399846346</v>
      </c>
      <c r="N111">
        <v>0.07000000000000001</v>
      </c>
      <c r="O111">
        <v>-0.03289007237233232</v>
      </c>
      <c r="P111" t="s">
        <v>635</v>
      </c>
      <c r="Q111" t="s">
        <v>420</v>
      </c>
      <c r="R111">
        <v>30</v>
      </c>
      <c r="S111">
        <v>0.4253749999999999</v>
      </c>
      <c r="T111">
        <v>39</v>
      </c>
      <c r="U111">
        <v>1.784871794871795</v>
      </c>
      <c r="V111">
        <v>1.7311</v>
      </c>
      <c r="W111">
        <v>1.6</v>
      </c>
      <c r="X111">
        <v>0.6806</v>
      </c>
      <c r="Y111">
        <v>0.231762</v>
      </c>
      <c r="Z111">
        <v>0.0746268656716418</v>
      </c>
      <c r="AA111">
        <v>0.8454106280193237</v>
      </c>
      <c r="AB111">
        <v>0.7355305466237942</v>
      </c>
      <c r="AC111">
        <v>0.08842443729903536</v>
      </c>
      <c r="AD111">
        <v>0.06270096463022508</v>
      </c>
    </row>
    <row r="112" spans="1:30">
      <c r="A112" s="1" t="s">
        <v>119</v>
      </c>
      <c r="B112">
        <f>HYPERLINK("https://www.suredividend.com/sure-analysis-AAPL/","Apple, Inc.")</f>
        <v>0</v>
      </c>
      <c r="C112">
        <v>437.345</v>
      </c>
      <c r="D112">
        <v>1927924.3233</v>
      </c>
      <c r="E112" t="s">
        <v>661</v>
      </c>
      <c r="F112" t="s">
        <v>631</v>
      </c>
      <c r="G112" t="s">
        <v>671</v>
      </c>
      <c r="H112" t="s">
        <v>701</v>
      </c>
      <c r="I112" t="s">
        <v>815</v>
      </c>
      <c r="J112" t="s">
        <v>1318</v>
      </c>
      <c r="K112">
        <v>44049</v>
      </c>
      <c r="L112">
        <v>0.006941518263068</v>
      </c>
      <c r="M112">
        <v>-0.1276040884962134</v>
      </c>
      <c r="N112">
        <v>0.09</v>
      </c>
      <c r="O112">
        <v>-0.03740692694879266</v>
      </c>
      <c r="P112" t="s">
        <v>635</v>
      </c>
      <c r="Q112" t="s">
        <v>420</v>
      </c>
      <c r="R112">
        <v>8</v>
      </c>
      <c r="S112">
        <v>0.2407692307692308</v>
      </c>
      <c r="T112">
        <v>221</v>
      </c>
      <c r="U112">
        <v>1.978936651583711</v>
      </c>
      <c r="V112">
        <v>13.2733</v>
      </c>
      <c r="W112">
        <v>13</v>
      </c>
      <c r="X112">
        <v>3.13</v>
      </c>
      <c r="Y112">
        <v>1.2889</v>
      </c>
      <c r="Z112">
        <v>0.03648424543946932</v>
      </c>
      <c r="AA112">
        <v>0.9935587761674718</v>
      </c>
      <c r="AB112">
        <v>0.8657556270096463</v>
      </c>
      <c r="AC112">
        <v>0.03697749196141479</v>
      </c>
      <c r="AD112">
        <v>0.05466237942122186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67.66</v>
      </c>
      <c r="D113">
        <v>1211.18388</v>
      </c>
      <c r="E113" t="s">
        <v>666</v>
      </c>
      <c r="F113" t="s">
        <v>631</v>
      </c>
      <c r="G113" t="s">
        <v>671</v>
      </c>
      <c r="H113" t="s">
        <v>701</v>
      </c>
      <c r="I113" t="s">
        <v>816</v>
      </c>
      <c r="J113" t="s">
        <v>1314</v>
      </c>
      <c r="K113">
        <v>44012</v>
      </c>
      <c r="L113">
        <v>0.014545782263878</v>
      </c>
      <c r="M113">
        <v>-0.07832861533045476</v>
      </c>
      <c r="N113">
        <v>0.02</v>
      </c>
      <c r="O113">
        <v>-0.03942596969685419</v>
      </c>
      <c r="P113" t="s">
        <v>635</v>
      </c>
      <c r="Q113" t="s">
        <v>381</v>
      </c>
      <c r="R113">
        <v>47</v>
      </c>
      <c r="S113">
        <v>0.4920731707317074</v>
      </c>
      <c r="T113">
        <v>45</v>
      </c>
      <c r="U113">
        <v>1.503555555555556</v>
      </c>
      <c r="V113">
        <v>2.1213</v>
      </c>
      <c r="W113">
        <v>2.05</v>
      </c>
      <c r="X113">
        <v>1.00875</v>
      </c>
      <c r="Y113">
        <v>0.177725</v>
      </c>
      <c r="Z113">
        <v>0.1459369817578773</v>
      </c>
      <c r="AA113">
        <v>0.8035426731078905</v>
      </c>
      <c r="AB113">
        <v>0.157556270096463</v>
      </c>
      <c r="AC113">
        <v>0.1736334405144694</v>
      </c>
      <c r="AD113">
        <v>0.05305466237942122</v>
      </c>
    </row>
    <row r="114" spans="1:30">
      <c r="A114" s="1" t="s">
        <v>121</v>
      </c>
      <c r="B114">
        <f>HYPERLINK("https://www.suredividend.com/sure-analysis-RPM/","RPM International, Inc.")</f>
        <v>0</v>
      </c>
      <c r="C114">
        <v>83.95999999999999</v>
      </c>
      <c r="D114">
        <v>10900.36446</v>
      </c>
      <c r="E114" t="s">
        <v>665</v>
      </c>
      <c r="F114" t="s">
        <v>631</v>
      </c>
      <c r="G114" t="s">
        <v>671</v>
      </c>
      <c r="H114" t="s">
        <v>702</v>
      </c>
      <c r="I114" t="s">
        <v>817</v>
      </c>
      <c r="J114" t="s">
        <v>1321</v>
      </c>
      <c r="K114">
        <v>44039</v>
      </c>
      <c r="L114">
        <v>0.01703597807958</v>
      </c>
      <c r="M114">
        <v>-0.1095591293704985</v>
      </c>
      <c r="N114">
        <v>0.05</v>
      </c>
      <c r="O114">
        <v>-0.04031611124508683</v>
      </c>
      <c r="P114" t="s">
        <v>635</v>
      </c>
      <c r="Q114" t="s">
        <v>636</v>
      </c>
      <c r="R114">
        <v>46</v>
      </c>
      <c r="S114">
        <v>0.4847457627118644</v>
      </c>
      <c r="T114">
        <v>47</v>
      </c>
      <c r="U114">
        <v>1.786382978723404</v>
      </c>
      <c r="V114">
        <v>2.3541</v>
      </c>
      <c r="W114">
        <v>2.95</v>
      </c>
      <c r="X114">
        <v>1.43</v>
      </c>
      <c r="Y114">
        <v>0.213063</v>
      </c>
      <c r="Z114">
        <v>0.1923714759535655</v>
      </c>
      <c r="AA114">
        <v>0.8293075684380032</v>
      </c>
      <c r="AB114">
        <v>0.5168810289389068</v>
      </c>
      <c r="AC114">
        <v>0.08681672025723472</v>
      </c>
      <c r="AD114">
        <v>0.04983922829581994</v>
      </c>
    </row>
    <row r="115" spans="1:30">
      <c r="A115" s="1" t="s">
        <v>122</v>
      </c>
      <c r="B115">
        <f>HYPERLINK("https://www.suredividend.com/sure-analysis-JKHY/","Jack Henry &amp; Associates, Inc.")</f>
        <v>0</v>
      </c>
      <c r="C115">
        <v>182.9</v>
      </c>
      <c r="D115">
        <v>14080.378212</v>
      </c>
      <c r="E115" t="s">
        <v>659</v>
      </c>
      <c r="F115" t="s">
        <v>631</v>
      </c>
      <c r="G115" t="s">
        <v>671</v>
      </c>
      <c r="H115" t="s">
        <v>701</v>
      </c>
      <c r="I115" t="s">
        <v>818</v>
      </c>
      <c r="J115" t="s">
        <v>1318</v>
      </c>
      <c r="K115">
        <v>43961</v>
      </c>
      <c r="L115">
        <v>0.008869300250299</v>
      </c>
      <c r="M115">
        <v>-0.140082179474224</v>
      </c>
      <c r="N115">
        <v>0.095</v>
      </c>
      <c r="O115">
        <v>-0.04326315247272183</v>
      </c>
      <c r="P115" t="s">
        <v>635</v>
      </c>
      <c r="Q115" t="s">
        <v>420</v>
      </c>
      <c r="R115">
        <v>30</v>
      </c>
      <c r="S115">
        <v>0.4179487179487179</v>
      </c>
      <c r="T115">
        <v>86</v>
      </c>
      <c r="U115">
        <v>2.126744186046511</v>
      </c>
      <c r="V115">
        <v>3.8535</v>
      </c>
      <c r="W115">
        <v>3.9</v>
      </c>
      <c r="X115">
        <v>1.63</v>
      </c>
      <c r="Y115">
        <v>0.306633</v>
      </c>
      <c r="Z115">
        <v>0.06301824212271973</v>
      </c>
      <c r="AA115">
        <v>0.8904991948470209</v>
      </c>
      <c r="AB115">
        <v>0.8834405144694535</v>
      </c>
      <c r="AC115">
        <v>0.02893890675241157</v>
      </c>
      <c r="AD115">
        <v>0.04823151125401929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318.16</v>
      </c>
      <c r="D116">
        <v>32747.0836</v>
      </c>
      <c r="E116" t="s">
        <v>663</v>
      </c>
      <c r="F116" t="s">
        <v>631</v>
      </c>
      <c r="G116" t="s">
        <v>671</v>
      </c>
      <c r="H116" t="s">
        <v>701</v>
      </c>
      <c r="I116" t="s">
        <v>819</v>
      </c>
      <c r="J116" t="s">
        <v>1315</v>
      </c>
      <c r="K116">
        <v>44035</v>
      </c>
      <c r="L116">
        <v>0.008059418457648</v>
      </c>
      <c r="M116">
        <v>-0.1116718635098022</v>
      </c>
      <c r="N116">
        <v>0.06</v>
      </c>
      <c r="O116">
        <v>-0.04505461837694924</v>
      </c>
      <c r="P116" t="s">
        <v>635</v>
      </c>
      <c r="Q116" t="s">
        <v>381</v>
      </c>
      <c r="R116">
        <v>36</v>
      </c>
      <c r="S116">
        <v>0.3517241379310345</v>
      </c>
      <c r="T116">
        <v>176</v>
      </c>
      <c r="U116">
        <v>1.807727272727273</v>
      </c>
      <c r="V116">
        <v>8.3566</v>
      </c>
      <c r="W116">
        <v>7.25</v>
      </c>
      <c r="X116">
        <v>2.55</v>
      </c>
      <c r="Y116">
        <v>0.172992</v>
      </c>
      <c r="Z116">
        <v>0.05804311774461028</v>
      </c>
      <c r="AA116">
        <v>0.7987117552334944</v>
      </c>
      <c r="AB116">
        <v>0.6430868167202572</v>
      </c>
      <c r="AC116">
        <v>0.07395498392282958</v>
      </c>
      <c r="AD116">
        <v>0.04662379421221865</v>
      </c>
    </row>
    <row r="117" spans="1:30">
      <c r="A117" s="1" t="s">
        <v>124</v>
      </c>
      <c r="B117">
        <f>HYPERLINK("https://www.suredividend.com/sure-analysis-NDSN/","Nordson Corp.")</f>
        <v>0</v>
      </c>
      <c r="C117">
        <v>204.67</v>
      </c>
      <c r="D117">
        <v>11630.655692</v>
      </c>
      <c r="E117" t="s">
        <v>661</v>
      </c>
      <c r="F117" t="s">
        <v>631</v>
      </c>
      <c r="G117" t="s">
        <v>671</v>
      </c>
      <c r="H117" t="s">
        <v>701</v>
      </c>
      <c r="I117" t="s">
        <v>820</v>
      </c>
      <c r="J117" t="s">
        <v>1315</v>
      </c>
      <c r="K117">
        <v>43979</v>
      </c>
      <c r="L117">
        <v>0.007389406863717001</v>
      </c>
      <c r="M117">
        <v>-0.1283209524417174</v>
      </c>
      <c r="N117">
        <v>0.08</v>
      </c>
      <c r="O117">
        <v>-0.04690992030713315</v>
      </c>
      <c r="P117" t="s">
        <v>635</v>
      </c>
      <c r="Q117" t="s">
        <v>381</v>
      </c>
      <c r="R117">
        <v>56</v>
      </c>
      <c r="S117">
        <v>0.2759259259259259</v>
      </c>
      <c r="T117">
        <v>103</v>
      </c>
      <c r="U117">
        <v>1.987087378640777</v>
      </c>
      <c r="V117">
        <v>5.9217</v>
      </c>
      <c r="W117">
        <v>5.4</v>
      </c>
      <c r="X117">
        <v>1.49</v>
      </c>
      <c r="Y117">
        <v>0.432419</v>
      </c>
      <c r="Z117">
        <v>0.04477611940298507</v>
      </c>
      <c r="AA117">
        <v>0.9404186795491144</v>
      </c>
      <c r="AB117">
        <v>0.8135048231511255</v>
      </c>
      <c r="AC117">
        <v>0.03536977491961415</v>
      </c>
      <c r="AD117">
        <v>0.04019292604501608</v>
      </c>
    </row>
    <row r="118" spans="1:30">
      <c r="A118" s="1" t="s">
        <v>125</v>
      </c>
      <c r="B118">
        <f>HYPERLINK("https://www.suredividend.com/sure-analysis-ALB/","Albemarle Corp.")</f>
        <v>0</v>
      </c>
      <c r="C118">
        <v>92.45</v>
      </c>
      <c r="D118">
        <v>9276.544760000001</v>
      </c>
      <c r="E118" t="s">
        <v>665</v>
      </c>
      <c r="F118" t="s">
        <v>631</v>
      </c>
      <c r="G118" t="s">
        <v>671</v>
      </c>
      <c r="H118" t="s">
        <v>702</v>
      </c>
      <c r="I118" t="s">
        <v>821</v>
      </c>
      <c r="J118" t="s">
        <v>1321</v>
      </c>
      <c r="K118">
        <v>44048</v>
      </c>
      <c r="L118">
        <v>0.017255216693418</v>
      </c>
      <c r="M118">
        <v>-0.1500852071477663</v>
      </c>
      <c r="N118">
        <v>0.09</v>
      </c>
      <c r="O118">
        <v>-0.04701210911417497</v>
      </c>
      <c r="P118" t="s">
        <v>635</v>
      </c>
      <c r="Q118" t="s">
        <v>381</v>
      </c>
      <c r="R118">
        <v>25</v>
      </c>
      <c r="S118">
        <v>0.436231884057971</v>
      </c>
      <c r="T118">
        <v>41</v>
      </c>
      <c r="U118">
        <v>2.254878048780488</v>
      </c>
      <c r="V118">
        <v>4.1299</v>
      </c>
      <c r="W118">
        <v>3.45</v>
      </c>
      <c r="X118">
        <v>1.505</v>
      </c>
      <c r="Y118">
        <v>0.149</v>
      </c>
      <c r="Z118">
        <v>0.1990049751243781</v>
      </c>
      <c r="AA118">
        <v>0.7874396135265701</v>
      </c>
      <c r="AB118">
        <v>0.8657556270096463</v>
      </c>
      <c r="AC118">
        <v>0.01929260450160772</v>
      </c>
      <c r="AD118">
        <v>0.03858520900321544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47.93</v>
      </c>
      <c r="D119">
        <v>2419.51404</v>
      </c>
      <c r="E119" t="s">
        <v>659</v>
      </c>
      <c r="F119" t="s">
        <v>631</v>
      </c>
      <c r="G119" t="s">
        <v>671</v>
      </c>
      <c r="H119" t="s">
        <v>702</v>
      </c>
      <c r="I119" t="s">
        <v>822</v>
      </c>
      <c r="J119" t="s">
        <v>1314</v>
      </c>
      <c r="K119">
        <v>44050</v>
      </c>
      <c r="L119">
        <v>0.01674152715394</v>
      </c>
      <c r="M119">
        <v>-0.1084385804474958</v>
      </c>
      <c r="N119">
        <v>0.04</v>
      </c>
      <c r="O119">
        <v>-0.04754710264793482</v>
      </c>
      <c r="P119" t="s">
        <v>635</v>
      </c>
      <c r="Q119" t="s">
        <v>381</v>
      </c>
      <c r="R119">
        <v>52</v>
      </c>
      <c r="S119">
        <v>0.6074074074074074</v>
      </c>
      <c r="T119">
        <v>27</v>
      </c>
      <c r="U119">
        <v>1.775185185185185</v>
      </c>
      <c r="V119">
        <v>0.8058000000000001</v>
      </c>
      <c r="W119">
        <v>1.35</v>
      </c>
      <c r="X119">
        <v>0.8200000000000001</v>
      </c>
      <c r="Y119">
        <v>-0.092734</v>
      </c>
      <c r="Z119">
        <v>0.1807628524046434</v>
      </c>
      <c r="AA119">
        <v>0.4959742351046699</v>
      </c>
      <c r="AB119">
        <v>0.3858520900321543</v>
      </c>
      <c r="AC119">
        <v>0.09003215434083602</v>
      </c>
      <c r="AD119">
        <v>0.03697749196141479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66.73999999999999</v>
      </c>
      <c r="D120">
        <v>1941.846075</v>
      </c>
      <c r="E120" t="s">
        <v>665</v>
      </c>
      <c r="F120" t="s">
        <v>631</v>
      </c>
      <c r="G120" t="s">
        <v>671</v>
      </c>
      <c r="H120" t="s">
        <v>702</v>
      </c>
      <c r="I120" t="s">
        <v>823</v>
      </c>
      <c r="J120" t="s">
        <v>1315</v>
      </c>
      <c r="K120">
        <v>44028</v>
      </c>
      <c r="L120">
        <v>0.010196431249062</v>
      </c>
      <c r="M120">
        <v>-0.1161404481577305</v>
      </c>
      <c r="N120">
        <v>0.034</v>
      </c>
      <c r="O120">
        <v>-0.06763623551374298</v>
      </c>
      <c r="P120" t="s">
        <v>635</v>
      </c>
      <c r="Q120" t="s">
        <v>420</v>
      </c>
      <c r="R120">
        <v>27</v>
      </c>
      <c r="S120">
        <v>0.4503311258278146</v>
      </c>
      <c r="T120">
        <v>36</v>
      </c>
      <c r="U120">
        <v>1.853888888888889</v>
      </c>
      <c r="V120">
        <v>1.5975</v>
      </c>
      <c r="W120">
        <v>1.51</v>
      </c>
      <c r="X120">
        <v>0.68</v>
      </c>
      <c r="Y120">
        <v>0.230237</v>
      </c>
      <c r="Z120">
        <v>0.08457711442786069</v>
      </c>
      <c r="AA120">
        <v>0.8438003220611917</v>
      </c>
      <c r="AB120">
        <v>0.3110932475884244</v>
      </c>
      <c r="AC120">
        <v>0.06109324758842444</v>
      </c>
      <c r="AD120">
        <v>0.02411575562700964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91.90000000000001</v>
      </c>
      <c r="D121">
        <v>4132.042992</v>
      </c>
      <c r="E121" t="s">
        <v>659</v>
      </c>
      <c r="F121" t="s">
        <v>631</v>
      </c>
      <c r="G121" t="s">
        <v>671</v>
      </c>
      <c r="H121" t="s">
        <v>702</v>
      </c>
      <c r="I121" t="s">
        <v>824</v>
      </c>
      <c r="J121" t="s">
        <v>1312</v>
      </c>
      <c r="K121">
        <v>44035</v>
      </c>
      <c r="L121">
        <v>0.010117493472584</v>
      </c>
      <c r="M121">
        <v>-0.121816758386878</v>
      </c>
      <c r="N121">
        <v>0.03</v>
      </c>
      <c r="O121">
        <v>-0.07827610440327026</v>
      </c>
      <c r="P121" t="s">
        <v>635</v>
      </c>
      <c r="Q121" t="s">
        <v>381</v>
      </c>
      <c r="R121">
        <v>45</v>
      </c>
      <c r="S121">
        <v>0.3321428571428572</v>
      </c>
      <c r="T121">
        <v>48</v>
      </c>
      <c r="U121">
        <v>1.914583333333334</v>
      </c>
      <c r="V121">
        <v>2.5976</v>
      </c>
      <c r="W121">
        <v>2.8</v>
      </c>
      <c r="X121">
        <v>0.93</v>
      </c>
      <c r="Y121">
        <v>-0.006888999999999999</v>
      </c>
      <c r="Z121">
        <v>0.0812603648424544</v>
      </c>
      <c r="AA121">
        <v>0.6231884057971014</v>
      </c>
      <c r="AB121">
        <v>0.2540192926045016</v>
      </c>
      <c r="AC121">
        <v>0.04823151125401929</v>
      </c>
      <c r="AD121">
        <v>0.01446945337620579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264.55</v>
      </c>
      <c r="D122">
        <v>19669.685666</v>
      </c>
      <c r="E122" t="s">
        <v>659</v>
      </c>
      <c r="F122" t="s">
        <v>631</v>
      </c>
      <c r="G122" t="s">
        <v>671</v>
      </c>
      <c r="H122" t="s">
        <v>702</v>
      </c>
      <c r="I122" t="s">
        <v>825</v>
      </c>
      <c r="J122" t="s">
        <v>1316</v>
      </c>
      <c r="K122">
        <v>44047</v>
      </c>
      <c r="L122">
        <v>0.002402582776484</v>
      </c>
      <c r="M122">
        <v>-0.1904270061954967</v>
      </c>
      <c r="N122">
        <v>0.09</v>
      </c>
      <c r="O122">
        <v>-0.1125679046768414</v>
      </c>
      <c r="P122" t="s">
        <v>635</v>
      </c>
      <c r="Q122" t="s">
        <v>381</v>
      </c>
      <c r="R122">
        <v>26</v>
      </c>
      <c r="S122">
        <v>0.1523809523809524</v>
      </c>
      <c r="T122">
        <v>92</v>
      </c>
      <c r="U122">
        <v>2.87554347826087</v>
      </c>
      <c r="V122">
        <v>3.8643</v>
      </c>
      <c r="W122">
        <v>4.2</v>
      </c>
      <c r="X122">
        <v>0.64</v>
      </c>
      <c r="Y122">
        <v>0.9117339999999999</v>
      </c>
      <c r="Z122">
        <v>0.009950248756218905</v>
      </c>
      <c r="AA122">
        <v>0.9903381642512078</v>
      </c>
      <c r="AB122">
        <v>0.8657556270096463</v>
      </c>
      <c r="AC122">
        <v>0.009646302250803859</v>
      </c>
      <c r="AD122">
        <v>0.009646302250803859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25.61</v>
      </c>
      <c r="D123">
        <v>2580.054137</v>
      </c>
      <c r="E123" t="s">
        <v>659</v>
      </c>
      <c r="F123" t="s">
        <v>632</v>
      </c>
      <c r="G123" t="s">
        <v>671</v>
      </c>
      <c r="H123" t="s">
        <v>702</v>
      </c>
      <c r="I123" t="s">
        <v>826</v>
      </c>
      <c r="J123" t="s">
        <v>1317</v>
      </c>
      <c r="K123">
        <v>43973</v>
      </c>
      <c r="L123">
        <v>0.127293754818812</v>
      </c>
      <c r="M123">
        <v>0.07048006597832912</v>
      </c>
      <c r="N123">
        <v>0.015</v>
      </c>
      <c r="O123">
        <v>0.1663668983072504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0.7113888888888888</v>
      </c>
      <c r="V123">
        <v>1.2079</v>
      </c>
      <c r="W123">
        <v>8</v>
      </c>
      <c r="X123">
        <v>3.302</v>
      </c>
      <c r="Y123">
        <v>-0.16538</v>
      </c>
      <c r="Z123">
        <v>0.9386401326699834</v>
      </c>
      <c r="AA123">
        <v>0.4041867954911433</v>
      </c>
      <c r="AB123">
        <v>0.1101286173633441</v>
      </c>
      <c r="AC123">
        <v>0.959807073954984</v>
      </c>
      <c r="AD123">
        <v>0.9839228295819936</v>
      </c>
    </row>
    <row r="124" spans="1:30">
      <c r="A124" s="1" t="s">
        <v>131</v>
      </c>
      <c r="B124">
        <f>HYPERLINK("https://www.suredividend.com/sure-analysis-EPD/","Enterprise Products Partners LP")</f>
        <v>0</v>
      </c>
      <c r="C124">
        <v>18.19</v>
      </c>
      <c r="D124">
        <v>40023.6459</v>
      </c>
      <c r="E124" t="s">
        <v>666</v>
      </c>
      <c r="F124" t="s">
        <v>632</v>
      </c>
      <c r="G124" t="s">
        <v>671</v>
      </c>
      <c r="H124" t="s">
        <v>702</v>
      </c>
      <c r="I124" t="s">
        <v>827</v>
      </c>
      <c r="J124" t="s">
        <v>1317</v>
      </c>
      <c r="K124">
        <v>43978</v>
      </c>
      <c r="L124">
        <v>0.09680502457673401</v>
      </c>
      <c r="M124">
        <v>0.02914677898763718</v>
      </c>
      <c r="N124">
        <v>0.037</v>
      </c>
      <c r="O124">
        <v>0.1379668476497906</v>
      </c>
      <c r="P124" t="s">
        <v>636</v>
      </c>
      <c r="Q124" t="s">
        <v>635</v>
      </c>
      <c r="R124">
        <v>21</v>
      </c>
      <c r="S124">
        <v>0.5908333333333333</v>
      </c>
      <c r="T124">
        <v>21</v>
      </c>
      <c r="U124">
        <v>0.8661904761904763</v>
      </c>
      <c r="V124">
        <v>2.0431</v>
      </c>
      <c r="W124">
        <v>3</v>
      </c>
      <c r="X124">
        <v>1.7725</v>
      </c>
      <c r="Y124">
        <v>-0.37193</v>
      </c>
      <c r="Z124">
        <v>0.8855721393034826</v>
      </c>
      <c r="AA124">
        <v>0.1578099838969404</v>
      </c>
      <c r="AB124">
        <v>0.3327974276527331</v>
      </c>
      <c r="AC124">
        <v>0.8086816720257235</v>
      </c>
      <c r="AD124">
        <v>0.9292604501607716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58.76</v>
      </c>
      <c r="D125">
        <v>5414.164701</v>
      </c>
      <c r="E125" t="s">
        <v>662</v>
      </c>
      <c r="F125" t="s">
        <v>631</v>
      </c>
      <c r="G125" t="s">
        <v>671</v>
      </c>
      <c r="H125" t="s">
        <v>702</v>
      </c>
      <c r="I125" t="s">
        <v>828</v>
      </c>
      <c r="J125" t="s">
        <v>1312</v>
      </c>
      <c r="K125">
        <v>43951</v>
      </c>
      <c r="L125">
        <v>0.030634947800787</v>
      </c>
      <c r="M125">
        <v>0.04720085112905359</v>
      </c>
      <c r="N125">
        <v>0.06</v>
      </c>
      <c r="O125">
        <v>0.1338696098077854</v>
      </c>
      <c r="P125" t="s">
        <v>636</v>
      </c>
      <c r="Q125" t="s">
        <v>636</v>
      </c>
      <c r="R125">
        <v>16</v>
      </c>
      <c r="S125">
        <v>0.358</v>
      </c>
      <c r="T125">
        <v>74</v>
      </c>
      <c r="U125">
        <v>0.794054054054054</v>
      </c>
      <c r="V125">
        <v>4.995200000000001</v>
      </c>
      <c r="W125">
        <v>5</v>
      </c>
      <c r="X125">
        <v>1.79</v>
      </c>
      <c r="Y125">
        <v>-0.124811</v>
      </c>
      <c r="Z125">
        <v>0.4378109452736318</v>
      </c>
      <c r="AA125">
        <v>0.4476650563607085</v>
      </c>
      <c r="AB125">
        <v>0.6430868167202572</v>
      </c>
      <c r="AC125">
        <v>0.887459807073955</v>
      </c>
      <c r="AD125">
        <v>0.9196141479099679</v>
      </c>
    </row>
    <row r="126" spans="1:30">
      <c r="A126" s="1" t="s">
        <v>133</v>
      </c>
      <c r="B126">
        <f>HYPERLINK("https://www.suredividend.com/sure-analysis-JW.A/","John Wiley &amp; Sons, Inc.")</f>
        <v>0</v>
      </c>
      <c r="C126">
        <v>34.8</v>
      </c>
      <c r="D126">
        <v>1922.786217</v>
      </c>
      <c r="E126" t="s">
        <v>659</v>
      </c>
      <c r="F126" t="s">
        <v>631</v>
      </c>
      <c r="G126" t="s">
        <v>671</v>
      </c>
      <c r="H126" t="s">
        <v>702</v>
      </c>
      <c r="I126" t="s">
        <v>829</v>
      </c>
      <c r="J126" t="s">
        <v>1319</v>
      </c>
      <c r="K126">
        <v>44001</v>
      </c>
      <c r="L126">
        <v>0.039511911679256</v>
      </c>
      <c r="M126">
        <v>0.05739126286945018</v>
      </c>
      <c r="N126">
        <v>0.045</v>
      </c>
      <c r="O126">
        <v>0.1322974060712259</v>
      </c>
      <c r="P126" t="s">
        <v>636</v>
      </c>
      <c r="Q126" t="s">
        <v>636</v>
      </c>
      <c r="R126">
        <v>21</v>
      </c>
      <c r="S126">
        <v>0.6476190476190475</v>
      </c>
      <c r="T126">
        <v>46</v>
      </c>
      <c r="U126">
        <v>0.7565217391304347</v>
      </c>
      <c r="V126">
        <v>-1.3379</v>
      </c>
      <c r="W126">
        <v>2.1</v>
      </c>
      <c r="X126">
        <v>1.36</v>
      </c>
      <c r="Y126">
        <v>-0.228313</v>
      </c>
      <c r="Z126">
        <v>0.5771144278606966</v>
      </c>
      <c r="AA126">
        <v>0.3107890499194847</v>
      </c>
      <c r="AB126">
        <v>0.4429260450160772</v>
      </c>
      <c r="AC126">
        <v>0.9340836012861736</v>
      </c>
      <c r="AD126">
        <v>0.9163987138263665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30.2</v>
      </c>
      <c r="D127">
        <v>215175</v>
      </c>
      <c r="E127" t="s">
        <v>661</v>
      </c>
      <c r="F127" t="s">
        <v>631</v>
      </c>
      <c r="G127" t="s">
        <v>671</v>
      </c>
      <c r="H127" t="s">
        <v>702</v>
      </c>
      <c r="I127" t="s">
        <v>830</v>
      </c>
      <c r="J127" t="s">
        <v>1319</v>
      </c>
      <c r="K127">
        <v>44042</v>
      </c>
      <c r="L127">
        <v>0.068543046357615</v>
      </c>
      <c r="M127">
        <v>0.05247438012039551</v>
      </c>
      <c r="N127">
        <v>0.03</v>
      </c>
      <c r="O127">
        <v>0.1322767512957788</v>
      </c>
      <c r="P127" t="s">
        <v>636</v>
      </c>
      <c r="Q127" t="s">
        <v>635</v>
      </c>
      <c r="R127">
        <v>36</v>
      </c>
      <c r="S127">
        <v>0.6369230769230769</v>
      </c>
      <c r="T127">
        <v>39</v>
      </c>
      <c r="U127">
        <v>0.7743589743589744</v>
      </c>
      <c r="V127">
        <v>1.6454</v>
      </c>
      <c r="W127">
        <v>3.25</v>
      </c>
      <c r="X127">
        <v>2.07</v>
      </c>
      <c r="Y127">
        <v>-0.130863</v>
      </c>
      <c r="Z127">
        <v>0.8026533996683249</v>
      </c>
      <c r="AA127">
        <v>0.4428341384863124</v>
      </c>
      <c r="AB127">
        <v>0.2540192926045016</v>
      </c>
      <c r="AC127">
        <v>0.909967845659164</v>
      </c>
      <c r="AD127">
        <v>0.9147909967845659</v>
      </c>
    </row>
    <row r="128" spans="1:30">
      <c r="A128" s="1" t="s">
        <v>135</v>
      </c>
      <c r="B128">
        <f>HYPERLINK("https://www.suredividend.com/sure-analysis-INTC/","Intel Corp.")</f>
        <v>0</v>
      </c>
      <c r="C128">
        <v>48.185</v>
      </c>
      <c r="D128">
        <v>209332.66</v>
      </c>
      <c r="E128" t="s">
        <v>665</v>
      </c>
      <c r="F128" t="s">
        <v>631</v>
      </c>
      <c r="G128" t="s">
        <v>671</v>
      </c>
      <c r="H128" t="s">
        <v>701</v>
      </c>
      <c r="I128" t="s">
        <v>831</v>
      </c>
      <c r="J128" t="s">
        <v>1318</v>
      </c>
      <c r="K128">
        <v>44036</v>
      </c>
      <c r="L128">
        <v>0.026208858187728</v>
      </c>
      <c r="M128">
        <v>0.05508084193375251</v>
      </c>
      <c r="N128">
        <v>0.05</v>
      </c>
      <c r="O128">
        <v>0.1281439827087838</v>
      </c>
      <c r="P128" t="s">
        <v>636</v>
      </c>
      <c r="Q128" t="s">
        <v>636</v>
      </c>
      <c r="R128">
        <v>6</v>
      </c>
      <c r="S128">
        <v>0.265979381443299</v>
      </c>
      <c r="T128">
        <v>63</v>
      </c>
      <c r="U128">
        <v>0.7648412698412699</v>
      </c>
      <c r="V128">
        <v>5.4922</v>
      </c>
      <c r="W128">
        <v>4.85</v>
      </c>
      <c r="X128">
        <v>1.29</v>
      </c>
      <c r="Y128">
        <v>0.018232</v>
      </c>
      <c r="Z128">
        <v>0.3665008291873963</v>
      </c>
      <c r="AA128">
        <v>0.6553945249597423</v>
      </c>
      <c r="AB128">
        <v>0.5168810289389068</v>
      </c>
      <c r="AC128">
        <v>0.9196141479099679</v>
      </c>
      <c r="AD128">
        <v>0.8971061093247589</v>
      </c>
    </row>
    <row r="129" spans="1:30">
      <c r="A129" s="1" t="s">
        <v>136</v>
      </c>
      <c r="B129">
        <f>HYPERLINK("https://www.suredividend.com/sure-analysis-MTB/","M&amp;T Bank Corp.")</f>
        <v>0</v>
      </c>
      <c r="C129">
        <v>111.35</v>
      </c>
      <c r="D129">
        <v>13993.439519</v>
      </c>
      <c r="E129" t="s">
        <v>665</v>
      </c>
      <c r="F129" t="s">
        <v>631</v>
      </c>
      <c r="G129" t="s">
        <v>671</v>
      </c>
      <c r="H129" t="s">
        <v>702</v>
      </c>
      <c r="I129" t="s">
        <v>832</v>
      </c>
      <c r="J129" t="s">
        <v>1312</v>
      </c>
      <c r="K129">
        <v>44035</v>
      </c>
      <c r="L129">
        <v>0.03942422297607</v>
      </c>
      <c r="M129">
        <v>0.03617302962461078</v>
      </c>
      <c r="N129">
        <v>0.057</v>
      </c>
      <c r="O129">
        <v>0.1239057786794371</v>
      </c>
      <c r="P129" t="s">
        <v>636</v>
      </c>
      <c r="Q129" t="s">
        <v>636</v>
      </c>
      <c r="R129">
        <v>4</v>
      </c>
      <c r="S129">
        <v>0.5070754716981132</v>
      </c>
      <c r="T129">
        <v>133</v>
      </c>
      <c r="U129">
        <v>0.8372180451127819</v>
      </c>
      <c r="V129">
        <v>10.7419</v>
      </c>
      <c r="W129">
        <v>8.48</v>
      </c>
      <c r="X129">
        <v>4.3</v>
      </c>
      <c r="Y129">
        <v>-0.296069</v>
      </c>
      <c r="Z129">
        <v>0.5704809286898839</v>
      </c>
      <c r="AA129">
        <v>0.2383252818035427</v>
      </c>
      <c r="AB129">
        <v>0.5956591639871383</v>
      </c>
      <c r="AC129">
        <v>0.842443729903537</v>
      </c>
      <c r="AD129">
        <v>0.8810289389067525</v>
      </c>
    </row>
    <row r="130" spans="1:30">
      <c r="A130" s="1" t="s">
        <v>137</v>
      </c>
      <c r="B130">
        <f>HYPERLINK("https://www.suredividend.com/sure-analysis-PBCT/","People's United Financial, Inc.")</f>
        <v>0</v>
      </c>
      <c r="C130">
        <v>11.645</v>
      </c>
      <c r="D130">
        <v>4904.7999</v>
      </c>
      <c r="E130" t="s">
        <v>662</v>
      </c>
      <c r="F130" t="s">
        <v>631</v>
      </c>
      <c r="G130" t="s">
        <v>671</v>
      </c>
      <c r="H130" t="s">
        <v>701</v>
      </c>
      <c r="I130" t="s">
        <v>833</v>
      </c>
      <c r="J130" t="s">
        <v>1312</v>
      </c>
      <c r="K130">
        <v>44045</v>
      </c>
      <c r="L130">
        <v>0.06168831168831101</v>
      </c>
      <c r="M130">
        <v>0.03752294159170777</v>
      </c>
      <c r="N130">
        <v>0.04</v>
      </c>
      <c r="O130">
        <v>0.1228163423114386</v>
      </c>
      <c r="P130" t="s">
        <v>636</v>
      </c>
      <c r="Q130" t="s">
        <v>635</v>
      </c>
      <c r="R130">
        <v>27</v>
      </c>
      <c r="S130">
        <v>0.6477272727272727</v>
      </c>
      <c r="T130">
        <v>14</v>
      </c>
      <c r="U130">
        <v>0.8317857142857142</v>
      </c>
      <c r="V130">
        <v>1.1528</v>
      </c>
      <c r="W130">
        <v>1.1</v>
      </c>
      <c r="X130">
        <v>0.7125</v>
      </c>
      <c r="Y130">
        <v>-0.260614</v>
      </c>
      <c r="Z130">
        <v>0.7661691542288557</v>
      </c>
      <c r="AA130">
        <v>0.2818035426731079</v>
      </c>
      <c r="AB130">
        <v>0.3858520900321543</v>
      </c>
      <c r="AC130">
        <v>0.8456591639871383</v>
      </c>
      <c r="AD130">
        <v>0.8745980707395498</v>
      </c>
    </row>
    <row r="131" spans="1:30">
      <c r="A131" s="1" t="s">
        <v>138</v>
      </c>
      <c r="B131">
        <f>HYPERLINK("https://www.suredividend.com/sure-analysis-BAYRY/","Bayer AG")</f>
        <v>0</v>
      </c>
      <c r="C131">
        <v>16.62</v>
      </c>
      <c r="D131">
        <v>65311.54752</v>
      </c>
      <c r="E131" t="s">
        <v>659</v>
      </c>
      <c r="F131" t="s">
        <v>631</v>
      </c>
      <c r="G131" t="s">
        <v>678</v>
      </c>
      <c r="H131" t="s">
        <v>700</v>
      </c>
      <c r="I131" t="s">
        <v>834</v>
      </c>
      <c r="J131" t="s">
        <v>1316</v>
      </c>
      <c r="K131">
        <v>44047</v>
      </c>
      <c r="L131">
        <v>0.045884476534296</v>
      </c>
      <c r="M131">
        <v>0.04789472714861764</v>
      </c>
      <c r="N131">
        <v>0.035</v>
      </c>
      <c r="O131">
        <v>0.1204647478922312</v>
      </c>
      <c r="P131" t="s">
        <v>636</v>
      </c>
      <c r="Q131" t="s">
        <v>635</v>
      </c>
      <c r="R131">
        <v>0</v>
      </c>
      <c r="S131">
        <v>0.3910769230769231</v>
      </c>
      <c r="T131">
        <v>21</v>
      </c>
      <c r="U131">
        <v>0.7914285714285715</v>
      </c>
      <c r="V131">
        <v>-1.5667</v>
      </c>
      <c r="W131">
        <v>1.95</v>
      </c>
      <c r="X131">
        <v>0.7626000000000001</v>
      </c>
      <c r="Y131">
        <v>-0.05835199999999999</v>
      </c>
      <c r="Z131">
        <v>0.6467661691542288</v>
      </c>
      <c r="AA131">
        <v>0.5523349436392915</v>
      </c>
      <c r="AB131">
        <v>0.3183279742765273</v>
      </c>
      <c r="AC131">
        <v>0.8906752411575564</v>
      </c>
      <c r="AD131">
        <v>0.8633440514469453</v>
      </c>
    </row>
    <row r="132" spans="1:30">
      <c r="A132" s="1" t="s">
        <v>139</v>
      </c>
      <c r="B132">
        <f>HYPERLINK("https://www.suredividend.com/sure-analysis-FRT/","Federal Realty Investment Trust")</f>
        <v>0</v>
      </c>
      <c r="C132">
        <v>82.18000000000001</v>
      </c>
      <c r="D132">
        <v>6128.241546</v>
      </c>
      <c r="E132" t="s">
        <v>666</v>
      </c>
      <c r="F132" t="s">
        <v>633</v>
      </c>
      <c r="G132" t="s">
        <v>671</v>
      </c>
      <c r="H132" t="s">
        <v>702</v>
      </c>
      <c r="I132" t="s">
        <v>835</v>
      </c>
      <c r="J132" t="s">
        <v>1322</v>
      </c>
      <c r="K132">
        <v>43978</v>
      </c>
      <c r="L132">
        <v>0.052349495201296</v>
      </c>
      <c r="M132">
        <v>0.009128479294022052</v>
      </c>
      <c r="N132">
        <v>0.06900000000000001</v>
      </c>
      <c r="O132">
        <v>0.1189243428240796</v>
      </c>
      <c r="P132" t="s">
        <v>636</v>
      </c>
      <c r="Q132" t="s">
        <v>635</v>
      </c>
      <c r="R132">
        <v>51</v>
      </c>
      <c r="S132">
        <v>0.7329842931937173</v>
      </c>
      <c r="T132">
        <v>86</v>
      </c>
      <c r="U132">
        <v>0.9555813953488372</v>
      </c>
      <c r="V132">
        <v>3.5766</v>
      </c>
      <c r="W132">
        <v>5.73</v>
      </c>
      <c r="X132">
        <v>4.2</v>
      </c>
      <c r="Y132">
        <v>-0.400593</v>
      </c>
      <c r="Z132">
        <v>0.7064676616915423</v>
      </c>
      <c r="AA132">
        <v>0.1304347826086956</v>
      </c>
      <c r="AB132">
        <v>0.7009646302250804</v>
      </c>
      <c r="AC132">
        <v>0.7057877813504823</v>
      </c>
      <c r="AD132">
        <v>0.8617363344051446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391.96</v>
      </c>
      <c r="D133">
        <v>108814.51892</v>
      </c>
      <c r="E133" t="s">
        <v>660</v>
      </c>
      <c r="F133" t="s">
        <v>631</v>
      </c>
      <c r="G133" t="s">
        <v>671</v>
      </c>
      <c r="H133" t="s">
        <v>702</v>
      </c>
      <c r="I133" t="s">
        <v>836</v>
      </c>
      <c r="J133" t="s">
        <v>1315</v>
      </c>
      <c r="K133">
        <v>44042</v>
      </c>
      <c r="L133">
        <v>0.024148384113446</v>
      </c>
      <c r="M133">
        <v>-0.00513460962639678</v>
      </c>
      <c r="N133">
        <v>0.1</v>
      </c>
      <c r="O133">
        <v>0.1151868772432203</v>
      </c>
      <c r="P133" t="s">
        <v>636</v>
      </c>
      <c r="Q133" t="s">
        <v>636</v>
      </c>
      <c r="R133">
        <v>18</v>
      </c>
      <c r="S133">
        <v>0.393305439330544</v>
      </c>
      <c r="T133">
        <v>382</v>
      </c>
      <c r="U133">
        <v>1.026073298429319</v>
      </c>
      <c r="V133">
        <v>22.9406</v>
      </c>
      <c r="W133">
        <v>23.9</v>
      </c>
      <c r="X133">
        <v>9.4</v>
      </c>
      <c r="Y133">
        <v>0.022404</v>
      </c>
      <c r="Z133">
        <v>0.3366500829187397</v>
      </c>
      <c r="AA133">
        <v>0.6650563607085346</v>
      </c>
      <c r="AB133">
        <v>0.907556270096463</v>
      </c>
      <c r="AC133">
        <v>0.6270096463022508</v>
      </c>
      <c r="AD133">
        <v>0.8536977491961415</v>
      </c>
    </row>
    <row r="134" spans="1:30">
      <c r="A134" s="1" t="s">
        <v>141</v>
      </c>
      <c r="B134">
        <f>HYPERLINK("https://www.suredividend.com/sure-analysis-CVS/","CVS Health Corp.")</f>
        <v>0</v>
      </c>
      <c r="C134">
        <v>65.26000000000001</v>
      </c>
      <c r="D134">
        <v>85994.677</v>
      </c>
      <c r="E134" t="s">
        <v>665</v>
      </c>
      <c r="F134" t="s">
        <v>631</v>
      </c>
      <c r="G134" t="s">
        <v>671</v>
      </c>
      <c r="H134" t="s">
        <v>702</v>
      </c>
      <c r="I134" t="s">
        <v>837</v>
      </c>
      <c r="J134" t="s">
        <v>1316</v>
      </c>
      <c r="K134">
        <v>44048</v>
      </c>
      <c r="L134">
        <v>0.030436767615279</v>
      </c>
      <c r="M134">
        <v>0.03895324620083196</v>
      </c>
      <c r="N134">
        <v>0.05</v>
      </c>
      <c r="O134">
        <v>0.1149143471703364</v>
      </c>
      <c r="P134" t="s">
        <v>636</v>
      </c>
      <c r="Q134" t="s">
        <v>636</v>
      </c>
      <c r="R134">
        <v>0</v>
      </c>
      <c r="S134">
        <v>0.2773925104022191</v>
      </c>
      <c r="T134">
        <v>79</v>
      </c>
      <c r="U134">
        <v>0.8260759493670887</v>
      </c>
      <c r="V134">
        <v>6.3238</v>
      </c>
      <c r="W134">
        <v>7.21</v>
      </c>
      <c r="X134">
        <v>2</v>
      </c>
      <c r="Y134">
        <v>0.100271</v>
      </c>
      <c r="Z134">
        <v>0.4344941956882256</v>
      </c>
      <c r="AA134">
        <v>0.747181964573269</v>
      </c>
      <c r="AB134">
        <v>0.5168810289389068</v>
      </c>
      <c r="AC134">
        <v>0.8488745980707395</v>
      </c>
      <c r="AD134">
        <v>0.8520900321543408</v>
      </c>
    </row>
    <row r="135" spans="1:30">
      <c r="A135" s="1" t="s">
        <v>142</v>
      </c>
      <c r="B135">
        <f>HYPERLINK("https://www.suredividend.com/sure-analysis-SLF/","Sun Life Financial, Inc.")</f>
        <v>0</v>
      </c>
      <c r="C135">
        <v>42.48</v>
      </c>
      <c r="D135">
        <v>24566.1526</v>
      </c>
      <c r="E135" t="s">
        <v>659</v>
      </c>
      <c r="F135" t="s">
        <v>631</v>
      </c>
      <c r="G135" t="s">
        <v>672</v>
      </c>
      <c r="H135" t="s">
        <v>702</v>
      </c>
      <c r="I135" t="s">
        <v>838</v>
      </c>
      <c r="J135" t="s">
        <v>1312</v>
      </c>
      <c r="K135">
        <v>43969</v>
      </c>
      <c r="L135">
        <v>0.038555399379797</v>
      </c>
      <c r="M135">
        <v>0.00705602868275168</v>
      </c>
      <c r="N135">
        <v>0.07000000000000001</v>
      </c>
      <c r="O135">
        <v>0.1110641030123025</v>
      </c>
      <c r="P135" t="s">
        <v>636</v>
      </c>
      <c r="Q135" t="s">
        <v>636</v>
      </c>
      <c r="R135">
        <v>4</v>
      </c>
      <c r="S135">
        <v>0.4050244704847675</v>
      </c>
      <c r="T135">
        <v>44</v>
      </c>
      <c r="U135">
        <v>0.9654545454545453</v>
      </c>
      <c r="V135">
        <v>2.9359</v>
      </c>
      <c r="W135">
        <v>4</v>
      </c>
      <c r="X135">
        <v>1.62009788193907</v>
      </c>
      <c r="Y135">
        <v>0.031313</v>
      </c>
      <c r="Z135">
        <v>0.5572139303482587</v>
      </c>
      <c r="AA135">
        <v>0.6731078904991947</v>
      </c>
      <c r="AB135">
        <v>0.7355305466237942</v>
      </c>
      <c r="AC135">
        <v>0.6913183279742765</v>
      </c>
      <c r="AD135">
        <v>0.8344051446945338</v>
      </c>
    </row>
    <row r="136" spans="1:30">
      <c r="A136" s="1" t="s">
        <v>143</v>
      </c>
      <c r="B136">
        <f>HYPERLINK("https://www.suredividend.com/sure-analysis-MO/","Altria Group, Inc.")</f>
        <v>0</v>
      </c>
      <c r="C136">
        <v>43.6</v>
      </c>
      <c r="D136">
        <v>80320.048</v>
      </c>
      <c r="E136" t="s">
        <v>666</v>
      </c>
      <c r="F136" t="s">
        <v>631</v>
      </c>
      <c r="G136" t="s">
        <v>671</v>
      </c>
      <c r="H136" t="s">
        <v>702</v>
      </c>
      <c r="I136" t="s">
        <v>839</v>
      </c>
      <c r="J136" t="s">
        <v>1320</v>
      </c>
      <c r="K136">
        <v>44015</v>
      </c>
      <c r="L136">
        <v>0.07774178621008701</v>
      </c>
      <c r="M136">
        <v>0.01513142845227056</v>
      </c>
      <c r="N136">
        <v>0.032</v>
      </c>
      <c r="O136">
        <v>0.1106753813624395</v>
      </c>
      <c r="P136" t="s">
        <v>636</v>
      </c>
      <c r="Q136" t="s">
        <v>635</v>
      </c>
      <c r="R136">
        <v>50</v>
      </c>
      <c r="S136">
        <v>0.7868852459016394</v>
      </c>
      <c r="T136">
        <v>47</v>
      </c>
      <c r="U136">
        <v>0.9276595744680851</v>
      </c>
      <c r="V136">
        <v>-0.4941</v>
      </c>
      <c r="W136">
        <v>4.27</v>
      </c>
      <c r="X136">
        <v>3.36</v>
      </c>
      <c r="Y136">
        <v>-0.09311799999999999</v>
      </c>
      <c r="Z136">
        <v>0.8424543946932006</v>
      </c>
      <c r="AA136">
        <v>0.4911433172302738</v>
      </c>
      <c r="AB136">
        <v>0.3078778135048232</v>
      </c>
      <c r="AC136">
        <v>0.7395498392282959</v>
      </c>
      <c r="AD136">
        <v>0.8327974276527331</v>
      </c>
    </row>
    <row r="137" spans="1:30">
      <c r="A137" s="1" t="s">
        <v>144</v>
      </c>
      <c r="B137">
        <f>HYPERLINK("https://www.suredividend.com/sure-analysis-EIX/","Edison International")</f>
        <v>0</v>
      </c>
      <c r="C137">
        <v>53.58</v>
      </c>
      <c r="D137">
        <v>20518.48925</v>
      </c>
      <c r="E137" t="s">
        <v>666</v>
      </c>
      <c r="F137" t="s">
        <v>631</v>
      </c>
      <c r="G137" t="s">
        <v>671</v>
      </c>
      <c r="H137" t="s">
        <v>702</v>
      </c>
      <c r="I137" t="s">
        <v>840</v>
      </c>
      <c r="J137" t="s">
        <v>1314</v>
      </c>
      <c r="K137">
        <v>43978</v>
      </c>
      <c r="L137">
        <v>0.046543778801843</v>
      </c>
      <c r="M137">
        <v>0.02962195839592119</v>
      </c>
      <c r="N137">
        <v>0.04</v>
      </c>
      <c r="O137">
        <v>0.1087780195014532</v>
      </c>
      <c r="P137" t="s">
        <v>636</v>
      </c>
      <c r="Q137" t="s">
        <v>635</v>
      </c>
      <c r="R137">
        <v>16</v>
      </c>
      <c r="S137">
        <v>0.5163599182004091</v>
      </c>
      <c r="T137">
        <v>62</v>
      </c>
      <c r="U137">
        <v>0.8641935483870967</v>
      </c>
      <c r="V137">
        <v>3.1067</v>
      </c>
      <c r="W137">
        <v>4.89</v>
      </c>
      <c r="X137">
        <v>2.525</v>
      </c>
      <c r="Y137">
        <v>-0.27303</v>
      </c>
      <c r="Z137">
        <v>0.6550580431177445</v>
      </c>
      <c r="AA137">
        <v>0.2705314009661836</v>
      </c>
      <c r="AB137">
        <v>0.3858520900321543</v>
      </c>
      <c r="AC137">
        <v>0.8135048231511255</v>
      </c>
      <c r="AD137">
        <v>0.8263665594855305</v>
      </c>
    </row>
    <row r="138" spans="1:30">
      <c r="A138" s="1" t="s">
        <v>145</v>
      </c>
      <c r="B138">
        <f>HYPERLINK("https://www.suredividend.com/sure-analysis-HRB/","H&amp;R Block, Inc.")</f>
        <v>0</v>
      </c>
      <c r="C138">
        <v>15.49</v>
      </c>
      <c r="D138">
        <v>2973.73875</v>
      </c>
      <c r="E138" t="s">
        <v>666</v>
      </c>
      <c r="F138" t="s">
        <v>631</v>
      </c>
      <c r="G138" t="s">
        <v>671</v>
      </c>
      <c r="H138" t="s">
        <v>702</v>
      </c>
      <c r="I138" t="s">
        <v>841</v>
      </c>
      <c r="J138" t="s">
        <v>1313</v>
      </c>
      <c r="K138">
        <v>44013</v>
      </c>
      <c r="L138">
        <v>0.067313915857605</v>
      </c>
      <c r="M138">
        <v>0.03049103401413134</v>
      </c>
      <c r="N138">
        <v>0.026</v>
      </c>
      <c r="O138">
        <v>0.1083019546412645</v>
      </c>
      <c r="P138" t="s">
        <v>636</v>
      </c>
      <c r="Q138" t="s">
        <v>635</v>
      </c>
      <c r="R138">
        <v>5</v>
      </c>
      <c r="S138">
        <v>0.325</v>
      </c>
      <c r="T138">
        <v>18</v>
      </c>
      <c r="U138">
        <v>0.8605555555555555</v>
      </c>
      <c r="V138">
        <v>0.0278</v>
      </c>
      <c r="W138">
        <v>3.2</v>
      </c>
      <c r="X138">
        <v>1.04</v>
      </c>
      <c r="Y138">
        <v>-0.445848</v>
      </c>
      <c r="Z138">
        <v>0.7976782752902156</v>
      </c>
      <c r="AA138">
        <v>0.09983896940418679</v>
      </c>
      <c r="AB138">
        <v>0.1993569131832797</v>
      </c>
      <c r="AC138">
        <v>0.8167202572347267</v>
      </c>
      <c r="AD138">
        <v>0.8247588424437299</v>
      </c>
    </row>
    <row r="139" spans="1:30">
      <c r="A139" s="1" t="s">
        <v>146</v>
      </c>
      <c r="B139">
        <f>HYPERLINK("https://www.suredividend.com/sure-analysis-AMX/","America Movil SAB de CV")</f>
        <v>0</v>
      </c>
      <c r="C139">
        <v>12.86</v>
      </c>
      <c r="D139">
        <v>28577.115</v>
      </c>
      <c r="E139" t="s">
        <v>662</v>
      </c>
      <c r="F139" t="s">
        <v>631</v>
      </c>
      <c r="G139" t="s">
        <v>679</v>
      </c>
      <c r="H139" t="s">
        <v>702</v>
      </c>
      <c r="I139" t="s">
        <v>842</v>
      </c>
      <c r="J139" t="s">
        <v>1319</v>
      </c>
      <c r="K139">
        <v>43964</v>
      </c>
      <c r="L139">
        <v>0.027420634920634</v>
      </c>
      <c r="M139">
        <v>-0.04906286732068599</v>
      </c>
      <c r="N139">
        <v>0.14</v>
      </c>
      <c r="O139">
        <v>0.1082646931784357</v>
      </c>
      <c r="P139" t="s">
        <v>636</v>
      </c>
      <c r="Q139" t="s">
        <v>381</v>
      </c>
      <c r="R139">
        <v>3</v>
      </c>
      <c r="S139">
        <v>0.4606666666666667</v>
      </c>
      <c r="T139">
        <v>10</v>
      </c>
      <c r="U139">
        <v>1.286</v>
      </c>
      <c r="V139">
        <v>0.3535</v>
      </c>
      <c r="W139">
        <v>0.75</v>
      </c>
      <c r="X139">
        <v>0.3455</v>
      </c>
      <c r="Y139">
        <v>-0.112509</v>
      </c>
      <c r="Z139">
        <v>0.3880597014925373</v>
      </c>
      <c r="AA139">
        <v>0.4605475040257649</v>
      </c>
      <c r="AB139">
        <v>0.9694533762057879</v>
      </c>
      <c r="AC139">
        <v>0.3360128617363344</v>
      </c>
      <c r="AD139">
        <v>0.8231511254019293</v>
      </c>
    </row>
    <row r="140" spans="1:30">
      <c r="A140" s="1" t="s">
        <v>147</v>
      </c>
      <c r="B140">
        <f>HYPERLINK("https://www.suredividend.com/sure-analysis-GILD/","Gilead Sciences, Inc.")</f>
        <v>0</v>
      </c>
      <c r="C140">
        <v>68.105</v>
      </c>
      <c r="D140">
        <v>85892.3572</v>
      </c>
      <c r="E140" t="s">
        <v>659</v>
      </c>
      <c r="F140" t="s">
        <v>631</v>
      </c>
      <c r="G140" t="s">
        <v>671</v>
      </c>
      <c r="H140" t="s">
        <v>701</v>
      </c>
      <c r="I140" t="s">
        <v>843</v>
      </c>
      <c r="J140" t="s">
        <v>1316</v>
      </c>
      <c r="K140">
        <v>44047</v>
      </c>
      <c r="L140">
        <v>0.038242592322288</v>
      </c>
      <c r="M140">
        <v>0.02217891665281591</v>
      </c>
      <c r="N140">
        <v>0.05</v>
      </c>
      <c r="O140">
        <v>0.107980580130828</v>
      </c>
      <c r="P140" t="s">
        <v>636</v>
      </c>
      <c r="Q140" t="s">
        <v>636</v>
      </c>
      <c r="R140">
        <v>5</v>
      </c>
      <c r="S140">
        <v>0.3769784172661871</v>
      </c>
      <c r="T140">
        <v>76</v>
      </c>
      <c r="U140">
        <v>0.8961184210526316</v>
      </c>
      <c r="V140">
        <v>-0.2215</v>
      </c>
      <c r="W140">
        <v>6.95</v>
      </c>
      <c r="X140">
        <v>2.62</v>
      </c>
      <c r="Y140">
        <v>0.069886</v>
      </c>
      <c r="Z140">
        <v>0.5538971807628524</v>
      </c>
      <c r="AA140">
        <v>0.7117552334943639</v>
      </c>
      <c r="AB140">
        <v>0.5168810289389068</v>
      </c>
      <c r="AC140">
        <v>0.7797427652733119</v>
      </c>
      <c r="AD140">
        <v>0.8215434083601286</v>
      </c>
    </row>
    <row r="141" spans="1:30">
      <c r="A141" s="1" t="s">
        <v>148</v>
      </c>
      <c r="B141">
        <f>HYPERLINK("https://www.suredividend.com/sure-analysis-FDX/","FedEx Corp.")</f>
        <v>0</v>
      </c>
      <c r="C141">
        <v>196.45</v>
      </c>
      <c r="D141">
        <v>52385.56092</v>
      </c>
      <c r="E141" t="s">
        <v>664</v>
      </c>
      <c r="F141" t="s">
        <v>631</v>
      </c>
      <c r="G141" t="s">
        <v>671</v>
      </c>
      <c r="H141" t="s">
        <v>702</v>
      </c>
      <c r="I141" t="s">
        <v>844</v>
      </c>
      <c r="J141" t="s">
        <v>1315</v>
      </c>
      <c r="K141">
        <v>44013</v>
      </c>
      <c r="L141">
        <v>0.013001300130013</v>
      </c>
      <c r="M141">
        <v>0.03471507763768966</v>
      </c>
      <c r="N141">
        <v>0.06</v>
      </c>
      <c r="O141">
        <v>0.1075172407037881</v>
      </c>
      <c r="P141" t="s">
        <v>636</v>
      </c>
      <c r="Q141" t="s">
        <v>420</v>
      </c>
      <c r="R141">
        <v>0</v>
      </c>
      <c r="S141">
        <v>0.2736842105263158</v>
      </c>
      <c r="T141">
        <v>233</v>
      </c>
      <c r="U141">
        <v>0.8431330472103004</v>
      </c>
      <c r="V141">
        <v>4.9352</v>
      </c>
      <c r="W141">
        <v>9.5</v>
      </c>
      <c r="X141">
        <v>2.6</v>
      </c>
      <c r="Y141">
        <v>0.117518</v>
      </c>
      <c r="Z141">
        <v>0.1177446102819237</v>
      </c>
      <c r="AA141">
        <v>0.7616747181964573</v>
      </c>
      <c r="AB141">
        <v>0.6430868167202572</v>
      </c>
      <c r="AC141">
        <v>0.8344051446945338</v>
      </c>
      <c r="AD141">
        <v>0.8167202572347267</v>
      </c>
    </row>
    <row r="142" spans="1:30">
      <c r="A142" s="1" t="s">
        <v>149</v>
      </c>
      <c r="B142">
        <f>HYPERLINK("https://www.suredividend.com/sure-analysis-MET/","MetLife, Inc.")</f>
        <v>0</v>
      </c>
      <c r="C142">
        <v>40.57</v>
      </c>
      <c r="D142">
        <v>36106.83414</v>
      </c>
      <c r="E142" t="s">
        <v>661</v>
      </c>
      <c r="F142" t="s">
        <v>631</v>
      </c>
      <c r="G142" t="s">
        <v>671</v>
      </c>
      <c r="H142" t="s">
        <v>702</v>
      </c>
      <c r="I142" t="s">
        <v>845</v>
      </c>
      <c r="J142" t="s">
        <v>1312</v>
      </c>
      <c r="K142">
        <v>43964</v>
      </c>
      <c r="L142">
        <v>0.044746103569632</v>
      </c>
      <c r="M142">
        <v>0.02544073327227503</v>
      </c>
      <c r="N142">
        <v>0.04</v>
      </c>
      <c r="O142">
        <v>0.1033339872577708</v>
      </c>
      <c r="P142" t="s">
        <v>636</v>
      </c>
      <c r="Q142" t="s">
        <v>635</v>
      </c>
      <c r="R142">
        <v>8</v>
      </c>
      <c r="S142">
        <v>0.3095652173913043</v>
      </c>
      <c r="T142">
        <v>46</v>
      </c>
      <c r="U142">
        <v>0.8819565217391304</v>
      </c>
      <c r="V142">
        <v>7.7495</v>
      </c>
      <c r="W142">
        <v>5.75</v>
      </c>
      <c r="X142">
        <v>1.78</v>
      </c>
      <c r="Y142">
        <v>-0.179139</v>
      </c>
      <c r="Z142">
        <v>0.6351575456053068</v>
      </c>
      <c r="AA142">
        <v>0.3832528180354267</v>
      </c>
      <c r="AB142">
        <v>0.3858520900321543</v>
      </c>
      <c r="AC142">
        <v>0.7926045016077171</v>
      </c>
      <c r="AD142">
        <v>0.8006430868167204</v>
      </c>
    </row>
    <row r="143" spans="1:30">
      <c r="A143" s="1" t="s">
        <v>150</v>
      </c>
      <c r="B143">
        <f>HYPERLINK("https://www.suredividend.com/sure-analysis-CMCSA/","Comcast Corp.")</f>
        <v>0</v>
      </c>
      <c r="C143">
        <v>42.985</v>
      </c>
      <c r="D143">
        <v>196519.850213</v>
      </c>
      <c r="E143" t="s">
        <v>669</v>
      </c>
      <c r="F143" t="s">
        <v>631</v>
      </c>
      <c r="G143" t="s">
        <v>671</v>
      </c>
      <c r="H143" t="s">
        <v>701</v>
      </c>
      <c r="I143" t="s">
        <v>846</v>
      </c>
      <c r="J143" t="s">
        <v>1319</v>
      </c>
      <c r="K143">
        <v>44049</v>
      </c>
      <c r="L143">
        <v>0.02045560204556</v>
      </c>
      <c r="M143">
        <v>0.01365036272505904</v>
      </c>
      <c r="N143">
        <v>0.07000000000000001</v>
      </c>
      <c r="O143">
        <v>0.103001572470655</v>
      </c>
      <c r="P143" t="s">
        <v>636</v>
      </c>
      <c r="Q143" t="s">
        <v>381</v>
      </c>
      <c r="R143">
        <v>12</v>
      </c>
      <c r="S143">
        <v>0.352</v>
      </c>
      <c r="T143">
        <v>46</v>
      </c>
      <c r="U143">
        <v>0.9344565217391304</v>
      </c>
      <c r="V143">
        <v>2.5258</v>
      </c>
      <c r="W143">
        <v>2.5</v>
      </c>
      <c r="X143">
        <v>0.88</v>
      </c>
      <c r="Y143">
        <v>0.003516</v>
      </c>
      <c r="Z143">
        <v>0.2769485903814262</v>
      </c>
      <c r="AA143">
        <v>0.6360708534621579</v>
      </c>
      <c r="AB143">
        <v>0.7355305466237942</v>
      </c>
      <c r="AC143">
        <v>0.729903536977492</v>
      </c>
      <c r="AD143">
        <v>0.7990353697749196</v>
      </c>
    </row>
    <row r="144" spans="1:30">
      <c r="A144" s="1" t="s">
        <v>151</v>
      </c>
      <c r="B144">
        <f>HYPERLINK("https://www.suredividend.com/sure-analysis-GWLIF/","Great-West Lifeco, Inc.")</f>
        <v>0</v>
      </c>
      <c r="C144">
        <v>19.94</v>
      </c>
      <c r="D144">
        <v>18471.13984</v>
      </c>
      <c r="E144" t="s">
        <v>667</v>
      </c>
      <c r="F144" t="s">
        <v>631</v>
      </c>
      <c r="G144" t="s">
        <v>672</v>
      </c>
      <c r="H144" t="s">
        <v>700</v>
      </c>
      <c r="I144" t="s">
        <v>847</v>
      </c>
      <c r="J144" t="s">
        <v>1312</v>
      </c>
      <c r="K144">
        <v>43971</v>
      </c>
      <c r="L144">
        <v>0.063560331463257</v>
      </c>
      <c r="M144">
        <v>0.01041277414742225</v>
      </c>
      <c r="N144">
        <v>0.04</v>
      </c>
      <c r="O144">
        <v>0.1029939349517932</v>
      </c>
      <c r="P144" t="s">
        <v>636</v>
      </c>
      <c r="Q144" t="s">
        <v>635</v>
      </c>
      <c r="R144">
        <v>27</v>
      </c>
      <c r="S144">
        <v>0.7242245767870571</v>
      </c>
      <c r="T144">
        <v>21</v>
      </c>
      <c r="U144">
        <v>0.9495238095238095</v>
      </c>
      <c r="V144">
        <v>1.9598</v>
      </c>
      <c r="W144">
        <v>1.75</v>
      </c>
      <c r="X144">
        <v>1.26739300937735</v>
      </c>
      <c r="Y144">
        <v>-0.089004</v>
      </c>
      <c r="Z144">
        <v>0.7728026533996684</v>
      </c>
      <c r="AA144">
        <v>0.5040257648953301</v>
      </c>
      <c r="AB144">
        <v>0.3858520900321543</v>
      </c>
      <c r="AC144">
        <v>0.7106109324758844</v>
      </c>
      <c r="AD144">
        <v>0.797427652733119</v>
      </c>
    </row>
    <row r="145" spans="1:30">
      <c r="A145" s="1" t="s">
        <v>152</v>
      </c>
      <c r="B145">
        <f>HYPERLINK("https://www.suredividend.com/sure-analysis-AXP/","American Express Co.")</f>
        <v>0</v>
      </c>
      <c r="C145">
        <v>103.26</v>
      </c>
      <c r="D145">
        <v>81820.46081999999</v>
      </c>
      <c r="E145" t="s">
        <v>659</v>
      </c>
      <c r="F145" t="s">
        <v>631</v>
      </c>
      <c r="G145" t="s">
        <v>671</v>
      </c>
      <c r="H145" t="s">
        <v>702</v>
      </c>
      <c r="I145" t="s">
        <v>848</v>
      </c>
      <c r="J145" t="s">
        <v>1312</v>
      </c>
      <c r="K145">
        <v>44040</v>
      </c>
      <c r="L145">
        <v>0.016925802007478</v>
      </c>
      <c r="M145">
        <v>0.0163825037442773</v>
      </c>
      <c r="N145">
        <v>0.07000000000000001</v>
      </c>
      <c r="O145">
        <v>0.1022264362197012</v>
      </c>
      <c r="P145" t="s">
        <v>636</v>
      </c>
      <c r="Q145" t="s">
        <v>420</v>
      </c>
      <c r="R145">
        <v>8</v>
      </c>
      <c r="S145">
        <v>0.344</v>
      </c>
      <c r="T145">
        <v>112</v>
      </c>
      <c r="U145">
        <v>0.9219642857142858</v>
      </c>
      <c r="V145">
        <v>4.8377</v>
      </c>
      <c r="W145">
        <v>5</v>
      </c>
      <c r="X145">
        <v>1.72</v>
      </c>
      <c r="Y145">
        <v>-0.208556</v>
      </c>
      <c r="Z145">
        <v>0.1890547263681592</v>
      </c>
      <c r="AA145">
        <v>0.3462157809983897</v>
      </c>
      <c r="AB145">
        <v>0.7355305466237942</v>
      </c>
      <c r="AC145">
        <v>0.747588424437299</v>
      </c>
      <c r="AD145">
        <v>0.7926045016077171</v>
      </c>
    </row>
    <row r="146" spans="1:30">
      <c r="A146" s="1" t="s">
        <v>153</v>
      </c>
      <c r="B146">
        <f>HYPERLINK("https://www.suredividend.com/sure-analysis-SRE/","Sempra Energy")</f>
        <v>0</v>
      </c>
      <c r="C146">
        <v>131.11</v>
      </c>
      <c r="D146">
        <v>38636.4582</v>
      </c>
      <c r="E146" t="s">
        <v>662</v>
      </c>
      <c r="F146" t="s">
        <v>631</v>
      </c>
      <c r="G146" t="s">
        <v>671</v>
      </c>
      <c r="H146" t="s">
        <v>702</v>
      </c>
      <c r="I146" t="s">
        <v>849</v>
      </c>
      <c r="J146" t="s">
        <v>1314</v>
      </c>
      <c r="K146">
        <v>43964</v>
      </c>
      <c r="L146">
        <v>0.030134012128471</v>
      </c>
      <c r="M146">
        <v>0.008827587420270788</v>
      </c>
      <c r="N146">
        <v>0.06</v>
      </c>
      <c r="O146">
        <v>0.0970136406225981</v>
      </c>
      <c r="P146" t="s">
        <v>636</v>
      </c>
      <c r="Q146" t="s">
        <v>381</v>
      </c>
      <c r="R146">
        <v>10</v>
      </c>
      <c r="S146">
        <v>0.5590277777777778</v>
      </c>
      <c r="T146">
        <v>137</v>
      </c>
      <c r="U146">
        <v>0.9570072992700731</v>
      </c>
      <c r="V146">
        <v>14.7374</v>
      </c>
      <c r="W146">
        <v>7.2</v>
      </c>
      <c r="X146">
        <v>4.025</v>
      </c>
      <c r="Y146">
        <v>-0.049813</v>
      </c>
      <c r="Z146">
        <v>0.4295190713101161</v>
      </c>
      <c r="AA146">
        <v>0.5636070853462158</v>
      </c>
      <c r="AB146">
        <v>0.6430868167202572</v>
      </c>
      <c r="AC146">
        <v>0.702572347266881</v>
      </c>
      <c r="AD146">
        <v>0.7620578778135048</v>
      </c>
    </row>
    <row r="147" spans="1:30">
      <c r="A147" s="1" t="s">
        <v>154</v>
      </c>
      <c r="B147">
        <f>HYPERLINK("https://www.suredividend.com/sure-analysis-EMN/","Eastman Chemical Co.")</f>
        <v>0</v>
      </c>
      <c r="C147">
        <v>75.2</v>
      </c>
      <c r="D147">
        <v>10049.7375</v>
      </c>
      <c r="E147" t="s">
        <v>664</v>
      </c>
      <c r="F147" t="s">
        <v>631</v>
      </c>
      <c r="G147" t="s">
        <v>671</v>
      </c>
      <c r="H147" t="s">
        <v>702</v>
      </c>
      <c r="I147" t="s">
        <v>850</v>
      </c>
      <c r="J147" t="s">
        <v>1321</v>
      </c>
      <c r="K147">
        <v>43995</v>
      </c>
      <c r="L147">
        <v>0.035016835016835</v>
      </c>
      <c r="M147">
        <v>0.004742046262089961</v>
      </c>
      <c r="N147">
        <v>0.06</v>
      </c>
      <c r="O147">
        <v>0.09578941520161433</v>
      </c>
      <c r="P147" t="s">
        <v>636</v>
      </c>
      <c r="Q147" t="s">
        <v>636</v>
      </c>
      <c r="R147">
        <v>10</v>
      </c>
      <c r="S147">
        <v>0.439932318104907</v>
      </c>
      <c r="T147">
        <v>77</v>
      </c>
      <c r="U147">
        <v>0.9766233766233766</v>
      </c>
      <c r="V147">
        <v>4.2324</v>
      </c>
      <c r="W147">
        <v>5.91</v>
      </c>
      <c r="X147">
        <v>2.6</v>
      </c>
      <c r="Y147">
        <v>0.06734799999999999</v>
      </c>
      <c r="Z147">
        <v>0.5058043117744611</v>
      </c>
      <c r="AA147">
        <v>0.7085346215780999</v>
      </c>
      <c r="AB147">
        <v>0.6430868167202572</v>
      </c>
      <c r="AC147">
        <v>0.680064308681672</v>
      </c>
      <c r="AD147">
        <v>0.7540192926045016</v>
      </c>
    </row>
    <row r="148" spans="1:30">
      <c r="A148" s="1" t="s">
        <v>155</v>
      </c>
      <c r="B148">
        <f>HYPERLINK("https://www.suredividend.com/sure-analysis-RTX/","Raytheon Technologies Corp.")</f>
        <v>0</v>
      </c>
      <c r="C148">
        <v>64.26000000000001</v>
      </c>
      <c r="D148">
        <v>55633.77795</v>
      </c>
      <c r="E148" t="s">
        <v>661</v>
      </c>
      <c r="F148" t="s">
        <v>631</v>
      </c>
      <c r="G148" t="s">
        <v>671</v>
      </c>
      <c r="H148" t="s">
        <v>702</v>
      </c>
      <c r="I148" t="s">
        <v>851</v>
      </c>
      <c r="J148" t="s">
        <v>1315</v>
      </c>
      <c r="K148">
        <v>44042</v>
      </c>
      <c r="L148">
        <v>0.041725050599408</v>
      </c>
      <c r="M148">
        <v>-0.0008105254122862116</v>
      </c>
      <c r="N148">
        <v>0.07000000000000001</v>
      </c>
      <c r="O148">
        <v>0.09560688151390107</v>
      </c>
      <c r="P148" t="s">
        <v>636</v>
      </c>
      <c r="Q148" t="s">
        <v>636</v>
      </c>
      <c r="R148">
        <v>26</v>
      </c>
      <c r="S148">
        <v>0.67</v>
      </c>
      <c r="T148">
        <v>64</v>
      </c>
      <c r="U148">
        <v>1.0040625</v>
      </c>
      <c r="V148">
        <v>0.0267</v>
      </c>
      <c r="W148">
        <v>4</v>
      </c>
      <c r="X148">
        <v>2.68</v>
      </c>
      <c r="Y148">
        <v>-0.210434</v>
      </c>
      <c r="Z148">
        <v>0.6019900497512438</v>
      </c>
      <c r="AA148">
        <v>0.3397745571658615</v>
      </c>
      <c r="AB148">
        <v>0.7355305466237942</v>
      </c>
      <c r="AC148">
        <v>0.6511254019292605</v>
      </c>
      <c r="AD148">
        <v>0.7508038585209004</v>
      </c>
    </row>
    <row r="149" spans="1:30">
      <c r="A149" s="1" t="s">
        <v>156</v>
      </c>
      <c r="B149">
        <f>HYPERLINK("https://www.suredividend.com/sure-analysis-CSCO/","Cisco Systems, Inc.")</f>
        <v>0</v>
      </c>
      <c r="C149">
        <v>47.215</v>
      </c>
      <c r="D149">
        <v>201530.379</v>
      </c>
      <c r="E149" t="s">
        <v>665</v>
      </c>
      <c r="F149" t="s">
        <v>631</v>
      </c>
      <c r="G149" t="s">
        <v>671</v>
      </c>
      <c r="H149" t="s">
        <v>701</v>
      </c>
      <c r="I149" t="s">
        <v>852</v>
      </c>
      <c r="J149" t="s">
        <v>1318</v>
      </c>
      <c r="K149">
        <v>43966</v>
      </c>
      <c r="L149">
        <v>0.029541169076052</v>
      </c>
      <c r="M149">
        <v>0.007449341191869019</v>
      </c>
      <c r="N149">
        <v>0.06</v>
      </c>
      <c r="O149">
        <v>0.09458144413716285</v>
      </c>
      <c r="P149" t="s">
        <v>636</v>
      </c>
      <c r="Q149" t="s">
        <v>636</v>
      </c>
      <c r="R149">
        <v>10</v>
      </c>
      <c r="S149">
        <v>0.4351851851851852</v>
      </c>
      <c r="T149">
        <v>49</v>
      </c>
      <c r="U149">
        <v>0.9635714285714286</v>
      </c>
      <c r="V149">
        <v>2.5442</v>
      </c>
      <c r="W149">
        <v>3.24</v>
      </c>
      <c r="X149">
        <v>1.41</v>
      </c>
      <c r="Y149">
        <v>-0.107788</v>
      </c>
      <c r="Z149">
        <v>0.4245439469320066</v>
      </c>
      <c r="AA149">
        <v>0.4702093397745572</v>
      </c>
      <c r="AB149">
        <v>0.6430868167202572</v>
      </c>
      <c r="AC149">
        <v>0.6945337620578778</v>
      </c>
      <c r="AD149">
        <v>0.7459807073954984</v>
      </c>
    </row>
    <row r="150" spans="1:30">
      <c r="A150" s="1" t="s">
        <v>157</v>
      </c>
      <c r="B150">
        <f>HYPERLINK("https://www.suredividend.com/sure-analysis-NVS/","Novartis AG")</f>
        <v>0</v>
      </c>
      <c r="C150">
        <v>82.43000000000001</v>
      </c>
      <c r="D150">
        <v>186613.652207</v>
      </c>
      <c r="E150" t="s">
        <v>665</v>
      </c>
      <c r="F150" t="s">
        <v>631</v>
      </c>
      <c r="G150" t="s">
        <v>675</v>
      </c>
      <c r="H150" t="s">
        <v>702</v>
      </c>
      <c r="I150" t="s">
        <v>853</v>
      </c>
      <c r="J150" t="s">
        <v>1316</v>
      </c>
      <c r="K150">
        <v>44033</v>
      </c>
      <c r="L150">
        <v>0.037472994295424</v>
      </c>
      <c r="M150">
        <v>0.01997897224575751</v>
      </c>
      <c r="N150">
        <v>0.04</v>
      </c>
      <c r="O150">
        <v>0.09221531372864211</v>
      </c>
      <c r="P150" t="s">
        <v>636</v>
      </c>
      <c r="Q150" t="s">
        <v>636</v>
      </c>
      <c r="R150">
        <v>24</v>
      </c>
      <c r="S150">
        <v>0.5407005253940456</v>
      </c>
      <c r="T150">
        <v>91</v>
      </c>
      <c r="U150">
        <v>0.9058241758241758</v>
      </c>
      <c r="V150">
        <v>3.1711</v>
      </c>
      <c r="W150">
        <v>5.71</v>
      </c>
      <c r="X150">
        <v>3.0874</v>
      </c>
      <c r="Y150">
        <v>-0.091198</v>
      </c>
      <c r="Z150">
        <v>0.5439469320066335</v>
      </c>
      <c r="AA150">
        <v>0.4975845410628019</v>
      </c>
      <c r="AB150">
        <v>0.3858520900321543</v>
      </c>
      <c r="AC150">
        <v>0.7620578778135048</v>
      </c>
      <c r="AD150">
        <v>0.7331189710610932</v>
      </c>
    </row>
    <row r="151" spans="1:30">
      <c r="A151" s="1" t="s">
        <v>158</v>
      </c>
      <c r="B151">
        <f>HYPERLINK("https://www.suredividend.com/sure-analysis-MSM/","MSC Industrial Direct Co., Inc.")</f>
        <v>0</v>
      </c>
      <c r="C151">
        <v>69.94</v>
      </c>
      <c r="D151">
        <v>3895.071348</v>
      </c>
      <c r="E151" t="s">
        <v>667</v>
      </c>
      <c r="F151" t="s">
        <v>631</v>
      </c>
      <c r="G151" t="s">
        <v>671</v>
      </c>
      <c r="H151" t="s">
        <v>702</v>
      </c>
      <c r="I151" t="s">
        <v>854</v>
      </c>
      <c r="J151" t="s">
        <v>1315</v>
      </c>
      <c r="K151">
        <v>44049</v>
      </c>
      <c r="L151">
        <v>0.042808219178082</v>
      </c>
      <c r="M151">
        <v>-0.005610208961349006</v>
      </c>
      <c r="N151">
        <v>0.06</v>
      </c>
      <c r="O151">
        <v>0.09160975044528552</v>
      </c>
      <c r="P151" t="s">
        <v>636</v>
      </c>
      <c r="Q151" t="s">
        <v>636</v>
      </c>
      <c r="R151">
        <v>16</v>
      </c>
      <c r="S151">
        <v>0.6666666666666666</v>
      </c>
      <c r="T151">
        <v>68</v>
      </c>
      <c r="U151">
        <v>1.028529411764706</v>
      </c>
      <c r="V151">
        <v>4.789</v>
      </c>
      <c r="W151">
        <v>4.5</v>
      </c>
      <c r="X151">
        <v>3</v>
      </c>
      <c r="Y151">
        <v>0.001161</v>
      </c>
      <c r="Z151">
        <v>0.6185737976782754</v>
      </c>
      <c r="AA151">
        <v>0.6312399355877617</v>
      </c>
      <c r="AB151">
        <v>0.6430868167202572</v>
      </c>
      <c r="AC151">
        <v>0.6237942122186495</v>
      </c>
      <c r="AD151">
        <v>0.7282958199356914</v>
      </c>
    </row>
    <row r="152" spans="1:30">
      <c r="A152" s="1" t="s">
        <v>159</v>
      </c>
      <c r="B152">
        <f>HYPERLINK("https://www.suredividend.com/sure-analysis-OZK/","Bank OZK")</f>
        <v>0</v>
      </c>
      <c r="C152">
        <v>26.285</v>
      </c>
      <c r="D152">
        <v>3324.33585</v>
      </c>
      <c r="E152" t="s">
        <v>661</v>
      </c>
      <c r="F152" t="s">
        <v>631</v>
      </c>
      <c r="G152" t="s">
        <v>671</v>
      </c>
      <c r="H152" t="s">
        <v>701</v>
      </c>
      <c r="I152" t="s">
        <v>855</v>
      </c>
      <c r="J152" t="s">
        <v>1312</v>
      </c>
      <c r="K152">
        <v>44042</v>
      </c>
      <c r="L152">
        <v>0.039458413926499</v>
      </c>
      <c r="M152">
        <v>0.02679242169288298</v>
      </c>
      <c r="N152">
        <v>0.03</v>
      </c>
      <c r="O152">
        <v>0.09126677244601988</v>
      </c>
      <c r="P152" t="s">
        <v>636</v>
      </c>
      <c r="Q152" t="s">
        <v>636</v>
      </c>
      <c r="R152">
        <v>24</v>
      </c>
      <c r="S152">
        <v>0.68</v>
      </c>
      <c r="T152">
        <v>30</v>
      </c>
      <c r="U152">
        <v>0.8761666666666666</v>
      </c>
      <c r="V152">
        <v>2.0693</v>
      </c>
      <c r="W152">
        <v>1.5</v>
      </c>
      <c r="X152">
        <v>1.02</v>
      </c>
      <c r="Y152">
        <v>-0.08043499999999999</v>
      </c>
      <c r="Z152">
        <v>0.572139303482587</v>
      </c>
      <c r="AA152">
        <v>0.5152979066022545</v>
      </c>
      <c r="AB152">
        <v>0.2540192926045016</v>
      </c>
      <c r="AC152">
        <v>0.797427652733119</v>
      </c>
      <c r="AD152">
        <v>0.7234726688102895</v>
      </c>
    </row>
    <row r="153" spans="1:30">
      <c r="A153" s="1" t="s">
        <v>160</v>
      </c>
      <c r="B153">
        <f>HYPERLINK("https://www.suredividend.com/sure-analysis-VZ/","Verizon Communications, Inc.")</f>
        <v>0</v>
      </c>
      <c r="C153">
        <v>58.51</v>
      </c>
      <c r="D153">
        <v>244103.5695</v>
      </c>
      <c r="E153" t="s">
        <v>665</v>
      </c>
      <c r="F153" t="s">
        <v>631</v>
      </c>
      <c r="G153" t="s">
        <v>671</v>
      </c>
      <c r="H153" t="s">
        <v>702</v>
      </c>
      <c r="I153" t="s">
        <v>856</v>
      </c>
      <c r="J153" t="s">
        <v>1319</v>
      </c>
      <c r="K153">
        <v>44036</v>
      </c>
      <c r="L153">
        <v>0.041701983387014</v>
      </c>
      <c r="M153">
        <v>0.01489728397457646</v>
      </c>
      <c r="N153">
        <v>0.04</v>
      </c>
      <c r="O153">
        <v>0.08925750523031284</v>
      </c>
      <c r="P153" t="s">
        <v>636</v>
      </c>
      <c r="Q153" t="s">
        <v>635</v>
      </c>
      <c r="R153">
        <v>15</v>
      </c>
      <c r="S153">
        <v>0.5114345114345115</v>
      </c>
      <c r="T153">
        <v>63</v>
      </c>
      <c r="U153">
        <v>0.9287301587301587</v>
      </c>
      <c r="V153">
        <v>4.6258</v>
      </c>
      <c r="W153">
        <v>4.81</v>
      </c>
      <c r="X153">
        <v>2.46</v>
      </c>
      <c r="Y153">
        <v>0.04854899999999999</v>
      </c>
      <c r="Z153">
        <v>0.5986733001658375</v>
      </c>
      <c r="AA153">
        <v>0.6892109500805152</v>
      </c>
      <c r="AB153">
        <v>0.3858520900321543</v>
      </c>
      <c r="AC153">
        <v>0.7363344051446945</v>
      </c>
      <c r="AD153">
        <v>0.7106109324758844</v>
      </c>
    </row>
    <row r="154" spans="1:30">
      <c r="A154" s="1" t="s">
        <v>161</v>
      </c>
      <c r="B154">
        <f>HYPERLINK("https://www.suredividend.com/sure-analysis-MRK/","Merck &amp; Co., Inc.")</f>
        <v>0</v>
      </c>
      <c r="C154">
        <v>80.91</v>
      </c>
      <c r="D154">
        <v>204640.8084</v>
      </c>
      <c r="E154" t="s">
        <v>665</v>
      </c>
      <c r="F154" t="s">
        <v>631</v>
      </c>
      <c r="G154" t="s">
        <v>671</v>
      </c>
      <c r="H154" t="s">
        <v>702</v>
      </c>
      <c r="I154" t="s">
        <v>857</v>
      </c>
      <c r="J154" t="s">
        <v>1316</v>
      </c>
      <c r="K154">
        <v>44044</v>
      </c>
      <c r="L154">
        <v>0.029415399826968</v>
      </c>
      <c r="M154">
        <v>0.01227672188673967</v>
      </c>
      <c r="N154">
        <v>0.05</v>
      </c>
      <c r="O154">
        <v>0.08897398916639232</v>
      </c>
      <c r="P154" t="s">
        <v>636</v>
      </c>
      <c r="Q154" t="s">
        <v>636</v>
      </c>
      <c r="R154">
        <v>9</v>
      </c>
      <c r="S154">
        <v>0.4168126094570928</v>
      </c>
      <c r="T154">
        <v>86</v>
      </c>
      <c r="U154">
        <v>0.940813953488372</v>
      </c>
      <c r="V154">
        <v>4.1233</v>
      </c>
      <c r="W154">
        <v>5.71</v>
      </c>
      <c r="X154">
        <v>2.38</v>
      </c>
      <c r="Y154">
        <v>-0.043786</v>
      </c>
      <c r="Z154">
        <v>0.4228855721393034</v>
      </c>
      <c r="AA154">
        <v>0.573268921095008</v>
      </c>
      <c r="AB154">
        <v>0.5168810289389068</v>
      </c>
      <c r="AC154">
        <v>0.7170418006430869</v>
      </c>
      <c r="AD154">
        <v>0.7057877813504823</v>
      </c>
    </row>
    <row r="155" spans="1:30">
      <c r="A155" s="1" t="s">
        <v>162</v>
      </c>
      <c r="B155">
        <f>HYPERLINK("https://www.suredividend.com/sure-analysis-ICE/","Intercontinental Exchange, Inc.")</f>
        <v>0</v>
      </c>
      <c r="C155">
        <v>98.61</v>
      </c>
      <c r="D155">
        <v>53871.34732</v>
      </c>
      <c r="E155" t="s">
        <v>660</v>
      </c>
      <c r="F155" t="s">
        <v>631</v>
      </c>
      <c r="G155" t="s">
        <v>671</v>
      </c>
      <c r="H155" t="s">
        <v>702</v>
      </c>
      <c r="I155" t="s">
        <v>858</v>
      </c>
      <c r="J155" t="s">
        <v>1312</v>
      </c>
      <c r="K155">
        <v>44000</v>
      </c>
      <c r="L155">
        <v>0.011597418313836</v>
      </c>
      <c r="M155">
        <v>-0.0409664384744699</v>
      </c>
      <c r="N155">
        <v>0.12</v>
      </c>
      <c r="O155">
        <v>0.08680497384809649</v>
      </c>
      <c r="P155" t="s">
        <v>636</v>
      </c>
      <c r="Q155" t="s">
        <v>420</v>
      </c>
      <c r="R155">
        <v>7</v>
      </c>
      <c r="S155">
        <v>0.2725118483412322</v>
      </c>
      <c r="T155">
        <v>80</v>
      </c>
      <c r="U155">
        <v>1.232625</v>
      </c>
      <c r="V155">
        <v>3.8875</v>
      </c>
      <c r="W155">
        <v>4.22</v>
      </c>
      <c r="X155">
        <v>1.15</v>
      </c>
      <c r="Y155">
        <v>0.098466</v>
      </c>
      <c r="Z155">
        <v>0.09452736318407959</v>
      </c>
      <c r="AA155">
        <v>0.7439613526570048</v>
      </c>
      <c r="AB155">
        <v>0.9485530546623794</v>
      </c>
      <c r="AC155">
        <v>0.4003215434083602</v>
      </c>
      <c r="AD155">
        <v>0.697749196141479</v>
      </c>
    </row>
    <row r="156" spans="1:30">
      <c r="A156" s="1" t="s">
        <v>163</v>
      </c>
      <c r="B156">
        <f>HYPERLINK("https://www.suredividend.com/sure-analysis-CFR/","Cullen/Frost Bankers, Inc.")</f>
        <v>0</v>
      </c>
      <c r="C156">
        <v>76.67</v>
      </c>
      <c r="D156">
        <v>4686.892275</v>
      </c>
      <c r="E156" t="s">
        <v>661</v>
      </c>
      <c r="F156" t="s">
        <v>631</v>
      </c>
      <c r="G156" t="s">
        <v>671</v>
      </c>
      <c r="H156" t="s">
        <v>702</v>
      </c>
      <c r="I156" t="s">
        <v>859</v>
      </c>
      <c r="J156" t="s">
        <v>1312</v>
      </c>
      <c r="K156">
        <v>44049</v>
      </c>
      <c r="L156">
        <v>0.037993311036789</v>
      </c>
      <c r="M156">
        <v>0.003445588262704025</v>
      </c>
      <c r="N156">
        <v>0.05</v>
      </c>
      <c r="O156">
        <v>0.08636866801392729</v>
      </c>
      <c r="P156" t="s">
        <v>636</v>
      </c>
      <c r="Q156" t="s">
        <v>636</v>
      </c>
      <c r="R156">
        <v>26</v>
      </c>
      <c r="S156">
        <v>0.6042553191489362</v>
      </c>
      <c r="T156">
        <v>78</v>
      </c>
      <c r="U156">
        <v>0.982948717948718</v>
      </c>
      <c r="V156">
        <v>5.57</v>
      </c>
      <c r="W156">
        <v>4.7</v>
      </c>
      <c r="X156">
        <v>2.84</v>
      </c>
      <c r="Y156">
        <v>-0.152565</v>
      </c>
      <c r="Z156">
        <v>0.5505804311774462</v>
      </c>
      <c r="AA156">
        <v>0.4202898550724637</v>
      </c>
      <c r="AB156">
        <v>0.5168810289389068</v>
      </c>
      <c r="AC156">
        <v>0.6736334405144695</v>
      </c>
      <c r="AD156">
        <v>0.6945337620578778</v>
      </c>
    </row>
    <row r="157" spans="1:30">
      <c r="A157" s="1" t="s">
        <v>164</v>
      </c>
      <c r="B157">
        <f>HYPERLINK("https://www.suredividend.com/sure-analysis-TDS/","Telephone &amp; Data Systems, Inc.")</f>
        <v>0</v>
      </c>
      <c r="C157">
        <v>23.14</v>
      </c>
      <c r="D157">
        <v>2659.474836</v>
      </c>
      <c r="E157" t="s">
        <v>667</v>
      </c>
      <c r="F157" t="s">
        <v>631</v>
      </c>
      <c r="G157" t="s">
        <v>671</v>
      </c>
      <c r="H157" t="s">
        <v>702</v>
      </c>
      <c r="I157" t="s">
        <v>860</v>
      </c>
      <c r="J157" t="s">
        <v>1319</v>
      </c>
      <c r="K157">
        <v>44000</v>
      </c>
      <c r="L157">
        <v>0.02885443583118</v>
      </c>
      <c r="M157">
        <v>0.04618124147765812</v>
      </c>
      <c r="N157">
        <v>0.015</v>
      </c>
      <c r="O157">
        <v>0.08605831398760033</v>
      </c>
      <c r="P157" t="s">
        <v>636</v>
      </c>
      <c r="Q157" t="s">
        <v>381</v>
      </c>
      <c r="R157">
        <v>45</v>
      </c>
      <c r="S157">
        <v>0.8375</v>
      </c>
      <c r="T157">
        <v>29</v>
      </c>
      <c r="U157">
        <v>0.7979310344827586</v>
      </c>
      <c r="V157">
        <v>1.4224</v>
      </c>
      <c r="W157">
        <v>0.8</v>
      </c>
      <c r="X157">
        <v>0.67</v>
      </c>
      <c r="Y157">
        <v>-0.140613</v>
      </c>
      <c r="Z157">
        <v>0.4096185737976783</v>
      </c>
      <c r="AA157">
        <v>0.4299516908212561</v>
      </c>
      <c r="AB157">
        <v>0.1101286173633441</v>
      </c>
      <c r="AC157">
        <v>0.8826366559485531</v>
      </c>
      <c r="AD157">
        <v>0.6913183279742765</v>
      </c>
    </row>
    <row r="158" spans="1:30">
      <c r="A158" s="1" t="s">
        <v>165</v>
      </c>
      <c r="B158">
        <f>HYPERLINK("https://www.suredividend.com/sure-analysis-NTIOF/","National Bank of Canada")</f>
        <v>0</v>
      </c>
      <c r="C158">
        <v>49.09</v>
      </c>
      <c r="D158">
        <v>16467.78049</v>
      </c>
      <c r="E158" t="s">
        <v>669</v>
      </c>
      <c r="F158" t="s">
        <v>631</v>
      </c>
      <c r="G158" t="s">
        <v>672</v>
      </c>
      <c r="H158" t="s">
        <v>700</v>
      </c>
      <c r="I158" t="s">
        <v>861</v>
      </c>
      <c r="J158" t="s">
        <v>1312</v>
      </c>
      <c r="K158">
        <v>44014</v>
      </c>
      <c r="L158">
        <v>0.042377331487559</v>
      </c>
      <c r="M158">
        <v>0.003680287158249529</v>
      </c>
      <c r="N158">
        <v>0.036</v>
      </c>
      <c r="O158">
        <v>0.08413798686347396</v>
      </c>
      <c r="P158" t="s">
        <v>636</v>
      </c>
      <c r="Q158" t="s">
        <v>636</v>
      </c>
      <c r="R158">
        <v>9</v>
      </c>
      <c r="S158">
        <v>0.5098782359618332</v>
      </c>
      <c r="T158">
        <v>50</v>
      </c>
      <c r="U158">
        <v>0.9818000000000001</v>
      </c>
      <c r="V158">
        <v>4.546</v>
      </c>
      <c r="W158">
        <v>4.08</v>
      </c>
      <c r="X158">
        <v>2.08030320272428</v>
      </c>
      <c r="Y158">
        <v>0.0137</v>
      </c>
      <c r="Z158">
        <v>0.6119402985074627</v>
      </c>
      <c r="AA158">
        <v>0.6537842190016103</v>
      </c>
      <c r="AB158">
        <v>0.3271704180064309</v>
      </c>
      <c r="AC158">
        <v>0.6752411575562701</v>
      </c>
      <c r="AD158">
        <v>0.680064308681672</v>
      </c>
    </row>
    <row r="159" spans="1:30">
      <c r="A159" s="1" t="s">
        <v>166</v>
      </c>
      <c r="B159">
        <f>HYPERLINK("https://www.suredividend.com/sure-analysis-RDEIY/","Red Eléctrica Corp. SA")</f>
        <v>0</v>
      </c>
      <c r="C159">
        <v>9.58</v>
      </c>
      <c r="D159">
        <v>10321.897694</v>
      </c>
      <c r="E159" t="s">
        <v>665</v>
      </c>
      <c r="F159" t="s">
        <v>631</v>
      </c>
      <c r="G159" t="s">
        <v>680</v>
      </c>
      <c r="H159" t="s">
        <v>700</v>
      </c>
      <c r="I159" t="s">
        <v>862</v>
      </c>
      <c r="J159" t="s">
        <v>1314</v>
      </c>
      <c r="K159">
        <v>43966</v>
      </c>
      <c r="L159">
        <v>0.061388308977035</v>
      </c>
      <c r="M159">
        <v>-0.02044314840117434</v>
      </c>
      <c r="N159">
        <v>0.05</v>
      </c>
      <c r="O159">
        <v>0.0820858352937921</v>
      </c>
      <c r="P159" t="s">
        <v>636</v>
      </c>
      <c r="Q159" t="s">
        <v>635</v>
      </c>
      <c r="R159">
        <v>4</v>
      </c>
      <c r="S159">
        <v>0.4084027777777778</v>
      </c>
      <c r="T159">
        <v>8.640000000000001</v>
      </c>
      <c r="U159">
        <v>1.108796296296296</v>
      </c>
      <c r="V159">
        <v>0.7052</v>
      </c>
      <c r="W159">
        <v>1.44</v>
      </c>
      <c r="X159">
        <v>0.5881000000000001</v>
      </c>
      <c r="Y159">
        <v>-0.026504</v>
      </c>
      <c r="Z159">
        <v>0.7628524046434494</v>
      </c>
      <c r="AA159">
        <v>0.6006441223832528</v>
      </c>
      <c r="AB159">
        <v>0.5168810289389068</v>
      </c>
      <c r="AC159">
        <v>0.5257234726688104</v>
      </c>
      <c r="AD159">
        <v>0.6672025723472669</v>
      </c>
    </row>
    <row r="160" spans="1:30">
      <c r="A160" s="1" t="s">
        <v>167</v>
      </c>
      <c r="B160">
        <f>HYPERLINK("https://www.suredividend.com/sure-analysis-AMGN/","Amgen, Inc.")</f>
        <v>0</v>
      </c>
      <c r="C160">
        <v>234.69</v>
      </c>
      <c r="D160">
        <v>139494.73998</v>
      </c>
      <c r="E160" t="s">
        <v>665</v>
      </c>
      <c r="F160" t="s">
        <v>631</v>
      </c>
      <c r="G160" t="s">
        <v>671</v>
      </c>
      <c r="H160" t="s">
        <v>701</v>
      </c>
      <c r="I160" t="s">
        <v>863</v>
      </c>
      <c r="J160" t="s">
        <v>1316</v>
      </c>
      <c r="K160">
        <v>44040</v>
      </c>
      <c r="L160">
        <v>0.025611957845236</v>
      </c>
      <c r="M160">
        <v>-0.03245382965317956</v>
      </c>
      <c r="N160">
        <v>0.09</v>
      </c>
      <c r="O160">
        <v>0.08193885562396264</v>
      </c>
      <c r="P160" t="s">
        <v>636</v>
      </c>
      <c r="Q160" t="s">
        <v>381</v>
      </c>
      <c r="R160">
        <v>10</v>
      </c>
      <c r="S160">
        <v>0.3953337653920933</v>
      </c>
      <c r="T160">
        <v>199</v>
      </c>
      <c r="U160">
        <v>1.179346733668342</v>
      </c>
      <c r="V160">
        <v>12.3169</v>
      </c>
      <c r="W160">
        <v>15.43</v>
      </c>
      <c r="X160">
        <v>6.1</v>
      </c>
      <c r="Y160">
        <v>0.299412</v>
      </c>
      <c r="Z160">
        <v>0.3466003316749585</v>
      </c>
      <c r="AA160">
        <v>0.8888888888888888</v>
      </c>
      <c r="AB160">
        <v>0.8657556270096463</v>
      </c>
      <c r="AC160">
        <v>0.4469453376205788</v>
      </c>
      <c r="AD160">
        <v>0.6639871382636656</v>
      </c>
    </row>
    <row r="161" spans="1:30">
      <c r="A161" s="1" t="s">
        <v>168</v>
      </c>
      <c r="B161">
        <f>HYPERLINK("https://www.suredividend.com/sure-analysis-DTE/","DTE Energy Co.")</f>
        <v>0</v>
      </c>
      <c r="C161">
        <v>117.39</v>
      </c>
      <c r="D161">
        <v>23162.42973</v>
      </c>
      <c r="E161" t="s">
        <v>662</v>
      </c>
      <c r="F161" t="s">
        <v>631</v>
      </c>
      <c r="G161" t="s">
        <v>671</v>
      </c>
      <c r="H161" t="s">
        <v>702</v>
      </c>
      <c r="I161" t="s">
        <v>864</v>
      </c>
      <c r="J161" t="s">
        <v>1314</v>
      </c>
      <c r="K161">
        <v>44052</v>
      </c>
      <c r="L161">
        <v>0.033124012309739</v>
      </c>
      <c r="M161">
        <v>-0.01113188163138801</v>
      </c>
      <c r="N161">
        <v>0.06</v>
      </c>
      <c r="O161">
        <v>0.08032436662207099</v>
      </c>
      <c r="P161" t="s">
        <v>636</v>
      </c>
      <c r="Q161" t="s">
        <v>381</v>
      </c>
      <c r="R161">
        <v>11</v>
      </c>
      <c r="S161">
        <v>0.5988721804511278</v>
      </c>
      <c r="T161">
        <v>111</v>
      </c>
      <c r="U161">
        <v>1.057567567567568</v>
      </c>
      <c r="V161">
        <v>6.346</v>
      </c>
      <c r="W161">
        <v>6.65</v>
      </c>
      <c r="X161">
        <v>3.9825</v>
      </c>
      <c r="Y161">
        <v>-0.08067099999999999</v>
      </c>
      <c r="Z161">
        <v>0.4759535655058043</v>
      </c>
      <c r="AA161">
        <v>0.5120772946859904</v>
      </c>
      <c r="AB161">
        <v>0.6430868167202572</v>
      </c>
      <c r="AC161">
        <v>0.5852090032154341</v>
      </c>
      <c r="AD161">
        <v>0.6511254019292605</v>
      </c>
    </row>
    <row r="162" spans="1:30">
      <c r="A162" s="1" t="s">
        <v>169</v>
      </c>
      <c r="B162">
        <f>HYPERLINK("https://www.suredividend.com/sure-analysis-IBM/","International Business Machines Corp.")</f>
        <v>0</v>
      </c>
      <c r="C162">
        <v>126.75</v>
      </c>
      <c r="D162">
        <v>113201.49669</v>
      </c>
      <c r="E162" t="s">
        <v>660</v>
      </c>
      <c r="F162" t="s">
        <v>631</v>
      </c>
      <c r="G162" t="s">
        <v>671</v>
      </c>
      <c r="H162" t="s">
        <v>702</v>
      </c>
      <c r="I162" t="s">
        <v>865</v>
      </c>
      <c r="J162" t="s">
        <v>1318</v>
      </c>
      <c r="K162">
        <v>44042</v>
      </c>
      <c r="L162">
        <v>0.051058138620092</v>
      </c>
      <c r="M162">
        <v>-0.007610015630463485</v>
      </c>
      <c r="N162">
        <v>0.04</v>
      </c>
      <c r="O162">
        <v>0.08002200494204126</v>
      </c>
      <c r="P162" t="s">
        <v>636</v>
      </c>
      <c r="Q162" t="s">
        <v>635</v>
      </c>
      <c r="R162">
        <v>25</v>
      </c>
      <c r="S162">
        <v>0.5852119026149685</v>
      </c>
      <c r="T162">
        <v>122</v>
      </c>
      <c r="U162">
        <v>1.038934426229508</v>
      </c>
      <c r="V162">
        <v>8.877599999999999</v>
      </c>
      <c r="W162">
        <v>11.09</v>
      </c>
      <c r="X162">
        <v>6.49</v>
      </c>
      <c r="Y162">
        <v>-0.108066</v>
      </c>
      <c r="Z162">
        <v>0.6981757877280265</v>
      </c>
      <c r="AA162">
        <v>0.4685990338164251</v>
      </c>
      <c r="AB162">
        <v>0.3858520900321543</v>
      </c>
      <c r="AC162">
        <v>0.612540192926045</v>
      </c>
      <c r="AD162">
        <v>0.6479099678456592</v>
      </c>
    </row>
    <row r="163" spans="1:30">
      <c r="A163" s="1" t="s">
        <v>170</v>
      </c>
      <c r="B163">
        <f>HYPERLINK("https://www.suredividend.com/sure-analysis-TSN/","Tyson Foods, Inc.")</f>
        <v>0</v>
      </c>
      <c r="C163">
        <v>65.20999999999999</v>
      </c>
      <c r="D163">
        <v>18996.84456</v>
      </c>
      <c r="E163" t="s">
        <v>661</v>
      </c>
      <c r="F163" t="s">
        <v>631</v>
      </c>
      <c r="G163" t="s">
        <v>671</v>
      </c>
      <c r="H163" t="s">
        <v>702</v>
      </c>
      <c r="I163" t="s">
        <v>866</v>
      </c>
      <c r="J163" t="s">
        <v>1320</v>
      </c>
      <c r="K163">
        <v>44049</v>
      </c>
      <c r="L163">
        <v>0.026022304832713</v>
      </c>
      <c r="M163">
        <v>-0.003738942292266789</v>
      </c>
      <c r="N163">
        <v>0.06</v>
      </c>
      <c r="O163">
        <v>0.0797181594369778</v>
      </c>
      <c r="P163" t="s">
        <v>636</v>
      </c>
      <c r="Q163" t="s">
        <v>636</v>
      </c>
      <c r="R163">
        <v>8</v>
      </c>
      <c r="S163">
        <v>0.3169811320754717</v>
      </c>
      <c r="T163">
        <v>64</v>
      </c>
      <c r="U163">
        <v>1.01890625</v>
      </c>
      <c r="V163">
        <v>5.1081</v>
      </c>
      <c r="W163">
        <v>5.3</v>
      </c>
      <c r="X163">
        <v>1.68</v>
      </c>
      <c r="Y163">
        <v>-0.291995</v>
      </c>
      <c r="Z163">
        <v>0.3565505804311775</v>
      </c>
      <c r="AA163">
        <v>0.2463768115942029</v>
      </c>
      <c r="AB163">
        <v>0.6430868167202572</v>
      </c>
      <c r="AC163">
        <v>0.6366559485530546</v>
      </c>
      <c r="AD163">
        <v>0.6430868167202572</v>
      </c>
    </row>
    <row r="164" spans="1:30">
      <c r="A164" s="1" t="s">
        <v>171</v>
      </c>
      <c r="B164">
        <f>HYPERLINK("https://www.suredividend.com/sure-analysis-KDP/","Keurig Dr Pepper, Inc.")</f>
        <v>0</v>
      </c>
      <c r="C164">
        <v>29.57</v>
      </c>
      <c r="D164">
        <v>41878.272</v>
      </c>
      <c r="E164" t="s">
        <v>660</v>
      </c>
      <c r="F164" t="s">
        <v>631</v>
      </c>
      <c r="G164" t="s">
        <v>671</v>
      </c>
      <c r="H164" t="s">
        <v>702</v>
      </c>
      <c r="I164" t="s">
        <v>867</v>
      </c>
      <c r="J164" t="s">
        <v>1320</v>
      </c>
      <c r="K164">
        <v>44000</v>
      </c>
      <c r="L164">
        <v>0.02016129032258</v>
      </c>
      <c r="M164">
        <v>-0.03301945417177843</v>
      </c>
      <c r="N164">
        <v>0.1</v>
      </c>
      <c r="O164">
        <v>0.07907730715825534</v>
      </c>
      <c r="P164" t="s">
        <v>636</v>
      </c>
      <c r="Q164" t="s">
        <v>420</v>
      </c>
      <c r="R164">
        <v>0</v>
      </c>
      <c r="S164">
        <v>0.4316546762589929</v>
      </c>
      <c r="T164">
        <v>25</v>
      </c>
      <c r="U164">
        <v>1.1828</v>
      </c>
      <c r="V164">
        <v>0.8273</v>
      </c>
      <c r="W164">
        <v>1.39</v>
      </c>
      <c r="X164">
        <v>0.6000000000000001</v>
      </c>
      <c r="Y164">
        <v>0.020668</v>
      </c>
      <c r="Z164">
        <v>0.2703150912106136</v>
      </c>
      <c r="AA164">
        <v>0.6634460547504025</v>
      </c>
      <c r="AB164">
        <v>0.907556270096463</v>
      </c>
      <c r="AC164">
        <v>0.4421221864951769</v>
      </c>
      <c r="AD164">
        <v>0.6366559485530546</v>
      </c>
    </row>
    <row r="165" spans="1:30">
      <c r="A165" s="1" t="s">
        <v>172</v>
      </c>
      <c r="B165">
        <f>HYPERLINK("https://www.suredividend.com/sure-analysis-RY/","Royal Bank of Canada")</f>
        <v>0</v>
      </c>
      <c r="C165">
        <v>73.42</v>
      </c>
      <c r="D165">
        <v>102506.6133</v>
      </c>
      <c r="E165" t="s">
        <v>669</v>
      </c>
      <c r="F165" t="s">
        <v>631</v>
      </c>
      <c r="G165" t="s">
        <v>672</v>
      </c>
      <c r="H165" t="s">
        <v>702</v>
      </c>
      <c r="I165" t="s">
        <v>868</v>
      </c>
      <c r="J165" t="s">
        <v>1312</v>
      </c>
      <c r="K165">
        <v>44007</v>
      </c>
      <c r="L165">
        <v>0.043629215955727</v>
      </c>
      <c r="M165">
        <v>0.01984489837866565</v>
      </c>
      <c r="N165">
        <v>0.021</v>
      </c>
      <c r="O165">
        <v>0.07861980653653333</v>
      </c>
      <c r="P165" t="s">
        <v>636</v>
      </c>
      <c r="Q165" t="s">
        <v>636</v>
      </c>
      <c r="R165">
        <v>9</v>
      </c>
      <c r="S165">
        <v>0.5841287035856951</v>
      </c>
      <c r="T165">
        <v>81</v>
      </c>
      <c r="U165">
        <v>0.9064197530864198</v>
      </c>
      <c r="V165">
        <v>5.8865</v>
      </c>
      <c r="W165">
        <v>5.38</v>
      </c>
      <c r="X165">
        <v>3.14261242529104</v>
      </c>
      <c r="Y165">
        <v>-0.07366499999999999</v>
      </c>
      <c r="Z165">
        <v>0.6218905472636816</v>
      </c>
      <c r="AA165">
        <v>0.5297906602254429</v>
      </c>
      <c r="AB165">
        <v>0.1921221864951768</v>
      </c>
      <c r="AC165">
        <v>0.7588424437299035</v>
      </c>
      <c r="AD165">
        <v>0.6318327974276527</v>
      </c>
    </row>
    <row r="166" spans="1:30">
      <c r="A166" s="1" t="s">
        <v>173</v>
      </c>
      <c r="B166">
        <f>HYPERLINK("https://www.suredividend.com/sure-analysis-CONE/","CyrusOne, Inc.")</f>
        <v>0</v>
      </c>
      <c r="C166">
        <v>80.59</v>
      </c>
      <c r="D166">
        <v>9736.689630000001</v>
      </c>
      <c r="E166" t="s">
        <v>664</v>
      </c>
      <c r="F166" t="s">
        <v>633</v>
      </c>
      <c r="G166" t="s">
        <v>671</v>
      </c>
      <c r="H166" t="s">
        <v>701</v>
      </c>
      <c r="I166" t="s">
        <v>869</v>
      </c>
      <c r="J166" t="s">
        <v>1322</v>
      </c>
      <c r="K166">
        <v>44042</v>
      </c>
      <c r="L166">
        <v>0.024006721882126</v>
      </c>
      <c r="M166">
        <v>-0.04208617730256048</v>
      </c>
      <c r="N166">
        <v>0.1</v>
      </c>
      <c r="O166">
        <v>0.07608007892015478</v>
      </c>
      <c r="P166" t="s">
        <v>636</v>
      </c>
      <c r="Q166" t="s">
        <v>381</v>
      </c>
      <c r="R166">
        <v>7</v>
      </c>
      <c r="S166">
        <v>0.5235602094240838</v>
      </c>
      <c r="T166">
        <v>65</v>
      </c>
      <c r="U166">
        <v>1.239846153846154</v>
      </c>
      <c r="V166">
        <v>0.1653</v>
      </c>
      <c r="W166">
        <v>3.82</v>
      </c>
      <c r="X166">
        <v>2</v>
      </c>
      <c r="Y166">
        <v>0.306935</v>
      </c>
      <c r="Z166">
        <v>0.3333333333333334</v>
      </c>
      <c r="AA166">
        <v>0.8921095008051531</v>
      </c>
      <c r="AB166">
        <v>0.907556270096463</v>
      </c>
      <c r="AC166">
        <v>0.3858520900321543</v>
      </c>
      <c r="AD166">
        <v>0.6028938906752411</v>
      </c>
    </row>
    <row r="167" spans="1:30">
      <c r="A167" s="1" t="s">
        <v>174</v>
      </c>
      <c r="B167">
        <f>HYPERLINK("https://www.suredividend.com/sure-analysis-MDLZ/","Mondelez International, Inc.")</f>
        <v>0</v>
      </c>
      <c r="C167">
        <v>55.185</v>
      </c>
      <c r="D167">
        <v>79258.5866</v>
      </c>
      <c r="E167" t="s">
        <v>669</v>
      </c>
      <c r="F167" t="s">
        <v>631</v>
      </c>
      <c r="G167" t="s">
        <v>671</v>
      </c>
      <c r="H167" t="s">
        <v>701</v>
      </c>
      <c r="I167" t="s">
        <v>870</v>
      </c>
      <c r="J167" t="s">
        <v>1320</v>
      </c>
      <c r="K167">
        <v>44049</v>
      </c>
      <c r="L167">
        <v>0.020544242205802</v>
      </c>
      <c r="M167">
        <v>-0.01954020066969919</v>
      </c>
      <c r="N167">
        <v>0.07000000000000001</v>
      </c>
      <c r="O167">
        <v>0.07134744479641242</v>
      </c>
      <c r="P167" t="s">
        <v>636</v>
      </c>
      <c r="Q167" t="s">
        <v>381</v>
      </c>
      <c r="R167">
        <v>7</v>
      </c>
      <c r="S167">
        <v>0.4596774193548387</v>
      </c>
      <c r="T167">
        <v>50</v>
      </c>
      <c r="U167">
        <v>1.1037</v>
      </c>
      <c r="V167">
        <v>2.3938</v>
      </c>
      <c r="W167">
        <v>2.48</v>
      </c>
      <c r="X167">
        <v>1.14</v>
      </c>
      <c r="Y167">
        <v>0.011829</v>
      </c>
      <c r="Z167">
        <v>0.2819237147595356</v>
      </c>
      <c r="AA167">
        <v>0.6521739130434783</v>
      </c>
      <c r="AB167">
        <v>0.7355305466237942</v>
      </c>
      <c r="AC167">
        <v>0.5337620578778135</v>
      </c>
      <c r="AD167">
        <v>0.5643086816720257</v>
      </c>
    </row>
    <row r="168" spans="1:30">
      <c r="A168" s="1" t="s">
        <v>175</v>
      </c>
      <c r="B168">
        <f>HYPERLINK("https://www.suredividend.com/sure-analysis-GEF/","Greif, Inc.")</f>
        <v>0</v>
      </c>
      <c r="C168">
        <v>40.86</v>
      </c>
      <c r="D168">
        <v>1952.038413</v>
      </c>
      <c r="E168" t="s">
        <v>661</v>
      </c>
      <c r="F168" t="s">
        <v>631</v>
      </c>
      <c r="G168" t="s">
        <v>671</v>
      </c>
      <c r="H168" t="s">
        <v>702</v>
      </c>
      <c r="I168" t="s">
        <v>871</v>
      </c>
      <c r="J168" t="s">
        <v>1313</v>
      </c>
      <c r="K168">
        <v>43993</v>
      </c>
      <c r="L168">
        <v>0.043683296103251</v>
      </c>
      <c r="M168">
        <v>0.005518778439072225</v>
      </c>
      <c r="N168">
        <v>0.03</v>
      </c>
      <c r="O168">
        <v>0.07112122040769475</v>
      </c>
      <c r="P168" t="s">
        <v>636</v>
      </c>
      <c r="Q168" t="s">
        <v>636</v>
      </c>
      <c r="R168">
        <v>2</v>
      </c>
      <c r="S168">
        <v>0.5028571428571429</v>
      </c>
      <c r="T168">
        <v>42</v>
      </c>
      <c r="U168">
        <v>0.9728571428571429</v>
      </c>
      <c r="V168">
        <v>2.8929</v>
      </c>
      <c r="W168">
        <v>3.5</v>
      </c>
      <c r="X168">
        <v>1.76</v>
      </c>
      <c r="Y168">
        <v>0.129806</v>
      </c>
      <c r="Z168">
        <v>0.6252072968490878</v>
      </c>
      <c r="AA168">
        <v>0.7745571658615137</v>
      </c>
      <c r="AB168">
        <v>0.2540192926045016</v>
      </c>
      <c r="AC168">
        <v>0.6832797427652733</v>
      </c>
      <c r="AD168">
        <v>0.5610932475884244</v>
      </c>
    </row>
    <row r="169" spans="1:30">
      <c r="A169" s="1" t="s">
        <v>176</v>
      </c>
      <c r="B169">
        <f>HYPERLINK("https://www.suredividend.com/sure-analysis-MDU/","MDU Resources Group, Inc.")</f>
        <v>0</v>
      </c>
      <c r="C169">
        <v>23.51</v>
      </c>
      <c r="D169">
        <v>4772.4236</v>
      </c>
      <c r="E169" t="s">
        <v>663</v>
      </c>
      <c r="F169" t="s">
        <v>631</v>
      </c>
      <c r="G169" t="s">
        <v>671</v>
      </c>
      <c r="H169" t="s">
        <v>702</v>
      </c>
      <c r="I169" t="s">
        <v>872</v>
      </c>
      <c r="J169" t="s">
        <v>1321</v>
      </c>
      <c r="K169">
        <v>43964</v>
      </c>
      <c r="L169">
        <v>0.034663865546218</v>
      </c>
      <c r="M169">
        <v>0.02033819400755355</v>
      </c>
      <c r="N169">
        <v>0.02</v>
      </c>
      <c r="O169">
        <v>0.07058244217675824</v>
      </c>
      <c r="P169" t="s">
        <v>636</v>
      </c>
      <c r="Q169" t="s">
        <v>636</v>
      </c>
      <c r="R169">
        <v>28</v>
      </c>
      <c r="S169">
        <v>0.5000000000000001</v>
      </c>
      <c r="T169">
        <v>26</v>
      </c>
      <c r="U169">
        <v>0.9042307692307693</v>
      </c>
      <c r="V169">
        <v>1.7876</v>
      </c>
      <c r="W169">
        <v>1.65</v>
      </c>
      <c r="X169">
        <v>0.8250000000000001</v>
      </c>
      <c r="Y169">
        <v>-0.132195</v>
      </c>
      <c r="Z169">
        <v>0.4975124378109453</v>
      </c>
      <c r="AA169">
        <v>0.4412238325281803</v>
      </c>
      <c r="AB169">
        <v>0.157556270096463</v>
      </c>
      <c r="AC169">
        <v>0.7684887459807074</v>
      </c>
      <c r="AD169">
        <v>0.5562700964630225</v>
      </c>
    </row>
    <row r="170" spans="1:30">
      <c r="A170" s="1" t="s">
        <v>177</v>
      </c>
      <c r="B170">
        <f>HYPERLINK("https://www.suredividend.com/sure-analysis-CTBI/","Community Trust Bancorp, Inc. (Kentucky)")</f>
        <v>0</v>
      </c>
      <c r="C170">
        <v>34.29</v>
      </c>
      <c r="D170">
        <v>606.87018</v>
      </c>
      <c r="E170" t="s">
        <v>662</v>
      </c>
      <c r="F170" t="s">
        <v>631</v>
      </c>
      <c r="G170" t="s">
        <v>671</v>
      </c>
      <c r="H170" t="s">
        <v>701</v>
      </c>
      <c r="I170" t="s">
        <v>873</v>
      </c>
      <c r="J170" t="s">
        <v>1312</v>
      </c>
      <c r="K170">
        <v>43972</v>
      </c>
      <c r="L170">
        <v>0.04458785567615101</v>
      </c>
      <c r="M170">
        <v>-0.03295629425679691</v>
      </c>
      <c r="N170">
        <v>0.06</v>
      </c>
      <c r="O170">
        <v>0.06709596643576976</v>
      </c>
      <c r="P170" t="s">
        <v>636</v>
      </c>
      <c r="Q170" t="s">
        <v>635</v>
      </c>
      <c r="R170">
        <v>39</v>
      </c>
      <c r="S170">
        <v>0.6333333333333334</v>
      </c>
      <c r="T170">
        <v>29</v>
      </c>
      <c r="U170">
        <v>1.182413793103448</v>
      </c>
      <c r="V170">
        <v>3.2424</v>
      </c>
      <c r="W170">
        <v>2.4</v>
      </c>
      <c r="X170">
        <v>1.52</v>
      </c>
      <c r="Y170">
        <v>-0.177037</v>
      </c>
      <c r="Z170">
        <v>0.6318407960199005</v>
      </c>
      <c r="AA170">
        <v>0.3880837359098229</v>
      </c>
      <c r="AB170">
        <v>0.6430868167202572</v>
      </c>
      <c r="AC170">
        <v>0.4437299035369775</v>
      </c>
      <c r="AD170">
        <v>0.5321543408360129</v>
      </c>
    </row>
    <row r="171" spans="1:30">
      <c r="A171" s="1" t="s">
        <v>178</v>
      </c>
      <c r="B171">
        <f>HYPERLINK("https://www.suredividend.com/sure-analysis-CPB/","Campbell Soup Co.")</f>
        <v>0</v>
      </c>
      <c r="C171">
        <v>49.77</v>
      </c>
      <c r="D171">
        <v>15229.0656</v>
      </c>
      <c r="E171" t="s">
        <v>667</v>
      </c>
      <c r="F171" t="s">
        <v>631</v>
      </c>
      <c r="G171" t="s">
        <v>671</v>
      </c>
      <c r="H171" t="s">
        <v>702</v>
      </c>
      <c r="I171" t="s">
        <v>874</v>
      </c>
      <c r="J171" t="s">
        <v>1320</v>
      </c>
      <c r="K171">
        <v>44007</v>
      </c>
      <c r="L171">
        <v>0.027777777777777</v>
      </c>
      <c r="M171">
        <v>-0.007216114304630761</v>
      </c>
      <c r="N171">
        <v>0.05</v>
      </c>
      <c r="O171">
        <v>0.06660756071081431</v>
      </c>
      <c r="P171" t="s">
        <v>636</v>
      </c>
      <c r="Q171" t="s">
        <v>381</v>
      </c>
      <c r="R171">
        <v>0</v>
      </c>
      <c r="S171">
        <v>0.4912280701754386</v>
      </c>
      <c r="T171">
        <v>48</v>
      </c>
      <c r="U171">
        <v>1.036875</v>
      </c>
      <c r="V171">
        <v>1.8002</v>
      </c>
      <c r="W171">
        <v>2.85</v>
      </c>
      <c r="X171">
        <v>1.4</v>
      </c>
      <c r="Y171">
        <v>0.188913</v>
      </c>
      <c r="Z171">
        <v>0.3913764510779436</v>
      </c>
      <c r="AA171">
        <v>0.8180354267310789</v>
      </c>
      <c r="AB171">
        <v>0.5168810289389068</v>
      </c>
      <c r="AC171">
        <v>0.6141479099678456</v>
      </c>
      <c r="AD171">
        <v>0.5289389067524116</v>
      </c>
    </row>
    <row r="172" spans="1:30">
      <c r="A172" s="1" t="s">
        <v>179</v>
      </c>
      <c r="B172">
        <f>HYPERLINK("https://www.suredividend.com/sure-analysis-SJM/","The J. M. Smucker Co.")</f>
        <v>0</v>
      </c>
      <c r="C172">
        <v>112.71</v>
      </c>
      <c r="D172">
        <v>12875.94672</v>
      </c>
      <c r="E172" t="s">
        <v>661</v>
      </c>
      <c r="F172" t="s">
        <v>631</v>
      </c>
      <c r="G172" t="s">
        <v>671</v>
      </c>
      <c r="H172" t="s">
        <v>702</v>
      </c>
      <c r="I172" t="s">
        <v>875</v>
      </c>
      <c r="J172" t="s">
        <v>1320</v>
      </c>
      <c r="K172">
        <v>43993</v>
      </c>
      <c r="L172">
        <v>0.031194611839773</v>
      </c>
      <c r="M172">
        <v>-0.01595676985676842</v>
      </c>
      <c r="N172">
        <v>0.05</v>
      </c>
      <c r="O172">
        <v>0.06323756212784559</v>
      </c>
      <c r="P172" t="s">
        <v>636</v>
      </c>
      <c r="Q172" t="s">
        <v>636</v>
      </c>
      <c r="R172">
        <v>22</v>
      </c>
      <c r="S172">
        <v>0.5407066052227343</v>
      </c>
      <c r="T172">
        <v>104</v>
      </c>
      <c r="U172">
        <v>1.08375</v>
      </c>
      <c r="V172">
        <v>6.827</v>
      </c>
      <c r="W172">
        <v>6.51</v>
      </c>
      <c r="X172">
        <v>3.52</v>
      </c>
      <c r="Y172">
        <v>-0.021931</v>
      </c>
      <c r="Z172">
        <v>0.4461028192371476</v>
      </c>
      <c r="AA172">
        <v>0.610305958132045</v>
      </c>
      <c r="AB172">
        <v>0.5168810289389068</v>
      </c>
      <c r="AC172">
        <v>0.5498392282958199</v>
      </c>
      <c r="AD172">
        <v>0.5096463022508039</v>
      </c>
    </row>
    <row r="173" spans="1:30">
      <c r="A173" s="1" t="s">
        <v>180</v>
      </c>
      <c r="B173">
        <f>HYPERLINK("https://www.suredividend.com/sure-analysis-TTC/","The Toro Co.")</f>
        <v>0</v>
      </c>
      <c r="C173">
        <v>74.34</v>
      </c>
      <c r="D173">
        <v>7886.93466</v>
      </c>
      <c r="E173" t="s">
        <v>667</v>
      </c>
      <c r="F173" t="s">
        <v>631</v>
      </c>
      <c r="G173" t="s">
        <v>671</v>
      </c>
      <c r="H173" t="s">
        <v>702</v>
      </c>
      <c r="I173" t="s">
        <v>876</v>
      </c>
      <c r="J173" t="s">
        <v>1315</v>
      </c>
      <c r="K173">
        <v>44000</v>
      </c>
      <c r="L173">
        <v>0.012909362685147</v>
      </c>
      <c r="M173">
        <v>-0.06543252496041074</v>
      </c>
      <c r="N173">
        <v>0.12</v>
      </c>
      <c r="O173">
        <v>0.06134905154803083</v>
      </c>
      <c r="P173" t="s">
        <v>636</v>
      </c>
      <c r="Q173" t="s">
        <v>420</v>
      </c>
      <c r="R173">
        <v>10</v>
      </c>
      <c r="S173">
        <v>0.3064516129032258</v>
      </c>
      <c r="T173">
        <v>53</v>
      </c>
      <c r="U173">
        <v>1.402641509433962</v>
      </c>
      <c r="V173">
        <v>2.4913</v>
      </c>
      <c r="W173">
        <v>3.1</v>
      </c>
      <c r="X173">
        <v>0.9500000000000001</v>
      </c>
      <c r="Y173">
        <v>-0.004922999999999999</v>
      </c>
      <c r="Z173">
        <v>0.1160862354892206</v>
      </c>
      <c r="AA173">
        <v>0.6247987117552335</v>
      </c>
      <c r="AB173">
        <v>0.9485530546623794</v>
      </c>
      <c r="AC173">
        <v>0.2347266881028939</v>
      </c>
      <c r="AD173">
        <v>0.5</v>
      </c>
    </row>
    <row r="174" spans="1:30">
      <c r="A174" s="1" t="s">
        <v>181</v>
      </c>
      <c r="B174">
        <f>HYPERLINK("https://www.suredividend.com/sure-analysis-KO/","The Coca-Cola Co.")</f>
        <v>0</v>
      </c>
      <c r="C174">
        <v>47.93</v>
      </c>
      <c r="D174">
        <v>204978.3968</v>
      </c>
      <c r="E174" t="s">
        <v>663</v>
      </c>
      <c r="F174" t="s">
        <v>631</v>
      </c>
      <c r="G174" t="s">
        <v>671</v>
      </c>
      <c r="H174" t="s">
        <v>702</v>
      </c>
      <c r="I174" t="s">
        <v>877</v>
      </c>
      <c r="J174" t="s">
        <v>1320</v>
      </c>
      <c r="K174">
        <v>44034</v>
      </c>
      <c r="L174">
        <v>0.033948030176026</v>
      </c>
      <c r="M174">
        <v>-0.04536965877746146</v>
      </c>
      <c r="N174">
        <v>0.075</v>
      </c>
      <c r="O174">
        <v>0.06065767829432001</v>
      </c>
      <c r="P174" t="s">
        <v>636</v>
      </c>
      <c r="Q174" t="s">
        <v>636</v>
      </c>
      <c r="R174">
        <v>58</v>
      </c>
      <c r="S174">
        <v>0.9</v>
      </c>
      <c r="T174">
        <v>38</v>
      </c>
      <c r="U174">
        <v>1.261315789473684</v>
      </c>
      <c r="V174">
        <v>2.1439</v>
      </c>
      <c r="W174">
        <v>1.8</v>
      </c>
      <c r="X174">
        <v>1.62</v>
      </c>
      <c r="Y174">
        <v>-0.109704</v>
      </c>
      <c r="Z174">
        <v>0.4892205638474295</v>
      </c>
      <c r="AA174">
        <v>0.465378421900161</v>
      </c>
      <c r="AB174">
        <v>0.7757234726688103</v>
      </c>
      <c r="AC174">
        <v>0.3585209003215434</v>
      </c>
      <c r="AD174">
        <v>0.4951768488745981</v>
      </c>
    </row>
    <row r="175" spans="1:30">
      <c r="A175" s="1" t="s">
        <v>182</v>
      </c>
      <c r="B175">
        <f>HYPERLINK("https://www.suredividend.com/sure-analysis-FTS/","Fortis, Inc.")</f>
        <v>0</v>
      </c>
      <c r="C175">
        <v>40.45</v>
      </c>
      <c r="D175">
        <v>18844.176</v>
      </c>
      <c r="E175" t="s">
        <v>669</v>
      </c>
      <c r="F175" t="s">
        <v>631</v>
      </c>
      <c r="G175" t="s">
        <v>672</v>
      </c>
      <c r="H175" t="s">
        <v>702</v>
      </c>
      <c r="I175" t="s">
        <v>878</v>
      </c>
      <c r="J175" t="s">
        <v>1314</v>
      </c>
      <c r="K175">
        <v>43971</v>
      </c>
      <c r="L175">
        <v>0.034569798910744</v>
      </c>
      <c r="M175">
        <v>-0.02303997222898757</v>
      </c>
      <c r="N175">
        <v>0.05</v>
      </c>
      <c r="O175">
        <v>0.06055142683222647</v>
      </c>
      <c r="P175" t="s">
        <v>636</v>
      </c>
      <c r="Q175" t="s">
        <v>636</v>
      </c>
      <c r="R175">
        <v>46</v>
      </c>
      <c r="S175">
        <v>0.7538446472149462</v>
      </c>
      <c r="T175">
        <v>36</v>
      </c>
      <c r="U175">
        <v>1.123611111111111</v>
      </c>
      <c r="V175">
        <v>1.9932</v>
      </c>
      <c r="W175">
        <v>1.86</v>
      </c>
      <c r="X175">
        <v>1.4021510438198</v>
      </c>
      <c r="Y175">
        <v>-0.009604</v>
      </c>
      <c r="Z175">
        <v>0.4958540630182421</v>
      </c>
      <c r="AA175">
        <v>0.6215780998389694</v>
      </c>
      <c r="AB175">
        <v>0.5168810289389068</v>
      </c>
      <c r="AC175">
        <v>0.5080385852090032</v>
      </c>
      <c r="AD175">
        <v>0.4919614147909968</v>
      </c>
    </row>
    <row r="176" spans="1:30">
      <c r="A176" s="1" t="s">
        <v>183</v>
      </c>
      <c r="B176">
        <f>HYPERLINK("https://www.suredividend.com/sure-analysis-ADP/","Automatic Data Processing, Inc.")</f>
        <v>0</v>
      </c>
      <c r="C176">
        <v>138.115</v>
      </c>
      <c r="D176">
        <v>59408.26405</v>
      </c>
      <c r="E176" t="s">
        <v>663</v>
      </c>
      <c r="F176" t="s">
        <v>631</v>
      </c>
      <c r="G176" t="s">
        <v>671</v>
      </c>
      <c r="H176" t="s">
        <v>701</v>
      </c>
      <c r="I176" t="s">
        <v>879</v>
      </c>
      <c r="J176" t="s">
        <v>1315</v>
      </c>
      <c r="K176">
        <v>44044</v>
      </c>
      <c r="L176">
        <v>0.025475863067236</v>
      </c>
      <c r="M176">
        <v>-0.04450071264214028</v>
      </c>
      <c r="N176">
        <v>0.08</v>
      </c>
      <c r="O176">
        <v>0.05984432894534319</v>
      </c>
      <c r="P176" t="s">
        <v>636</v>
      </c>
      <c r="Q176" t="s">
        <v>381</v>
      </c>
      <c r="R176">
        <v>44</v>
      </c>
      <c r="S176">
        <v>0.704</v>
      </c>
      <c r="T176">
        <v>110</v>
      </c>
      <c r="U176">
        <v>1.255590909090909</v>
      </c>
      <c r="V176">
        <v>5.7241</v>
      </c>
      <c r="W176">
        <v>5</v>
      </c>
      <c r="X176">
        <v>3.52</v>
      </c>
      <c r="Y176">
        <v>-0.1544</v>
      </c>
      <c r="Z176">
        <v>0.3449419568822554</v>
      </c>
      <c r="AA176">
        <v>0.4154589371980676</v>
      </c>
      <c r="AB176">
        <v>0.8135048231511255</v>
      </c>
      <c r="AC176">
        <v>0.364951768488746</v>
      </c>
      <c r="AD176">
        <v>0.4887459807073955</v>
      </c>
    </row>
    <row r="177" spans="1:30">
      <c r="A177" s="1" t="s">
        <v>184</v>
      </c>
      <c r="B177">
        <f>HYPERLINK("https://www.suredividend.com/sure-analysis-LNT/","Alliant Energy Corp.")</f>
        <v>0</v>
      </c>
      <c r="C177">
        <v>53.71</v>
      </c>
      <c r="D177">
        <v>13810.0464</v>
      </c>
      <c r="E177" t="s">
        <v>668</v>
      </c>
      <c r="F177" t="s">
        <v>631</v>
      </c>
      <c r="G177" t="s">
        <v>671</v>
      </c>
      <c r="H177" t="s">
        <v>701</v>
      </c>
      <c r="I177" t="s">
        <v>880</v>
      </c>
      <c r="J177" t="s">
        <v>1314</v>
      </c>
      <c r="K177">
        <v>43979</v>
      </c>
      <c r="L177">
        <v>0.026558265582655</v>
      </c>
      <c r="M177">
        <v>-0.02222885422179322</v>
      </c>
      <c r="N177">
        <v>0.055</v>
      </c>
      <c r="O177">
        <v>0.0590457018531656</v>
      </c>
      <c r="P177" t="s">
        <v>636</v>
      </c>
      <c r="Q177" t="s">
        <v>381</v>
      </c>
      <c r="R177">
        <v>17</v>
      </c>
      <c r="S177">
        <v>0.6099585062240663</v>
      </c>
      <c r="T177">
        <v>48</v>
      </c>
      <c r="U177">
        <v>1.118958333333333</v>
      </c>
      <c r="V177">
        <v>2.6419</v>
      </c>
      <c r="W177">
        <v>2.41</v>
      </c>
      <c r="X177">
        <v>1.47</v>
      </c>
      <c r="Y177">
        <v>0.06583599999999999</v>
      </c>
      <c r="Z177">
        <v>0.373134328358209</v>
      </c>
      <c r="AA177">
        <v>0.7069243156199678</v>
      </c>
      <c r="AB177">
        <v>0.5884244372990354</v>
      </c>
      <c r="AC177">
        <v>0.5144694533762058</v>
      </c>
      <c r="AD177">
        <v>0.4807073954983923</v>
      </c>
    </row>
    <row r="178" spans="1:30">
      <c r="A178" s="1" t="s">
        <v>185</v>
      </c>
      <c r="B178">
        <f>HYPERLINK("https://www.suredividend.com/sure-analysis-CTSH/","Cognizant Technology Solutions Corp.")</f>
        <v>0</v>
      </c>
      <c r="C178">
        <v>66.48999999999999</v>
      </c>
      <c r="D178">
        <v>36389.79351</v>
      </c>
      <c r="E178" t="s">
        <v>662</v>
      </c>
      <c r="F178" t="s">
        <v>631</v>
      </c>
      <c r="G178" t="s">
        <v>671</v>
      </c>
      <c r="H178" t="s">
        <v>701</v>
      </c>
      <c r="I178" t="s">
        <v>881</v>
      </c>
      <c r="J178" t="s">
        <v>1318</v>
      </c>
      <c r="K178">
        <v>43970</v>
      </c>
      <c r="L178">
        <v>0.012516763522574</v>
      </c>
      <c r="M178">
        <v>-0.02361941341041307</v>
      </c>
      <c r="N178">
        <v>0.07000000000000001</v>
      </c>
      <c r="O178">
        <v>0.05809339105642453</v>
      </c>
      <c r="P178" t="s">
        <v>636</v>
      </c>
      <c r="Q178" t="s">
        <v>420</v>
      </c>
      <c r="R178">
        <v>1</v>
      </c>
      <c r="S178">
        <v>0.227027027027027</v>
      </c>
      <c r="T178">
        <v>59</v>
      </c>
      <c r="U178">
        <v>1.126949152542373</v>
      </c>
      <c r="V178">
        <v>2.9622</v>
      </c>
      <c r="W178">
        <v>3.7</v>
      </c>
      <c r="X178">
        <v>0.84</v>
      </c>
      <c r="Y178">
        <v>0.055034</v>
      </c>
      <c r="Z178">
        <v>0.1111111111111111</v>
      </c>
      <c r="AA178">
        <v>0.6940418679549114</v>
      </c>
      <c r="AB178">
        <v>0.7355305466237942</v>
      </c>
      <c r="AC178">
        <v>0.5048231511254019</v>
      </c>
      <c r="AD178">
        <v>0.4758842443729903</v>
      </c>
    </row>
    <row r="179" spans="1:30">
      <c r="A179" s="1" t="s">
        <v>186</v>
      </c>
      <c r="B179">
        <f>HYPERLINK("https://www.suredividend.com/sure-analysis-FOXA/","Fox Corp.")</f>
        <v>0</v>
      </c>
      <c r="C179">
        <v>24.66</v>
      </c>
      <c r="D179">
        <v>14730.768</v>
      </c>
      <c r="E179" t="s">
        <v>668</v>
      </c>
      <c r="F179" t="s">
        <v>631</v>
      </c>
      <c r="G179" t="s">
        <v>671</v>
      </c>
      <c r="H179" t="s">
        <v>701</v>
      </c>
      <c r="I179" t="s">
        <v>882</v>
      </c>
      <c r="J179" t="s">
        <v>1319</v>
      </c>
      <c r="K179">
        <v>43979</v>
      </c>
      <c r="L179">
        <v>0.018852459016393</v>
      </c>
      <c r="M179">
        <v>0.07254369553816953</v>
      </c>
      <c r="N179">
        <v>-0.03</v>
      </c>
      <c r="O179">
        <v>0.05582397901587233</v>
      </c>
      <c r="P179" t="s">
        <v>636</v>
      </c>
      <c r="Q179" t="s">
        <v>381</v>
      </c>
      <c r="R179">
        <v>0</v>
      </c>
      <c r="S179">
        <v>0.1965811965811966</v>
      </c>
      <c r="T179">
        <v>35</v>
      </c>
      <c r="U179">
        <v>0.7045714285714286</v>
      </c>
      <c r="V179">
        <v>1.6171</v>
      </c>
      <c r="W179">
        <v>2.34</v>
      </c>
      <c r="X179">
        <v>0.46</v>
      </c>
      <c r="Y179">
        <v>-0.297751</v>
      </c>
      <c r="Z179">
        <v>0.2404643449419569</v>
      </c>
      <c r="AA179">
        <v>0.2351046698872786</v>
      </c>
      <c r="AB179">
        <v>0.008842443729903537</v>
      </c>
      <c r="AC179">
        <v>0.9614147909967846</v>
      </c>
      <c r="AD179">
        <v>0.4614147909967846</v>
      </c>
    </row>
    <row r="180" spans="1:30">
      <c r="A180" s="1" t="s">
        <v>187</v>
      </c>
      <c r="B180">
        <f>HYPERLINK("https://www.suredividend.com/sure-analysis-RSG/","Republic Services, Inc.")</f>
        <v>0</v>
      </c>
      <c r="C180">
        <v>90.88</v>
      </c>
      <c r="D180">
        <v>28912.109</v>
      </c>
      <c r="E180" t="s">
        <v>664</v>
      </c>
      <c r="F180" t="s">
        <v>631</v>
      </c>
      <c r="G180" t="s">
        <v>671</v>
      </c>
      <c r="H180" t="s">
        <v>702</v>
      </c>
      <c r="I180" t="s">
        <v>883</v>
      </c>
      <c r="J180" t="s">
        <v>1315</v>
      </c>
      <c r="K180">
        <v>44052</v>
      </c>
      <c r="L180">
        <v>0.017823742986027</v>
      </c>
      <c r="M180">
        <v>-0.02275526321099908</v>
      </c>
      <c r="N180">
        <v>0.06</v>
      </c>
      <c r="O180">
        <v>0.05408158451509903</v>
      </c>
      <c r="P180" t="s">
        <v>636</v>
      </c>
      <c r="Q180" t="s">
        <v>420</v>
      </c>
      <c r="R180">
        <v>11</v>
      </c>
      <c r="S180">
        <v>0.5</v>
      </c>
      <c r="T180">
        <v>81</v>
      </c>
      <c r="U180">
        <v>1.121975308641975</v>
      </c>
      <c r="V180">
        <v>3.313</v>
      </c>
      <c r="W180">
        <v>3.24</v>
      </c>
      <c r="X180">
        <v>1.62</v>
      </c>
      <c r="Y180">
        <v>0.008910000000000001</v>
      </c>
      <c r="Z180">
        <v>0.2189054726368159</v>
      </c>
      <c r="AA180">
        <v>0.6457326892109501</v>
      </c>
      <c r="AB180">
        <v>0.6430868167202572</v>
      </c>
      <c r="AC180">
        <v>0.5112540192926045</v>
      </c>
      <c r="AD180">
        <v>0.4485530546623794</v>
      </c>
    </row>
    <row r="181" spans="1:30">
      <c r="A181" s="1" t="s">
        <v>188</v>
      </c>
      <c r="B181">
        <f>HYPERLINK("https://www.suredividend.com/sure-analysis-ED/","Consolidated Edison, Inc.")</f>
        <v>0</v>
      </c>
      <c r="C181">
        <v>73.26000000000001</v>
      </c>
      <c r="D181">
        <v>25214.38386</v>
      </c>
      <c r="E181" t="s">
        <v>665</v>
      </c>
      <c r="F181" t="s">
        <v>631</v>
      </c>
      <c r="G181" t="s">
        <v>671</v>
      </c>
      <c r="H181" t="s">
        <v>702</v>
      </c>
      <c r="I181" t="s">
        <v>884</v>
      </c>
      <c r="J181" t="s">
        <v>1314</v>
      </c>
      <c r="K181">
        <v>44052</v>
      </c>
      <c r="L181">
        <v>0.03993101618466401</v>
      </c>
      <c r="M181">
        <v>-0.02364155179765437</v>
      </c>
      <c r="N181">
        <v>0.035</v>
      </c>
      <c r="O181">
        <v>0.05150117249263664</v>
      </c>
      <c r="P181" t="s">
        <v>636</v>
      </c>
      <c r="Q181" t="s">
        <v>635</v>
      </c>
      <c r="R181">
        <v>46</v>
      </c>
      <c r="S181">
        <v>0.708235294117647</v>
      </c>
      <c r="T181">
        <v>65</v>
      </c>
      <c r="U181">
        <v>1.127076923076923</v>
      </c>
      <c r="V181">
        <v>4.0038</v>
      </c>
      <c r="W181">
        <v>4.25</v>
      </c>
      <c r="X181">
        <v>3.01</v>
      </c>
      <c r="Y181">
        <v>-0.141894</v>
      </c>
      <c r="Z181">
        <v>0.5787728026533997</v>
      </c>
      <c r="AA181">
        <v>0.428341384863124</v>
      </c>
      <c r="AB181">
        <v>0.3183279742765273</v>
      </c>
      <c r="AC181">
        <v>0.5032154340836013</v>
      </c>
      <c r="AD181">
        <v>0.4340836012861736</v>
      </c>
    </row>
    <row r="182" spans="1:30">
      <c r="A182" s="1" t="s">
        <v>189</v>
      </c>
      <c r="B182">
        <f>HYPERLINK("https://www.suredividend.com/sure-analysis-SYY/","Sysco Corp.")</f>
        <v>0</v>
      </c>
      <c r="C182">
        <v>60.84</v>
      </c>
      <c r="D182">
        <v>30482.5998</v>
      </c>
      <c r="E182" t="s">
        <v>666</v>
      </c>
      <c r="F182" t="s">
        <v>631</v>
      </c>
      <c r="G182" t="s">
        <v>671</v>
      </c>
      <c r="H182" t="s">
        <v>702</v>
      </c>
      <c r="I182" t="s">
        <v>885</v>
      </c>
      <c r="J182" t="s">
        <v>1320</v>
      </c>
      <c r="K182">
        <v>44013</v>
      </c>
      <c r="L182">
        <v>0.027953410981697</v>
      </c>
      <c r="M182">
        <v>-0.02721395276796346</v>
      </c>
      <c r="N182">
        <v>0.052</v>
      </c>
      <c r="O182">
        <v>0.05098048557632562</v>
      </c>
      <c r="P182" t="s">
        <v>636</v>
      </c>
      <c r="Q182" t="s">
        <v>636</v>
      </c>
      <c r="R182">
        <v>51</v>
      </c>
      <c r="S182">
        <v>0.8400000000000001</v>
      </c>
      <c r="T182">
        <v>53</v>
      </c>
      <c r="U182">
        <v>1.147924528301887</v>
      </c>
      <c r="V182">
        <v>2.669</v>
      </c>
      <c r="W182">
        <v>2</v>
      </c>
      <c r="X182">
        <v>1.68</v>
      </c>
      <c r="Y182">
        <v>-0.181651</v>
      </c>
      <c r="Z182">
        <v>0.4013266998341625</v>
      </c>
      <c r="AA182">
        <v>0.3768115942028985</v>
      </c>
      <c r="AB182">
        <v>0.5803858520900321</v>
      </c>
      <c r="AC182">
        <v>0.4903536977491962</v>
      </c>
      <c r="AD182">
        <v>0.4308681672025723</v>
      </c>
    </row>
    <row r="183" spans="1:30">
      <c r="A183" s="1" t="s">
        <v>190</v>
      </c>
      <c r="B183">
        <f>HYPERLINK("https://www.suredividend.com/sure-analysis-PPL/","PPL Corp.")</f>
        <v>0</v>
      </c>
      <c r="C183">
        <v>28.43</v>
      </c>
      <c r="D183">
        <v>22025.0886</v>
      </c>
      <c r="E183" t="s">
        <v>665</v>
      </c>
      <c r="F183" t="s">
        <v>631</v>
      </c>
      <c r="G183" t="s">
        <v>671</v>
      </c>
      <c r="H183" t="s">
        <v>702</v>
      </c>
      <c r="I183" t="s">
        <v>886</v>
      </c>
      <c r="J183" t="s">
        <v>1314</v>
      </c>
      <c r="K183">
        <v>43960</v>
      </c>
      <c r="L183">
        <v>0.057766143106457</v>
      </c>
      <c r="M183">
        <v>-0.02538603542787576</v>
      </c>
      <c r="N183">
        <v>0.02</v>
      </c>
      <c r="O183">
        <v>0.05069766884177485</v>
      </c>
      <c r="P183" t="s">
        <v>636</v>
      </c>
      <c r="Q183" t="s">
        <v>635</v>
      </c>
      <c r="R183">
        <v>19</v>
      </c>
      <c r="S183">
        <v>0.662</v>
      </c>
      <c r="T183">
        <v>25</v>
      </c>
      <c r="U183">
        <v>1.1372</v>
      </c>
      <c r="V183">
        <v>2.3114</v>
      </c>
      <c r="W183">
        <v>2.5</v>
      </c>
      <c r="X183">
        <v>1.655</v>
      </c>
      <c r="Y183">
        <v>-0.08956699999999999</v>
      </c>
      <c r="Z183">
        <v>0.736318407960199</v>
      </c>
      <c r="AA183">
        <v>0.5024154589371981</v>
      </c>
      <c r="AB183">
        <v>0.157556270096463</v>
      </c>
      <c r="AC183">
        <v>0.4951768488745981</v>
      </c>
      <c r="AD183">
        <v>0.4276527331189711</v>
      </c>
    </row>
    <row r="184" spans="1:30">
      <c r="A184" s="1" t="s">
        <v>191</v>
      </c>
      <c r="B184">
        <f>HYPERLINK("https://www.suredividend.com/sure-analysis-BLK/","BlackRock, Inc.")</f>
        <v>0</v>
      </c>
      <c r="C184">
        <v>586.64</v>
      </c>
      <c r="D184">
        <v>88457.292</v>
      </c>
      <c r="E184" t="s">
        <v>669</v>
      </c>
      <c r="F184" t="s">
        <v>631</v>
      </c>
      <c r="G184" t="s">
        <v>671</v>
      </c>
      <c r="H184" t="s">
        <v>702</v>
      </c>
      <c r="I184" t="s">
        <v>887</v>
      </c>
      <c r="J184" t="s">
        <v>1312</v>
      </c>
      <c r="K184">
        <v>44035</v>
      </c>
      <c r="L184">
        <v>0.023888314374353</v>
      </c>
      <c r="M184">
        <v>-0.04377469122902355</v>
      </c>
      <c r="N184">
        <v>0.07000000000000001</v>
      </c>
      <c r="O184">
        <v>0.04956162062292524</v>
      </c>
      <c r="P184" t="s">
        <v>636</v>
      </c>
      <c r="Q184" t="s">
        <v>381</v>
      </c>
      <c r="R184">
        <v>10</v>
      </c>
      <c r="S184">
        <v>0.4725536992840095</v>
      </c>
      <c r="T184">
        <v>469</v>
      </c>
      <c r="U184">
        <v>1.250831556503198</v>
      </c>
      <c r="V184">
        <v>28.6779</v>
      </c>
      <c r="W184">
        <v>29.33</v>
      </c>
      <c r="X184">
        <v>13.86</v>
      </c>
      <c r="Y184">
        <v>0.344066</v>
      </c>
      <c r="Z184">
        <v>0.3283582089552239</v>
      </c>
      <c r="AA184">
        <v>0.9114331723027376</v>
      </c>
      <c r="AB184">
        <v>0.7355305466237942</v>
      </c>
      <c r="AC184">
        <v>0.3729903536977492</v>
      </c>
      <c r="AD184">
        <v>0.4147909967845659</v>
      </c>
    </row>
    <row r="185" spans="1:30">
      <c r="A185" s="1" t="s">
        <v>192</v>
      </c>
      <c r="B185">
        <f>HYPERLINK("https://www.suredividend.com/sure-analysis-TRV/","The Travelers Cos., Inc.")</f>
        <v>0</v>
      </c>
      <c r="C185">
        <v>119.92</v>
      </c>
      <c r="D185">
        <v>30160.11192</v>
      </c>
      <c r="E185" t="s">
        <v>663</v>
      </c>
      <c r="F185" t="s">
        <v>631</v>
      </c>
      <c r="G185" t="s">
        <v>671</v>
      </c>
      <c r="H185" t="s">
        <v>702</v>
      </c>
      <c r="I185" t="s">
        <v>888</v>
      </c>
      <c r="J185" t="s">
        <v>1312</v>
      </c>
      <c r="K185">
        <v>44036</v>
      </c>
      <c r="L185">
        <v>0.027787105439892</v>
      </c>
      <c r="M185">
        <v>-0.04153551997327765</v>
      </c>
      <c r="N185">
        <v>0.06</v>
      </c>
      <c r="O185">
        <v>0.04767087380418755</v>
      </c>
      <c r="P185" t="s">
        <v>636</v>
      </c>
      <c r="Q185" t="s">
        <v>636</v>
      </c>
      <c r="R185">
        <v>15</v>
      </c>
      <c r="S185">
        <v>0.3740112994350283</v>
      </c>
      <c r="T185">
        <v>97</v>
      </c>
      <c r="U185">
        <v>1.236288659793815</v>
      </c>
      <c r="V185">
        <v>7.0643</v>
      </c>
      <c r="W185">
        <v>8.85</v>
      </c>
      <c r="X185">
        <v>3.31</v>
      </c>
      <c r="Y185">
        <v>-0.208204</v>
      </c>
      <c r="Z185">
        <v>0.3930348258706468</v>
      </c>
      <c r="AA185">
        <v>0.3526570048309178</v>
      </c>
      <c r="AB185">
        <v>0.6430868167202572</v>
      </c>
      <c r="AC185">
        <v>0.3954983922829582</v>
      </c>
      <c r="AD185">
        <v>0.4003215434083602</v>
      </c>
    </row>
    <row r="186" spans="1:30">
      <c r="A186" s="1" t="s">
        <v>193</v>
      </c>
      <c r="B186">
        <f>HYPERLINK("https://www.suredividend.com/sure-analysis-ARTNA/","Artesian Resources Corp.")</f>
        <v>0</v>
      </c>
      <c r="C186">
        <v>36.54</v>
      </c>
      <c r="D186">
        <v>350.538518</v>
      </c>
      <c r="E186" t="s">
        <v>666</v>
      </c>
      <c r="F186" t="s">
        <v>631</v>
      </c>
      <c r="G186" t="s">
        <v>671</v>
      </c>
      <c r="H186" t="s">
        <v>701</v>
      </c>
      <c r="I186" t="s">
        <v>889</v>
      </c>
      <c r="J186" t="s">
        <v>1314</v>
      </c>
      <c r="K186">
        <v>43978</v>
      </c>
      <c r="L186">
        <v>0.026517928286852</v>
      </c>
      <c r="M186">
        <v>-0.01430608663533295</v>
      </c>
      <c r="N186">
        <v>0.036</v>
      </c>
      <c r="O186">
        <v>0.04733861648345772</v>
      </c>
      <c r="P186" t="s">
        <v>636</v>
      </c>
      <c r="Q186" t="s">
        <v>381</v>
      </c>
      <c r="R186">
        <v>25</v>
      </c>
      <c r="S186">
        <v>0.5942857142857143</v>
      </c>
      <c r="T186">
        <v>34</v>
      </c>
      <c r="U186">
        <v>1.074705882352941</v>
      </c>
      <c r="V186">
        <v>1.7417</v>
      </c>
      <c r="W186">
        <v>1.68</v>
      </c>
      <c r="X186">
        <v>0.9984000000000001</v>
      </c>
      <c r="Y186">
        <v>0.043044</v>
      </c>
      <c r="Z186">
        <v>0.3698175787728026</v>
      </c>
      <c r="AA186">
        <v>0.681159420289855</v>
      </c>
      <c r="AB186">
        <v>0.3271704180064309</v>
      </c>
      <c r="AC186">
        <v>0.5610932475884244</v>
      </c>
      <c r="AD186">
        <v>0.3971061093247589</v>
      </c>
    </row>
    <row r="187" spans="1:30">
      <c r="A187" s="1" t="s">
        <v>194</v>
      </c>
      <c r="B187">
        <f>HYPERLINK("https://www.suredividend.com/sure-analysis-NEP/","NextEra Energy Partners LP")</f>
        <v>0</v>
      </c>
      <c r="C187">
        <v>61.8</v>
      </c>
      <c r="D187">
        <v>10610.90537</v>
      </c>
      <c r="E187" t="s">
        <v>666</v>
      </c>
      <c r="F187" t="s">
        <v>632</v>
      </c>
      <c r="G187" t="s">
        <v>671</v>
      </c>
      <c r="H187" t="s">
        <v>702</v>
      </c>
      <c r="I187" t="s">
        <v>890</v>
      </c>
      <c r="J187" t="s">
        <v>1314</v>
      </c>
      <c r="K187">
        <v>44007</v>
      </c>
      <c r="L187">
        <v>0.033202202989771</v>
      </c>
      <c r="M187">
        <v>-0.03025515665154643</v>
      </c>
      <c r="N187">
        <v>0.04</v>
      </c>
      <c r="O187">
        <v>0.04616229107093539</v>
      </c>
      <c r="P187" t="s">
        <v>636</v>
      </c>
      <c r="Q187" t="s">
        <v>636</v>
      </c>
      <c r="R187">
        <v>5</v>
      </c>
      <c r="S187">
        <v>0.3201820940819423</v>
      </c>
      <c r="T187">
        <v>53</v>
      </c>
      <c r="U187">
        <v>1.166037735849057</v>
      </c>
      <c r="V187">
        <v>-3.3332</v>
      </c>
      <c r="W187">
        <v>6.59</v>
      </c>
      <c r="X187">
        <v>2.11</v>
      </c>
      <c r="Y187">
        <v>0.2803</v>
      </c>
      <c r="Z187">
        <v>0.4809286898839137</v>
      </c>
      <c r="AA187">
        <v>0.8743961352657004</v>
      </c>
      <c r="AB187">
        <v>0.3858520900321543</v>
      </c>
      <c r="AC187">
        <v>0.4646302250803858</v>
      </c>
      <c r="AD187">
        <v>0.3858520900321543</v>
      </c>
    </row>
    <row r="188" spans="1:30">
      <c r="A188" s="1" t="s">
        <v>195</v>
      </c>
      <c r="B188">
        <f>HYPERLINK("https://www.suredividend.com/sure-analysis-AEP/","American Electric Power Co., Inc.")</f>
        <v>0</v>
      </c>
      <c r="C188">
        <v>83.29000000000001</v>
      </c>
      <c r="D188">
        <v>42639.5607</v>
      </c>
      <c r="E188" t="s">
        <v>666</v>
      </c>
      <c r="F188" t="s">
        <v>631</v>
      </c>
      <c r="G188" t="s">
        <v>671</v>
      </c>
      <c r="H188" t="s">
        <v>702</v>
      </c>
      <c r="I188" t="s">
        <v>891</v>
      </c>
      <c r="J188" t="s">
        <v>1314</v>
      </c>
      <c r="K188">
        <v>43998</v>
      </c>
      <c r="L188">
        <v>0.03258087037468</v>
      </c>
      <c r="M188">
        <v>-0.03142535216122777</v>
      </c>
      <c r="N188">
        <v>0.045</v>
      </c>
      <c r="O188">
        <v>0.04590740528799508</v>
      </c>
      <c r="P188" t="s">
        <v>636</v>
      </c>
      <c r="Q188" t="s">
        <v>381</v>
      </c>
      <c r="R188">
        <v>16</v>
      </c>
      <c r="S188">
        <v>0.6682577565632457</v>
      </c>
      <c r="T188">
        <v>71</v>
      </c>
      <c r="U188">
        <v>1.173098591549296</v>
      </c>
      <c r="V188">
        <v>3.848</v>
      </c>
      <c r="W188">
        <v>4.19</v>
      </c>
      <c r="X188">
        <v>2.8</v>
      </c>
      <c r="Y188">
        <v>-0.0359</v>
      </c>
      <c r="Z188">
        <v>0.4610281923714759</v>
      </c>
      <c r="AA188">
        <v>0.5813204508856683</v>
      </c>
      <c r="AB188">
        <v>0.4429260450160772</v>
      </c>
      <c r="AC188">
        <v>0.454983922829582</v>
      </c>
      <c r="AD188">
        <v>0.3826366559485531</v>
      </c>
    </row>
    <row r="189" spans="1:30">
      <c r="A189" s="1" t="s">
        <v>196</v>
      </c>
      <c r="B189">
        <f>HYPERLINK("https://www.suredividend.com/sure-analysis-PEG/","Public Service Enterprise Group, Inc.")</f>
        <v>0</v>
      </c>
      <c r="C189">
        <v>54.48</v>
      </c>
      <c r="D189">
        <v>27993.5946</v>
      </c>
      <c r="E189" t="s">
        <v>668</v>
      </c>
      <c r="F189" t="s">
        <v>631</v>
      </c>
      <c r="G189" t="s">
        <v>671</v>
      </c>
      <c r="H189" t="s">
        <v>702</v>
      </c>
      <c r="I189" t="s">
        <v>892</v>
      </c>
      <c r="J189" t="s">
        <v>1314</v>
      </c>
      <c r="K189">
        <v>43997</v>
      </c>
      <c r="L189">
        <v>0.034688346883468</v>
      </c>
      <c r="M189">
        <v>-0.02097947631718944</v>
      </c>
      <c r="N189">
        <v>0.03</v>
      </c>
      <c r="O189">
        <v>0.04481473897740984</v>
      </c>
      <c r="P189" t="s">
        <v>636</v>
      </c>
      <c r="Q189" t="s">
        <v>636</v>
      </c>
      <c r="R189">
        <v>9</v>
      </c>
      <c r="S189">
        <v>0.5647058823529412</v>
      </c>
      <c r="T189">
        <v>49</v>
      </c>
      <c r="U189">
        <v>1.111836734693878</v>
      </c>
      <c r="V189">
        <v>3.4504</v>
      </c>
      <c r="W189">
        <v>3.4</v>
      </c>
      <c r="X189">
        <v>1.92</v>
      </c>
      <c r="Y189">
        <v>-0.037697</v>
      </c>
      <c r="Z189">
        <v>0.4991708126036485</v>
      </c>
      <c r="AA189">
        <v>0.5797101449275363</v>
      </c>
      <c r="AB189">
        <v>0.2540192926045016</v>
      </c>
      <c r="AC189">
        <v>0.5209003215434084</v>
      </c>
      <c r="AD189">
        <v>0.3713826366559486</v>
      </c>
    </row>
    <row r="190" spans="1:30">
      <c r="A190" s="1" t="s">
        <v>197</v>
      </c>
      <c r="B190">
        <f>HYPERLINK("https://www.suredividend.com/sure-analysis-XYL/","Xylem, Inc.")</f>
        <v>0</v>
      </c>
      <c r="C190">
        <v>80.3</v>
      </c>
      <c r="D190">
        <v>14216.761</v>
      </c>
      <c r="E190" t="s">
        <v>659</v>
      </c>
      <c r="F190" t="s">
        <v>631</v>
      </c>
      <c r="G190" t="s">
        <v>671</v>
      </c>
      <c r="H190" t="s">
        <v>702</v>
      </c>
      <c r="I190" t="s">
        <v>893</v>
      </c>
      <c r="J190" t="s">
        <v>1315</v>
      </c>
      <c r="K190">
        <v>44052</v>
      </c>
      <c r="L190">
        <v>0.012658227848101</v>
      </c>
      <c r="M190">
        <v>-0.05661896555894774</v>
      </c>
      <c r="N190">
        <v>0.09</v>
      </c>
      <c r="O190">
        <v>0.0431978423591175</v>
      </c>
      <c r="P190" t="s">
        <v>636</v>
      </c>
      <c r="Q190" t="s">
        <v>420</v>
      </c>
      <c r="R190">
        <v>7</v>
      </c>
      <c r="S190">
        <v>0.4761904761904762</v>
      </c>
      <c r="T190">
        <v>60</v>
      </c>
      <c r="U190">
        <v>1.338333333333333</v>
      </c>
      <c r="V190">
        <v>1.3992</v>
      </c>
      <c r="W190">
        <v>2.1</v>
      </c>
      <c r="X190">
        <v>1</v>
      </c>
      <c r="Y190">
        <v>-0.0007769999999999999</v>
      </c>
      <c r="Z190">
        <v>0.1144278606965174</v>
      </c>
      <c r="AA190">
        <v>0.6280193236714976</v>
      </c>
      <c r="AB190">
        <v>0.8657556270096463</v>
      </c>
      <c r="AC190">
        <v>0.2829581993569132</v>
      </c>
      <c r="AD190">
        <v>0.3617363344051447</v>
      </c>
    </row>
    <row r="191" spans="1:30">
      <c r="A191" s="1" t="s">
        <v>198</v>
      </c>
      <c r="B191">
        <f>HYPERLINK("https://www.suredividend.com/sure-analysis-SAP/","SAP SE")</f>
        <v>0</v>
      </c>
      <c r="C191">
        <v>159.15</v>
      </c>
      <c r="D191">
        <v>188311.344</v>
      </c>
      <c r="E191" t="s">
        <v>659</v>
      </c>
      <c r="F191" t="s">
        <v>631</v>
      </c>
      <c r="G191" t="s">
        <v>678</v>
      </c>
      <c r="H191" t="s">
        <v>702</v>
      </c>
      <c r="I191" t="s">
        <v>894</v>
      </c>
      <c r="J191" t="s">
        <v>1318</v>
      </c>
      <c r="K191">
        <v>44041</v>
      </c>
      <c r="L191">
        <v>0.010860060135304</v>
      </c>
      <c r="M191">
        <v>-0.05490618585591678</v>
      </c>
      <c r="N191">
        <v>0.09</v>
      </c>
      <c r="O191">
        <v>0.04213407997019791</v>
      </c>
      <c r="P191" t="s">
        <v>636</v>
      </c>
      <c r="Q191" t="s">
        <v>420</v>
      </c>
      <c r="R191">
        <v>5</v>
      </c>
      <c r="S191">
        <v>0.28895</v>
      </c>
      <c r="T191">
        <v>120</v>
      </c>
      <c r="U191">
        <v>1.32625</v>
      </c>
      <c r="V191">
        <v>4.2341</v>
      </c>
      <c r="W191">
        <v>6</v>
      </c>
      <c r="X191">
        <v>1.7337</v>
      </c>
      <c r="Y191">
        <v>0.326284</v>
      </c>
      <c r="Z191">
        <v>0.087893864013267</v>
      </c>
      <c r="AA191">
        <v>0.8969404186795491</v>
      </c>
      <c r="AB191">
        <v>0.8657556270096463</v>
      </c>
      <c r="AC191">
        <v>0.2926045016077171</v>
      </c>
      <c r="AD191">
        <v>0.3536977491961414</v>
      </c>
    </row>
    <row r="192" spans="1:30">
      <c r="A192" s="1" t="s">
        <v>199</v>
      </c>
      <c r="B192">
        <f>HYPERLINK("https://www.suredividend.com/sure-analysis-AOS/","A. O. Smith Corp.")</f>
        <v>0</v>
      </c>
      <c r="C192">
        <v>49.77</v>
      </c>
      <c r="D192">
        <v>6607.65375</v>
      </c>
      <c r="E192" t="s">
        <v>659</v>
      </c>
      <c r="F192" t="s">
        <v>631</v>
      </c>
      <c r="G192" t="s">
        <v>671</v>
      </c>
      <c r="H192" t="s">
        <v>702</v>
      </c>
      <c r="I192" t="s">
        <v>895</v>
      </c>
      <c r="J192" t="s">
        <v>1315</v>
      </c>
      <c r="K192">
        <v>43973</v>
      </c>
      <c r="L192">
        <v>0.019258348699037</v>
      </c>
      <c r="M192">
        <v>-0.03802620155713565</v>
      </c>
      <c r="N192">
        <v>0.06</v>
      </c>
      <c r="O192">
        <v>0.04135472782112082</v>
      </c>
      <c r="P192" t="s">
        <v>636</v>
      </c>
      <c r="Q192" t="s">
        <v>381</v>
      </c>
      <c r="R192">
        <v>26</v>
      </c>
      <c r="S192">
        <v>0.5222222222222223</v>
      </c>
      <c r="T192">
        <v>41</v>
      </c>
      <c r="U192">
        <v>1.21390243902439</v>
      </c>
      <c r="V192">
        <v>1.8336</v>
      </c>
      <c r="W192">
        <v>1.8</v>
      </c>
      <c r="X192">
        <v>0.9400000000000001</v>
      </c>
      <c r="Y192">
        <v>0.065345</v>
      </c>
      <c r="Z192">
        <v>0.2520729684908789</v>
      </c>
      <c r="AA192">
        <v>0.7053140096618357</v>
      </c>
      <c r="AB192">
        <v>0.6430868167202572</v>
      </c>
      <c r="AC192">
        <v>0.4131832797427653</v>
      </c>
      <c r="AD192">
        <v>0.3456591639871383</v>
      </c>
    </row>
    <row r="193" spans="1:30">
      <c r="A193" s="1" t="s">
        <v>200</v>
      </c>
      <c r="B193">
        <f>HYPERLINK("https://www.suredividend.com/sure-analysis-HON/","Honeywell International, Inc.")</f>
        <v>0</v>
      </c>
      <c r="C193">
        <v>160.28</v>
      </c>
      <c r="D193">
        <v>111885.26369</v>
      </c>
      <c r="E193" t="s">
        <v>665</v>
      </c>
      <c r="F193" t="s">
        <v>631</v>
      </c>
      <c r="G193" t="s">
        <v>671</v>
      </c>
      <c r="H193" t="s">
        <v>702</v>
      </c>
      <c r="I193" t="s">
        <v>896</v>
      </c>
      <c r="J193" t="s">
        <v>1315</v>
      </c>
      <c r="K193">
        <v>44036</v>
      </c>
      <c r="L193">
        <v>0.022078655209182</v>
      </c>
      <c r="M193">
        <v>-0.06917564561639133</v>
      </c>
      <c r="N193">
        <v>0.09</v>
      </c>
      <c r="O193">
        <v>0.04085970183431509</v>
      </c>
      <c r="P193" t="s">
        <v>636</v>
      </c>
      <c r="Q193" t="s">
        <v>381</v>
      </c>
      <c r="R193">
        <v>10</v>
      </c>
      <c r="S193">
        <v>0.5021398002853067</v>
      </c>
      <c r="T193">
        <v>112</v>
      </c>
      <c r="U193">
        <v>1.431071428571429</v>
      </c>
      <c r="V193">
        <v>8.2196</v>
      </c>
      <c r="W193">
        <v>7.01</v>
      </c>
      <c r="X193">
        <v>3.52</v>
      </c>
      <c r="Y193">
        <v>-0.071253</v>
      </c>
      <c r="Z193">
        <v>0.3001658374792703</v>
      </c>
      <c r="AA193">
        <v>0.533011272141707</v>
      </c>
      <c r="AB193">
        <v>0.8657556270096463</v>
      </c>
      <c r="AC193">
        <v>0.2122186495176849</v>
      </c>
      <c r="AD193">
        <v>0.3440514469453376</v>
      </c>
    </row>
    <row r="194" spans="1:30">
      <c r="A194" s="1" t="s">
        <v>201</v>
      </c>
      <c r="B194">
        <f>HYPERLINK("https://www.suredividend.com/sure-analysis-UBSI/","United Bankshares, Inc. (West Virginia)")</f>
        <v>0</v>
      </c>
      <c r="C194">
        <v>29.18</v>
      </c>
      <c r="D194">
        <v>3761.59745</v>
      </c>
      <c r="E194" t="s">
        <v>663</v>
      </c>
      <c r="F194" t="s">
        <v>631</v>
      </c>
      <c r="G194" t="s">
        <v>671</v>
      </c>
      <c r="H194" t="s">
        <v>701</v>
      </c>
      <c r="I194" t="s">
        <v>897</v>
      </c>
      <c r="J194" t="s">
        <v>1312</v>
      </c>
      <c r="K194">
        <v>44050</v>
      </c>
      <c r="L194">
        <v>0.04794756812694</v>
      </c>
      <c r="M194">
        <v>-0.03044836242069515</v>
      </c>
      <c r="N194">
        <v>0.02</v>
      </c>
      <c r="O194">
        <v>0.0373144343619829</v>
      </c>
      <c r="P194" t="s">
        <v>636</v>
      </c>
      <c r="Q194" t="s">
        <v>635</v>
      </c>
      <c r="R194">
        <v>46</v>
      </c>
      <c r="S194">
        <v>0.6619047619047619</v>
      </c>
      <c r="T194">
        <v>25</v>
      </c>
      <c r="U194">
        <v>1.1672</v>
      </c>
      <c r="V194">
        <v>2.1076</v>
      </c>
      <c r="W194">
        <v>2.1</v>
      </c>
      <c r="X194">
        <v>1.39</v>
      </c>
      <c r="Y194">
        <v>-0.217594</v>
      </c>
      <c r="Z194">
        <v>0.6666666666666667</v>
      </c>
      <c r="AA194">
        <v>0.3301127214170693</v>
      </c>
      <c r="AB194">
        <v>0.157556270096463</v>
      </c>
      <c r="AC194">
        <v>0.4630225080385852</v>
      </c>
      <c r="AD194">
        <v>0.3215434083601286</v>
      </c>
    </row>
    <row r="195" spans="1:30">
      <c r="A195" s="1" t="s">
        <v>202</v>
      </c>
      <c r="B195">
        <f>HYPERLINK("https://www.suredividend.com/sure-analysis-K/","Kellogg Co.")</f>
        <v>0</v>
      </c>
      <c r="C195">
        <v>68.13</v>
      </c>
      <c r="D195">
        <v>23668.26938</v>
      </c>
      <c r="E195" t="s">
        <v>663</v>
      </c>
      <c r="F195" t="s">
        <v>631</v>
      </c>
      <c r="G195" t="s">
        <v>671</v>
      </c>
      <c r="H195" t="s">
        <v>702</v>
      </c>
      <c r="I195" t="s">
        <v>898</v>
      </c>
      <c r="J195" t="s">
        <v>1320</v>
      </c>
      <c r="K195">
        <v>44050</v>
      </c>
      <c r="L195">
        <v>0.033033903216459</v>
      </c>
      <c r="M195">
        <v>-0.02836595290898114</v>
      </c>
      <c r="N195">
        <v>0.03</v>
      </c>
      <c r="O195">
        <v>0.03579685026905444</v>
      </c>
      <c r="P195" t="s">
        <v>636</v>
      </c>
      <c r="Q195" t="s">
        <v>636</v>
      </c>
      <c r="R195">
        <v>16</v>
      </c>
      <c r="S195">
        <v>0.5846153846153846</v>
      </c>
      <c r="T195">
        <v>59</v>
      </c>
      <c r="U195">
        <v>1.154745762711864</v>
      </c>
      <c r="V195">
        <v>3.1875</v>
      </c>
      <c r="W195">
        <v>3.9</v>
      </c>
      <c r="X195">
        <v>2.28</v>
      </c>
      <c r="Y195">
        <v>0.112498</v>
      </c>
      <c r="Z195">
        <v>0.4742951907131012</v>
      </c>
      <c r="AA195">
        <v>0.7552334943639292</v>
      </c>
      <c r="AB195">
        <v>0.2540192926045016</v>
      </c>
      <c r="AC195">
        <v>0.4807073954983923</v>
      </c>
      <c r="AD195">
        <v>0.3118971061093248</v>
      </c>
    </row>
    <row r="196" spans="1:30">
      <c r="A196" s="1" t="s">
        <v>203</v>
      </c>
      <c r="B196">
        <f>HYPERLINK("https://www.suredividend.com/sure-analysis-WHR/","Whirlpool Corp.")</f>
        <v>0</v>
      </c>
      <c r="C196">
        <v>176.33</v>
      </c>
      <c r="D196">
        <v>11024.133786</v>
      </c>
      <c r="E196" t="s">
        <v>661</v>
      </c>
      <c r="F196" t="s">
        <v>631</v>
      </c>
      <c r="G196" t="s">
        <v>671</v>
      </c>
      <c r="H196" t="s">
        <v>702</v>
      </c>
      <c r="I196" t="s">
        <v>899</v>
      </c>
      <c r="J196" t="s">
        <v>1313</v>
      </c>
      <c r="K196">
        <v>44042</v>
      </c>
      <c r="L196">
        <v>0.027123241227326</v>
      </c>
      <c r="M196">
        <v>-0.07408523899882336</v>
      </c>
      <c r="N196">
        <v>0.09</v>
      </c>
      <c r="O196">
        <v>0.03568144288770969</v>
      </c>
      <c r="P196" t="s">
        <v>636</v>
      </c>
      <c r="Q196" t="s">
        <v>636</v>
      </c>
      <c r="R196">
        <v>10</v>
      </c>
      <c r="S196">
        <v>0.4</v>
      </c>
      <c r="T196">
        <v>120</v>
      </c>
      <c r="U196">
        <v>1.469416666666667</v>
      </c>
      <c r="V196">
        <v>13.16</v>
      </c>
      <c r="W196">
        <v>12</v>
      </c>
      <c r="X196">
        <v>4.8</v>
      </c>
      <c r="Y196">
        <v>0.219804</v>
      </c>
      <c r="Z196">
        <v>0.3830845771144278</v>
      </c>
      <c r="AA196">
        <v>0.8325281803542672</v>
      </c>
      <c r="AB196">
        <v>0.8657556270096463</v>
      </c>
      <c r="AC196">
        <v>0.1929260450160772</v>
      </c>
      <c r="AD196">
        <v>0.3102893890675241</v>
      </c>
    </row>
    <row r="197" spans="1:30">
      <c r="A197" s="1" t="s">
        <v>204</v>
      </c>
      <c r="B197">
        <f>HYPERLINK("https://www.suredividend.com/sure-analysis-HSY/","The Hershey Co.")</f>
        <v>0</v>
      </c>
      <c r="C197">
        <v>142.51</v>
      </c>
      <c r="D197">
        <v>29938.638066</v>
      </c>
      <c r="E197" t="s">
        <v>661</v>
      </c>
      <c r="F197" t="s">
        <v>631</v>
      </c>
      <c r="G197" t="s">
        <v>671</v>
      </c>
      <c r="H197" t="s">
        <v>702</v>
      </c>
      <c r="I197" t="s">
        <v>900</v>
      </c>
      <c r="J197" t="s">
        <v>1320</v>
      </c>
      <c r="K197">
        <v>44042</v>
      </c>
      <c r="L197">
        <v>0.02148415786548</v>
      </c>
      <c r="M197">
        <v>-0.04704029670543886</v>
      </c>
      <c r="N197">
        <v>0.06</v>
      </c>
      <c r="O197">
        <v>0.03480341655386709</v>
      </c>
      <c r="P197" t="s">
        <v>636</v>
      </c>
      <c r="Q197" t="s">
        <v>381</v>
      </c>
      <c r="R197">
        <v>10</v>
      </c>
      <c r="S197">
        <v>0.5240677966101694</v>
      </c>
      <c r="T197">
        <v>112</v>
      </c>
      <c r="U197">
        <v>1.272410714285714</v>
      </c>
      <c r="V197">
        <v>5.13</v>
      </c>
      <c r="W197">
        <v>5.9</v>
      </c>
      <c r="X197">
        <v>3.092</v>
      </c>
      <c r="Y197">
        <v>-0.06890099999999999</v>
      </c>
      <c r="Z197">
        <v>0.2951907131011609</v>
      </c>
      <c r="AA197">
        <v>0.5394524959742352</v>
      </c>
      <c r="AB197">
        <v>0.6430868167202572</v>
      </c>
      <c r="AC197">
        <v>0.3456591639871383</v>
      </c>
      <c r="AD197">
        <v>0.3054662379421222</v>
      </c>
    </row>
    <row r="198" spans="1:30">
      <c r="A198" s="1" t="s">
        <v>205</v>
      </c>
      <c r="B198">
        <f>HYPERLINK("https://www.suredividend.com/sure-analysis-AJG/","Arthur J. Gallagher &amp; Co.")</f>
        <v>0</v>
      </c>
      <c r="C198">
        <v>107.37</v>
      </c>
      <c r="D198">
        <v>20574.76</v>
      </c>
      <c r="E198" t="s">
        <v>663</v>
      </c>
      <c r="F198" t="s">
        <v>631</v>
      </c>
      <c r="G198" t="s">
        <v>671</v>
      </c>
      <c r="H198" t="s">
        <v>702</v>
      </c>
      <c r="I198" t="s">
        <v>901</v>
      </c>
      <c r="J198" t="s">
        <v>1312</v>
      </c>
      <c r="K198">
        <v>44047</v>
      </c>
      <c r="L198">
        <v>0.016381236038719</v>
      </c>
      <c r="M198">
        <v>-0.04120168991839601</v>
      </c>
      <c r="N198">
        <v>0.06</v>
      </c>
      <c r="O198">
        <v>0.03395050867273586</v>
      </c>
      <c r="P198" t="s">
        <v>636</v>
      </c>
      <c r="Q198" t="s">
        <v>420</v>
      </c>
      <c r="R198">
        <v>10</v>
      </c>
      <c r="S198">
        <v>0.4045977011494253</v>
      </c>
      <c r="T198">
        <v>87</v>
      </c>
      <c r="U198">
        <v>1.234137931034483</v>
      </c>
      <c r="V198">
        <v>3.8446</v>
      </c>
      <c r="W198">
        <v>4.35</v>
      </c>
      <c r="X198">
        <v>1.76</v>
      </c>
      <c r="Y198">
        <v>0.184146</v>
      </c>
      <c r="Z198">
        <v>0.175787728026534</v>
      </c>
      <c r="AA198">
        <v>0.8132045088566828</v>
      </c>
      <c r="AB198">
        <v>0.6430868167202572</v>
      </c>
      <c r="AC198">
        <v>0.3971061093247589</v>
      </c>
      <c r="AD198">
        <v>0.2942122186495177</v>
      </c>
    </row>
    <row r="199" spans="1:30">
      <c r="A199" s="1" t="s">
        <v>206</v>
      </c>
      <c r="B199">
        <f>HYPERLINK("https://www.suredividend.com/sure-analysis-NSC/","Norfolk Southern Corp.")</f>
        <v>0</v>
      </c>
      <c r="C199">
        <v>206.08</v>
      </c>
      <c r="D199">
        <v>52169.7905</v>
      </c>
      <c r="E199" t="s">
        <v>659</v>
      </c>
      <c r="F199" t="s">
        <v>631</v>
      </c>
      <c r="G199" t="s">
        <v>671</v>
      </c>
      <c r="H199" t="s">
        <v>702</v>
      </c>
      <c r="I199" t="s">
        <v>902</v>
      </c>
      <c r="J199" t="s">
        <v>1315</v>
      </c>
      <c r="K199">
        <v>44042</v>
      </c>
      <c r="L199">
        <v>0.018386308068459</v>
      </c>
      <c r="M199">
        <v>-0.04935837301253376</v>
      </c>
      <c r="N199">
        <v>0.065</v>
      </c>
      <c r="O199">
        <v>0.03352920262649661</v>
      </c>
      <c r="P199" t="s">
        <v>636</v>
      </c>
      <c r="Q199" t="s">
        <v>420</v>
      </c>
      <c r="R199">
        <v>3</v>
      </c>
      <c r="S199">
        <v>0.4423529411764706</v>
      </c>
      <c r="T199">
        <v>160</v>
      </c>
      <c r="U199">
        <v>1.288</v>
      </c>
      <c r="V199">
        <v>8.0746</v>
      </c>
      <c r="W199">
        <v>8.5</v>
      </c>
      <c r="X199">
        <v>3.76</v>
      </c>
      <c r="Y199">
        <v>0.102377</v>
      </c>
      <c r="Z199">
        <v>0.230514096185738</v>
      </c>
      <c r="AA199">
        <v>0.750402576489533</v>
      </c>
      <c r="AB199">
        <v>0.6945337620578778</v>
      </c>
      <c r="AC199">
        <v>0.3295819935691318</v>
      </c>
      <c r="AD199">
        <v>0.2909967845659164</v>
      </c>
    </row>
    <row r="200" spans="1:30">
      <c r="A200" s="1" t="s">
        <v>207</v>
      </c>
      <c r="B200">
        <f>HYPERLINK("https://www.suredividend.com/sure-analysis-UVV/","Universal Corp.")</f>
        <v>0</v>
      </c>
      <c r="C200">
        <v>45.44</v>
      </c>
      <c r="D200">
        <v>1106.9028</v>
      </c>
      <c r="E200" t="s">
        <v>659</v>
      </c>
      <c r="F200" t="s">
        <v>631</v>
      </c>
      <c r="G200" t="s">
        <v>671</v>
      </c>
      <c r="H200" t="s">
        <v>702</v>
      </c>
      <c r="I200" t="s">
        <v>903</v>
      </c>
      <c r="J200" t="s">
        <v>1320</v>
      </c>
      <c r="K200">
        <v>43983</v>
      </c>
      <c r="L200">
        <v>0.067477876106194</v>
      </c>
      <c r="M200">
        <v>-0.05086946766329181</v>
      </c>
      <c r="N200">
        <v>0.015</v>
      </c>
      <c r="O200">
        <v>0.03351225730202523</v>
      </c>
      <c r="P200" t="s">
        <v>636</v>
      </c>
      <c r="Q200" t="s">
        <v>635</v>
      </c>
      <c r="R200">
        <v>49</v>
      </c>
      <c r="S200">
        <v>0.9531249999999999</v>
      </c>
      <c r="T200">
        <v>35</v>
      </c>
      <c r="U200">
        <v>1.298285714285714</v>
      </c>
      <c r="V200">
        <v>3.0852</v>
      </c>
      <c r="W200">
        <v>3.2</v>
      </c>
      <c r="X200">
        <v>3.05</v>
      </c>
      <c r="Y200">
        <v>-0.172414</v>
      </c>
      <c r="Z200">
        <v>0.7993366500829187</v>
      </c>
      <c r="AA200">
        <v>0.3961352657004831</v>
      </c>
      <c r="AB200">
        <v>0.1101286173633441</v>
      </c>
      <c r="AC200">
        <v>0.3183279742765273</v>
      </c>
      <c r="AD200">
        <v>0.2893890675241158</v>
      </c>
    </row>
    <row r="201" spans="1:30">
      <c r="A201" s="1" t="s">
        <v>208</v>
      </c>
      <c r="B201">
        <f>HYPERLINK("https://www.suredividend.com/sure-analysis-SNA/","Snap-On, Inc.")</f>
        <v>0</v>
      </c>
      <c r="C201">
        <v>153.88</v>
      </c>
      <c r="D201">
        <v>8174.831958</v>
      </c>
      <c r="E201" t="s">
        <v>663</v>
      </c>
      <c r="F201" t="s">
        <v>631</v>
      </c>
      <c r="G201" t="s">
        <v>671</v>
      </c>
      <c r="H201" t="s">
        <v>702</v>
      </c>
      <c r="I201" t="s">
        <v>904</v>
      </c>
      <c r="J201" t="s">
        <v>1315</v>
      </c>
      <c r="K201">
        <v>44046</v>
      </c>
      <c r="L201">
        <v>0.027916583383303</v>
      </c>
      <c r="M201">
        <v>0.0001559170597085213</v>
      </c>
      <c r="N201">
        <v>0</v>
      </c>
      <c r="O201">
        <v>0.03342864576488092</v>
      </c>
      <c r="P201" t="s">
        <v>636</v>
      </c>
      <c r="Q201" t="s">
        <v>381</v>
      </c>
      <c r="R201">
        <v>10</v>
      </c>
      <c r="S201">
        <v>0.452972972972973</v>
      </c>
      <c r="T201">
        <v>154</v>
      </c>
      <c r="U201">
        <v>0.9992207792207792</v>
      </c>
      <c r="V201">
        <v>10.4898</v>
      </c>
      <c r="W201">
        <v>9.25</v>
      </c>
      <c r="X201">
        <v>4.19</v>
      </c>
      <c r="Y201">
        <v>-0.046417</v>
      </c>
      <c r="Z201">
        <v>0.3996683250414593</v>
      </c>
      <c r="AA201">
        <v>0.5700483091787439</v>
      </c>
      <c r="AB201">
        <v>0.04662379421221865</v>
      </c>
      <c r="AC201">
        <v>0.6543408360128617</v>
      </c>
      <c r="AD201">
        <v>0.2877813504823151</v>
      </c>
    </row>
    <row r="202" spans="1:30">
      <c r="A202" s="1" t="s">
        <v>209</v>
      </c>
      <c r="B202">
        <f>HYPERLINK("https://www.suredividend.com/sure-analysis-BAH/","Booz Allen Hamilton Holding Corp.")</f>
        <v>0</v>
      </c>
      <c r="C202">
        <v>86.04000000000001</v>
      </c>
      <c r="D202">
        <v>11666.31732</v>
      </c>
      <c r="E202" t="s">
        <v>660</v>
      </c>
      <c r="F202" t="s">
        <v>631</v>
      </c>
      <c r="G202" t="s">
        <v>671</v>
      </c>
      <c r="H202" t="s">
        <v>702</v>
      </c>
      <c r="I202" t="s">
        <v>905</v>
      </c>
      <c r="J202" t="s">
        <v>1315</v>
      </c>
      <c r="K202">
        <v>44000</v>
      </c>
      <c r="L202">
        <v>0.013229388140798</v>
      </c>
      <c r="M202">
        <v>-0.06043240568537556</v>
      </c>
      <c r="N202">
        <v>0.08</v>
      </c>
      <c r="O202">
        <v>0.03340331483665393</v>
      </c>
      <c r="P202" t="s">
        <v>636</v>
      </c>
      <c r="Q202" t="s">
        <v>420</v>
      </c>
      <c r="R202">
        <v>8</v>
      </c>
      <c r="S202">
        <v>0.32</v>
      </c>
      <c r="T202">
        <v>63</v>
      </c>
      <c r="U202">
        <v>1.365714285714286</v>
      </c>
      <c r="V202">
        <v>3.5398</v>
      </c>
      <c r="W202">
        <v>3.5</v>
      </c>
      <c r="X202">
        <v>1.12</v>
      </c>
      <c r="Y202">
        <v>0.171903</v>
      </c>
      <c r="Z202">
        <v>0.1243781094527363</v>
      </c>
      <c r="AA202">
        <v>0.7971014492753623</v>
      </c>
      <c r="AB202">
        <v>0.8135048231511255</v>
      </c>
      <c r="AC202">
        <v>0.2620578778135048</v>
      </c>
      <c r="AD202">
        <v>0.2861736334405145</v>
      </c>
    </row>
    <row r="203" spans="1:30">
      <c r="A203" s="1" t="s">
        <v>210</v>
      </c>
      <c r="B203">
        <f>HYPERLINK("https://www.suredividend.com/sure-analysis-HD/","The Home Depot, Inc.")</f>
        <v>0</v>
      </c>
      <c r="C203">
        <v>274.92</v>
      </c>
      <c r="D203">
        <v>295477.6096</v>
      </c>
      <c r="E203" t="s">
        <v>667</v>
      </c>
      <c r="F203" t="s">
        <v>631</v>
      </c>
      <c r="G203" t="s">
        <v>671</v>
      </c>
      <c r="H203" t="s">
        <v>702</v>
      </c>
      <c r="I203" t="s">
        <v>906</v>
      </c>
      <c r="J203" t="s">
        <v>1313</v>
      </c>
      <c r="K203">
        <v>43993</v>
      </c>
      <c r="L203">
        <v>0.020310850653368</v>
      </c>
      <c r="M203">
        <v>-0.05792654569992917</v>
      </c>
      <c r="N203">
        <v>0.07000000000000001</v>
      </c>
      <c r="O203">
        <v>0.03279360844385559</v>
      </c>
      <c r="P203" t="s">
        <v>636</v>
      </c>
      <c r="Q203" t="s">
        <v>420</v>
      </c>
      <c r="R203">
        <v>11</v>
      </c>
      <c r="S203">
        <v>0.5619335347432024</v>
      </c>
      <c r="T203">
        <v>204</v>
      </c>
      <c r="U203">
        <v>1.347647058823529</v>
      </c>
      <c r="V203">
        <v>10.103</v>
      </c>
      <c r="W203">
        <v>9.93</v>
      </c>
      <c r="X203">
        <v>5.58</v>
      </c>
      <c r="Y203">
        <v>0.283925</v>
      </c>
      <c r="Z203">
        <v>0.2736318407960199</v>
      </c>
      <c r="AA203">
        <v>0.8792270531400966</v>
      </c>
      <c r="AB203">
        <v>0.7355305466237942</v>
      </c>
      <c r="AC203">
        <v>0.2765273311897106</v>
      </c>
      <c r="AD203">
        <v>0.2813504823151126</v>
      </c>
    </row>
    <row r="204" spans="1:30">
      <c r="A204" s="1" t="s">
        <v>211</v>
      </c>
      <c r="B204">
        <f>HYPERLINK("https://www.suredividend.com/sure-analysis-IFF/","International Flavors &amp; Fragrances, Inc.")</f>
        <v>0</v>
      </c>
      <c r="C204">
        <v>125.29</v>
      </c>
      <c r="D204">
        <v>13959.9726</v>
      </c>
      <c r="E204" t="s">
        <v>660</v>
      </c>
      <c r="F204" t="s">
        <v>631</v>
      </c>
      <c r="G204" t="s">
        <v>671</v>
      </c>
      <c r="H204" t="s">
        <v>702</v>
      </c>
      <c r="I204" t="s">
        <v>907</v>
      </c>
      <c r="J204" t="s">
        <v>1321</v>
      </c>
      <c r="K204">
        <v>43971</v>
      </c>
      <c r="L204">
        <v>0.022826503255457</v>
      </c>
      <c r="M204">
        <v>-0.03106761065081021</v>
      </c>
      <c r="N204">
        <v>0.04</v>
      </c>
      <c r="O204">
        <v>0.0325901468897376</v>
      </c>
      <c r="P204" t="s">
        <v>636</v>
      </c>
      <c r="Q204" t="s">
        <v>381</v>
      </c>
      <c r="R204">
        <v>17</v>
      </c>
      <c r="S204">
        <v>0.5016835016835016</v>
      </c>
      <c r="T204">
        <v>107</v>
      </c>
      <c r="U204">
        <v>1.170934579439252</v>
      </c>
      <c r="V204">
        <v>4.2304</v>
      </c>
      <c r="W204">
        <v>5.94</v>
      </c>
      <c r="X204">
        <v>2.98</v>
      </c>
      <c r="Y204">
        <v>0.038918</v>
      </c>
      <c r="Z204">
        <v>0.3084577114427861</v>
      </c>
      <c r="AA204">
        <v>0.677938808373591</v>
      </c>
      <c r="AB204">
        <v>0.3858520900321543</v>
      </c>
      <c r="AC204">
        <v>0.4598070739549839</v>
      </c>
      <c r="AD204">
        <v>0.2781350482315113</v>
      </c>
    </row>
    <row r="205" spans="1:30">
      <c r="A205" s="1" t="s">
        <v>212</v>
      </c>
      <c r="B205">
        <f>HYPERLINK("https://www.suredividend.com/sure-analysis-ETR/","Entergy Corp.")</f>
        <v>0</v>
      </c>
      <c r="C205">
        <v>102.11</v>
      </c>
      <c r="D205">
        <v>21162.3027</v>
      </c>
      <c r="E205" t="s">
        <v>659</v>
      </c>
      <c r="F205" t="s">
        <v>631</v>
      </c>
      <c r="G205" t="s">
        <v>671</v>
      </c>
      <c r="H205" t="s">
        <v>702</v>
      </c>
      <c r="I205" t="s">
        <v>908</v>
      </c>
      <c r="J205" t="s">
        <v>1314</v>
      </c>
      <c r="K205">
        <v>43977</v>
      </c>
      <c r="L205">
        <v>0.035004730368968</v>
      </c>
      <c r="M205">
        <v>-0.03829427371449046</v>
      </c>
      <c r="N205">
        <v>0.035</v>
      </c>
      <c r="O205">
        <v>0.03249028921808583</v>
      </c>
      <c r="P205" t="s">
        <v>636</v>
      </c>
      <c r="Q205" t="s">
        <v>636</v>
      </c>
      <c r="R205">
        <v>26</v>
      </c>
      <c r="S205">
        <v>0.6607142857142858</v>
      </c>
      <c r="T205">
        <v>84</v>
      </c>
      <c r="U205">
        <v>1.215595238095238</v>
      </c>
      <c r="V205">
        <v>6.165</v>
      </c>
      <c r="W205">
        <v>5.6</v>
      </c>
      <c r="X205">
        <v>3.7</v>
      </c>
      <c r="Y205">
        <v>-0.022141</v>
      </c>
      <c r="Z205">
        <v>0.5041459369817578</v>
      </c>
      <c r="AA205">
        <v>0.607085346215781</v>
      </c>
      <c r="AB205">
        <v>0.3183279742765273</v>
      </c>
      <c r="AC205">
        <v>0.4083601286173634</v>
      </c>
      <c r="AD205">
        <v>0.2765273311897106</v>
      </c>
    </row>
    <row r="206" spans="1:30">
      <c r="A206" s="1" t="s">
        <v>213</v>
      </c>
      <c r="B206">
        <f>HYPERLINK("https://www.suredividend.com/sure-analysis-NVO/","Novo Nordisk A/S")</f>
        <v>0</v>
      </c>
      <c r="C206">
        <v>65.19</v>
      </c>
      <c r="D206">
        <v>115871.338795</v>
      </c>
      <c r="E206" t="s">
        <v>660</v>
      </c>
      <c r="F206" t="s">
        <v>631</v>
      </c>
      <c r="G206" t="s">
        <v>681</v>
      </c>
      <c r="H206" t="s">
        <v>702</v>
      </c>
      <c r="I206" t="s">
        <v>909</v>
      </c>
      <c r="J206" t="s">
        <v>1316</v>
      </c>
      <c r="K206">
        <v>43964</v>
      </c>
      <c r="L206">
        <v>0.014377901578458</v>
      </c>
      <c r="M206">
        <v>-0.04791036103089918</v>
      </c>
      <c r="N206">
        <v>0.06</v>
      </c>
      <c r="O206">
        <v>0.03215799926575169</v>
      </c>
      <c r="P206" t="s">
        <v>636</v>
      </c>
      <c r="Q206" t="s">
        <v>420</v>
      </c>
      <c r="R206">
        <v>0</v>
      </c>
      <c r="S206">
        <v>0.3672332015810277</v>
      </c>
      <c r="T206">
        <v>51</v>
      </c>
      <c r="U206">
        <v>1.278235294117647</v>
      </c>
      <c r="V206">
        <v>2.6066</v>
      </c>
      <c r="W206">
        <v>2.53</v>
      </c>
      <c r="X206">
        <v>0.9291</v>
      </c>
      <c r="Y206">
        <v>0.275706</v>
      </c>
      <c r="Z206">
        <v>0.1442786069651741</v>
      </c>
      <c r="AA206">
        <v>0.8711755233494364</v>
      </c>
      <c r="AB206">
        <v>0.6430868167202572</v>
      </c>
      <c r="AC206">
        <v>0.3392282958199357</v>
      </c>
      <c r="AD206">
        <v>0.2733118971061093</v>
      </c>
    </row>
    <row r="207" spans="1:30">
      <c r="A207" s="1" t="s">
        <v>214</v>
      </c>
      <c r="B207">
        <f>HYPERLINK("https://www.suredividend.com/sure-analysis-INTU/","Intuit, Inc.")</f>
        <v>0</v>
      </c>
      <c r="C207">
        <v>299.21</v>
      </c>
      <c r="D207">
        <v>79321.32278</v>
      </c>
      <c r="E207" t="s">
        <v>664</v>
      </c>
      <c r="F207" t="s">
        <v>631</v>
      </c>
      <c r="G207" t="s">
        <v>671</v>
      </c>
      <c r="H207" t="s">
        <v>701</v>
      </c>
      <c r="I207" t="s">
        <v>910</v>
      </c>
      <c r="J207" t="s">
        <v>1318</v>
      </c>
      <c r="K207">
        <v>43998</v>
      </c>
      <c r="L207">
        <v>0.006772305871523001</v>
      </c>
      <c r="M207">
        <v>-0.08682187529947138</v>
      </c>
      <c r="N207">
        <v>0.12</v>
      </c>
      <c r="O207">
        <v>0.03181841734881563</v>
      </c>
      <c r="P207" t="s">
        <v>636</v>
      </c>
      <c r="Q207" t="s">
        <v>420</v>
      </c>
      <c r="R207">
        <v>8</v>
      </c>
      <c r="S207">
        <v>0.4015594541910332</v>
      </c>
      <c r="T207">
        <v>190</v>
      </c>
      <c r="U207">
        <v>1.574789473684211</v>
      </c>
      <c r="V207">
        <v>5.122</v>
      </c>
      <c r="W207">
        <v>5.13</v>
      </c>
      <c r="X207">
        <v>2.06</v>
      </c>
      <c r="Y207">
        <v>0.118287</v>
      </c>
      <c r="Z207">
        <v>0.03150912106135986</v>
      </c>
      <c r="AA207">
        <v>0.7632850241545894</v>
      </c>
      <c r="AB207">
        <v>0.9485530546623794</v>
      </c>
      <c r="AC207">
        <v>0.1463022508038585</v>
      </c>
      <c r="AD207">
        <v>0.2717041800643087</v>
      </c>
    </row>
    <row r="208" spans="1:30">
      <c r="A208" s="1" t="s">
        <v>215</v>
      </c>
      <c r="B208">
        <f>HYPERLINK("https://www.suredividend.com/sure-analysis-UPS/","United Parcel Service, Inc.")</f>
        <v>0</v>
      </c>
      <c r="C208">
        <v>155.85</v>
      </c>
      <c r="D208">
        <v>137898.68679</v>
      </c>
      <c r="E208" t="s">
        <v>661</v>
      </c>
      <c r="F208" t="s">
        <v>631</v>
      </c>
      <c r="G208" t="s">
        <v>671</v>
      </c>
      <c r="H208" t="s">
        <v>702</v>
      </c>
      <c r="I208" t="s">
        <v>911</v>
      </c>
      <c r="J208" t="s">
        <v>1315</v>
      </c>
      <c r="K208">
        <v>44049</v>
      </c>
      <c r="L208">
        <v>0.024688263675668</v>
      </c>
      <c r="M208">
        <v>-0.07245413385160027</v>
      </c>
      <c r="N208">
        <v>0.08</v>
      </c>
      <c r="O208">
        <v>0.02999513294657996</v>
      </c>
      <c r="P208" t="s">
        <v>636</v>
      </c>
      <c r="Q208" t="s">
        <v>381</v>
      </c>
      <c r="R208">
        <v>11</v>
      </c>
      <c r="S208">
        <v>0.5880597014925373</v>
      </c>
      <c r="T208">
        <v>107</v>
      </c>
      <c r="U208">
        <v>1.456542056074766</v>
      </c>
      <c r="V208">
        <v>5.0685</v>
      </c>
      <c r="W208">
        <v>6.7</v>
      </c>
      <c r="X208">
        <v>3.94</v>
      </c>
      <c r="Y208">
        <v>0.334751</v>
      </c>
      <c r="Z208">
        <v>0.3399668325041459</v>
      </c>
      <c r="AA208">
        <v>0.9033816425120773</v>
      </c>
      <c r="AB208">
        <v>0.8135048231511255</v>
      </c>
      <c r="AC208">
        <v>0.1977491961414791</v>
      </c>
      <c r="AD208">
        <v>0.2684887459807074</v>
      </c>
    </row>
    <row r="209" spans="1:30">
      <c r="A209" s="1" t="s">
        <v>216</v>
      </c>
      <c r="B209">
        <f>HYPERLINK("https://www.suredividend.com/sure-analysis-PEP/","PepsiCo, Inc.")</f>
        <v>0</v>
      </c>
      <c r="C209">
        <v>135.13</v>
      </c>
      <c r="D209">
        <v>188281.9874</v>
      </c>
      <c r="E209" t="s">
        <v>665</v>
      </c>
      <c r="F209" t="s">
        <v>631</v>
      </c>
      <c r="G209" t="s">
        <v>671</v>
      </c>
      <c r="H209" t="s">
        <v>701</v>
      </c>
      <c r="I209" t="s">
        <v>912</v>
      </c>
      <c r="J209" t="s">
        <v>1320</v>
      </c>
      <c r="K209">
        <v>44025</v>
      </c>
      <c r="L209">
        <v>0.02858876305339</v>
      </c>
      <c r="M209">
        <v>-0.05656079535857195</v>
      </c>
      <c r="N209">
        <v>0.055</v>
      </c>
      <c r="O209">
        <v>0.02926922996957848</v>
      </c>
      <c r="P209" t="s">
        <v>636</v>
      </c>
      <c r="Q209" t="s">
        <v>636</v>
      </c>
      <c r="R209">
        <v>48</v>
      </c>
      <c r="S209">
        <v>0.727996254681648</v>
      </c>
      <c r="T209">
        <v>101</v>
      </c>
      <c r="U209">
        <v>1.337920792079208</v>
      </c>
      <c r="V209">
        <v>4.9221</v>
      </c>
      <c r="W209">
        <v>5.34</v>
      </c>
      <c r="X209">
        <v>3.8875</v>
      </c>
      <c r="Y209">
        <v>0.056152</v>
      </c>
      <c r="Z209">
        <v>0.4079601990049751</v>
      </c>
      <c r="AA209">
        <v>0.6956521739130435</v>
      </c>
      <c r="AB209">
        <v>0.5884244372990354</v>
      </c>
      <c r="AC209">
        <v>0.2845659163987138</v>
      </c>
      <c r="AD209">
        <v>0.2652733118971061</v>
      </c>
    </row>
    <row r="210" spans="1:30">
      <c r="A210" s="1" t="s">
        <v>217</v>
      </c>
      <c r="B210">
        <f>HYPERLINK("https://www.suredividend.com/sure-analysis-MGRC/","McGrath RentCorp")</f>
        <v>0</v>
      </c>
      <c r="C210">
        <v>63.32</v>
      </c>
      <c r="D210">
        <v>1481.11065</v>
      </c>
      <c r="E210" t="s">
        <v>665</v>
      </c>
      <c r="F210" t="s">
        <v>631</v>
      </c>
      <c r="G210" t="s">
        <v>671</v>
      </c>
      <c r="H210" t="s">
        <v>701</v>
      </c>
      <c r="I210" t="s">
        <v>913</v>
      </c>
      <c r="J210" t="s">
        <v>1315</v>
      </c>
      <c r="K210">
        <v>44041</v>
      </c>
      <c r="L210">
        <v>0.025853658536585</v>
      </c>
      <c r="M210">
        <v>-0.03134177442226005</v>
      </c>
      <c r="N210">
        <v>0.03</v>
      </c>
      <c r="O210">
        <v>0.02544012769560311</v>
      </c>
      <c r="P210" t="s">
        <v>636</v>
      </c>
      <c r="Q210" t="s">
        <v>636</v>
      </c>
      <c r="R210">
        <v>29</v>
      </c>
      <c r="S210">
        <v>0.5230263157894737</v>
      </c>
      <c r="T210">
        <v>54</v>
      </c>
      <c r="U210">
        <v>1.172592592592593</v>
      </c>
      <c r="V210">
        <v>4.1895</v>
      </c>
      <c r="W210">
        <v>3.04</v>
      </c>
      <c r="X210">
        <v>1.59</v>
      </c>
      <c r="Y210">
        <v>-0.084658</v>
      </c>
      <c r="Z210">
        <v>0.351575456053068</v>
      </c>
      <c r="AA210">
        <v>0.5088566827697263</v>
      </c>
      <c r="AB210">
        <v>0.2540192926045016</v>
      </c>
      <c r="AC210">
        <v>0.4565916398713826</v>
      </c>
      <c r="AD210">
        <v>0.2459807073954984</v>
      </c>
    </row>
    <row r="211" spans="1:30">
      <c r="A211" s="1" t="s">
        <v>218</v>
      </c>
      <c r="B211">
        <f>HYPERLINK("https://www.suredividend.com/sure-analysis-UHT/","Universal Health Realty Income Trust")</f>
        <v>0</v>
      </c>
      <c r="C211">
        <v>74.66</v>
      </c>
      <c r="D211">
        <v>1045.525728</v>
      </c>
      <c r="E211" t="s">
        <v>666</v>
      </c>
      <c r="F211" t="s">
        <v>633</v>
      </c>
      <c r="G211" t="s">
        <v>671</v>
      </c>
      <c r="H211" t="s">
        <v>702</v>
      </c>
      <c r="I211" t="s">
        <v>914</v>
      </c>
      <c r="J211" t="s">
        <v>1322</v>
      </c>
      <c r="K211">
        <v>44013</v>
      </c>
      <c r="L211">
        <v>0.03608586856315001</v>
      </c>
      <c r="M211">
        <v>-0.04924634950682638</v>
      </c>
      <c r="N211">
        <v>0.03</v>
      </c>
      <c r="O211">
        <v>0.01761964168940322</v>
      </c>
      <c r="P211" t="s">
        <v>636</v>
      </c>
      <c r="Q211" t="s">
        <v>636</v>
      </c>
      <c r="R211">
        <v>34</v>
      </c>
      <c r="S211">
        <v>0.817910447761194</v>
      </c>
      <c r="T211">
        <v>58</v>
      </c>
      <c r="U211">
        <v>1.287241379310345</v>
      </c>
      <c r="V211">
        <v>1.4374</v>
      </c>
      <c r="W211">
        <v>3.35</v>
      </c>
      <c r="X211">
        <v>2.74</v>
      </c>
      <c r="Y211">
        <v>-0.222246</v>
      </c>
      <c r="Z211">
        <v>0.5257048092868988</v>
      </c>
      <c r="AA211">
        <v>0.3236714975845411</v>
      </c>
      <c r="AB211">
        <v>0.2540192926045016</v>
      </c>
      <c r="AC211">
        <v>0.3327974276527331</v>
      </c>
      <c r="AD211">
        <v>0.1977491961414791</v>
      </c>
    </row>
    <row r="212" spans="1:30">
      <c r="A212" s="1" t="s">
        <v>219</v>
      </c>
      <c r="B212">
        <f>HYPERLINK("https://www.suredividend.com/sure-analysis-AMT/","American Tower Corp.")</f>
        <v>0</v>
      </c>
      <c r="C212">
        <v>246.2</v>
      </c>
      <c r="D212">
        <v>112405.32711</v>
      </c>
      <c r="E212" t="s">
        <v>661</v>
      </c>
      <c r="F212" t="s">
        <v>633</v>
      </c>
      <c r="G212" t="s">
        <v>671</v>
      </c>
      <c r="H212" t="s">
        <v>702</v>
      </c>
      <c r="I212" t="s">
        <v>915</v>
      </c>
      <c r="J212" t="s">
        <v>1322</v>
      </c>
      <c r="K212">
        <v>44049</v>
      </c>
      <c r="L212">
        <v>0.016337161122291</v>
      </c>
      <c r="M212">
        <v>-0.06071607184002659</v>
      </c>
      <c r="N212">
        <v>0.06</v>
      </c>
      <c r="O212">
        <v>0.0164879054845537</v>
      </c>
      <c r="P212" t="s">
        <v>636</v>
      </c>
      <c r="Q212" t="s">
        <v>420</v>
      </c>
      <c r="R212">
        <v>9</v>
      </c>
      <c r="S212">
        <v>0.5048780487804878</v>
      </c>
      <c r="T212">
        <v>180</v>
      </c>
      <c r="U212">
        <v>1.367777777777778</v>
      </c>
      <c r="V212">
        <v>4.3392</v>
      </c>
      <c r="W212">
        <v>8.199999999999999</v>
      </c>
      <c r="X212">
        <v>4.14</v>
      </c>
      <c r="Y212">
        <v>0.165551</v>
      </c>
      <c r="Z212">
        <v>0.1724709784411277</v>
      </c>
      <c r="AA212">
        <v>0.7906602254428341</v>
      </c>
      <c r="AB212">
        <v>0.6430868167202572</v>
      </c>
      <c r="AC212">
        <v>0.2588424437299035</v>
      </c>
      <c r="AD212">
        <v>0.1881028938906752</v>
      </c>
    </row>
    <row r="213" spans="1:30">
      <c r="A213" s="1" t="s">
        <v>220</v>
      </c>
      <c r="B213">
        <f>HYPERLINK("https://www.suredividend.com/sure-analysis-INFY/","Infosys Ltd.")</f>
        <v>0</v>
      </c>
      <c r="C213">
        <v>12.63</v>
      </c>
      <c r="D213">
        <v>53624.587</v>
      </c>
      <c r="E213" t="s">
        <v>659</v>
      </c>
      <c r="F213" t="s">
        <v>631</v>
      </c>
      <c r="G213" t="s">
        <v>682</v>
      </c>
      <c r="H213" t="s">
        <v>702</v>
      </c>
      <c r="I213" t="s">
        <v>916</v>
      </c>
      <c r="J213" t="s">
        <v>1318</v>
      </c>
      <c r="K213">
        <v>44035</v>
      </c>
      <c r="L213">
        <v>0.018983320095313</v>
      </c>
      <c r="M213">
        <v>-0.06552468890100227</v>
      </c>
      <c r="N213">
        <v>0.06</v>
      </c>
      <c r="O213">
        <v>0.01618726639938295</v>
      </c>
      <c r="P213" t="s">
        <v>636</v>
      </c>
      <c r="Q213" t="s">
        <v>420</v>
      </c>
      <c r="R213">
        <v>4</v>
      </c>
      <c r="S213">
        <v>0.4192982456140352</v>
      </c>
      <c r="T213">
        <v>9</v>
      </c>
      <c r="U213">
        <v>1.403333333333333</v>
      </c>
      <c r="V213">
        <v>0.5542</v>
      </c>
      <c r="W213">
        <v>0.57</v>
      </c>
      <c r="X213">
        <v>0.239</v>
      </c>
      <c r="Y213">
        <v>0.12</v>
      </c>
      <c r="Z213">
        <v>0.2454394693200663</v>
      </c>
      <c r="AA213">
        <v>0.7665056360708534</v>
      </c>
      <c r="AB213">
        <v>0.6430868167202572</v>
      </c>
      <c r="AC213">
        <v>0.2331189710610932</v>
      </c>
      <c r="AD213">
        <v>0.1864951768488746</v>
      </c>
    </row>
    <row r="214" spans="1:30">
      <c r="A214" s="1" t="s">
        <v>221</v>
      </c>
      <c r="B214">
        <f>HYPERLINK("https://www.suredividend.com/sure-analysis-MCD/","McDonald's Corp.")</f>
        <v>0</v>
      </c>
      <c r="C214">
        <v>205</v>
      </c>
      <c r="D214">
        <v>151774.65072</v>
      </c>
      <c r="E214" t="s">
        <v>661</v>
      </c>
      <c r="F214" t="s">
        <v>631</v>
      </c>
      <c r="G214" t="s">
        <v>671</v>
      </c>
      <c r="H214" t="s">
        <v>702</v>
      </c>
      <c r="I214" t="s">
        <v>917</v>
      </c>
      <c r="J214" t="s">
        <v>1313</v>
      </c>
      <c r="K214">
        <v>44042</v>
      </c>
      <c r="L214">
        <v>0.024054477758181</v>
      </c>
      <c r="M214">
        <v>-0.06949987612798747</v>
      </c>
      <c r="N214">
        <v>0.06</v>
      </c>
      <c r="O214">
        <v>0.01456634994573913</v>
      </c>
      <c r="P214" t="s">
        <v>636</v>
      </c>
      <c r="Q214" t="s">
        <v>381</v>
      </c>
      <c r="R214">
        <v>44</v>
      </c>
      <c r="S214">
        <v>0.8183333333333334</v>
      </c>
      <c r="T214">
        <v>143</v>
      </c>
      <c r="U214">
        <v>1.433566433566434</v>
      </c>
      <c r="W214">
        <v>6</v>
      </c>
      <c r="X214">
        <v>4.91</v>
      </c>
      <c r="Y214">
        <v>-0.061511</v>
      </c>
      <c r="Z214">
        <v>0.3349917081260365</v>
      </c>
      <c r="AA214">
        <v>0.5442834138486312</v>
      </c>
      <c r="AB214">
        <v>0.6430868167202572</v>
      </c>
      <c r="AC214">
        <v>0.2090032154340836</v>
      </c>
      <c r="AD214">
        <v>0.1832797427652733</v>
      </c>
    </row>
    <row r="215" spans="1:30">
      <c r="A215" s="1" t="s">
        <v>222</v>
      </c>
      <c r="B215">
        <f>HYPERLINK("https://www.suredividend.com/sure-analysis-WEC/","WEC Energy Group, Inc.")</f>
        <v>0</v>
      </c>
      <c r="C215">
        <v>90.90000000000001</v>
      </c>
      <c r="D215">
        <v>29565.72255</v>
      </c>
      <c r="E215" t="s">
        <v>665</v>
      </c>
      <c r="F215" t="s">
        <v>631</v>
      </c>
      <c r="G215" t="s">
        <v>671</v>
      </c>
      <c r="H215" t="s">
        <v>702</v>
      </c>
      <c r="I215" t="s">
        <v>918</v>
      </c>
      <c r="J215" t="s">
        <v>1314</v>
      </c>
      <c r="K215">
        <v>44047</v>
      </c>
      <c r="L215">
        <v>0.026085564920516</v>
      </c>
      <c r="M215">
        <v>-0.06776969230684338</v>
      </c>
      <c r="N215">
        <v>0.052</v>
      </c>
      <c r="O215">
        <v>0.01355276193779997</v>
      </c>
      <c r="P215" t="s">
        <v>636</v>
      </c>
      <c r="Q215" t="s">
        <v>381</v>
      </c>
      <c r="R215">
        <v>17</v>
      </c>
      <c r="S215">
        <v>0.6554959785522788</v>
      </c>
      <c r="T215">
        <v>64</v>
      </c>
      <c r="U215">
        <v>1.4203125</v>
      </c>
      <c r="V215">
        <v>3.7169</v>
      </c>
      <c r="W215">
        <v>3.73</v>
      </c>
      <c r="X215">
        <v>2.445</v>
      </c>
      <c r="Y215">
        <v>0.056775</v>
      </c>
      <c r="Z215">
        <v>0.3598673300165837</v>
      </c>
      <c r="AA215">
        <v>0.6972624798711755</v>
      </c>
      <c r="AB215">
        <v>0.5803858520900321</v>
      </c>
      <c r="AC215">
        <v>0.2154340836012862</v>
      </c>
      <c r="AD215">
        <v>0.1768488745980707</v>
      </c>
    </row>
    <row r="216" spans="1:30">
      <c r="A216" s="1" t="s">
        <v>223</v>
      </c>
      <c r="B216">
        <f>HYPERLINK("https://www.suredividend.com/sure-analysis-RMD/","ResMed, Inc.")</f>
        <v>0</v>
      </c>
      <c r="C216">
        <v>172.98</v>
      </c>
      <c r="D216">
        <v>25338.6002</v>
      </c>
      <c r="E216" t="s">
        <v>659</v>
      </c>
      <c r="F216" t="s">
        <v>631</v>
      </c>
      <c r="G216" t="s">
        <v>671</v>
      </c>
      <c r="H216" t="s">
        <v>702</v>
      </c>
      <c r="I216" t="s">
        <v>919</v>
      </c>
      <c r="J216" t="s">
        <v>1316</v>
      </c>
      <c r="K216">
        <v>43955</v>
      </c>
      <c r="L216">
        <v>0.008906651441621</v>
      </c>
      <c r="M216">
        <v>-0.1074222912057405</v>
      </c>
      <c r="N216">
        <v>0.12</v>
      </c>
      <c r="O216">
        <v>0.0115239677392498</v>
      </c>
      <c r="P216" t="s">
        <v>636</v>
      </c>
      <c r="Q216" t="s">
        <v>420</v>
      </c>
      <c r="R216">
        <v>7</v>
      </c>
      <c r="S216">
        <v>0.350561797752809</v>
      </c>
      <c r="T216">
        <v>98</v>
      </c>
      <c r="U216">
        <v>1.765102040816326</v>
      </c>
      <c r="V216">
        <v>4.3054</v>
      </c>
      <c r="W216">
        <v>4.45</v>
      </c>
      <c r="X216">
        <v>1.56</v>
      </c>
      <c r="Y216">
        <v>0.318317</v>
      </c>
      <c r="Z216">
        <v>0.06467661691542288</v>
      </c>
      <c r="AA216">
        <v>0.893719806763285</v>
      </c>
      <c r="AB216">
        <v>0.9485530546623794</v>
      </c>
      <c r="AC216">
        <v>0.09163987138263666</v>
      </c>
      <c r="AD216">
        <v>0.1752411575562701</v>
      </c>
    </row>
    <row r="217" spans="1:30">
      <c r="A217" s="1" t="s">
        <v>224</v>
      </c>
      <c r="B217">
        <f>HYPERLINK("https://www.suredividend.com/sure-analysis-CBSH/","Commerce Bancshares, Inc. (Missouri)")</f>
        <v>0</v>
      </c>
      <c r="C217">
        <v>61.06</v>
      </c>
      <c r="D217">
        <v>6693.09533</v>
      </c>
      <c r="E217" t="s">
        <v>659</v>
      </c>
      <c r="F217" t="s">
        <v>631</v>
      </c>
      <c r="G217" t="s">
        <v>671</v>
      </c>
      <c r="H217" t="s">
        <v>701</v>
      </c>
      <c r="I217" t="s">
        <v>920</v>
      </c>
      <c r="J217" t="s">
        <v>1312</v>
      </c>
      <c r="K217">
        <v>44035</v>
      </c>
      <c r="L217">
        <v>0.017251093150385</v>
      </c>
      <c r="M217">
        <v>-0.06772866465473071</v>
      </c>
      <c r="N217">
        <v>0.06</v>
      </c>
      <c r="O217">
        <v>0.0100046979969608</v>
      </c>
      <c r="P217" t="s">
        <v>636</v>
      </c>
      <c r="Q217" t="s">
        <v>420</v>
      </c>
      <c r="R217">
        <v>10</v>
      </c>
      <c r="S217">
        <v>0.414095239981856</v>
      </c>
      <c r="T217">
        <v>43</v>
      </c>
      <c r="U217">
        <v>1.42</v>
      </c>
      <c r="V217">
        <v>2.6387</v>
      </c>
      <c r="W217">
        <v>2.5</v>
      </c>
      <c r="X217">
        <v>1.03523809995464</v>
      </c>
      <c r="Y217">
        <v>0.097802</v>
      </c>
      <c r="Z217">
        <v>0.1956882255389718</v>
      </c>
      <c r="AA217">
        <v>0.7423510466988728</v>
      </c>
      <c r="AB217">
        <v>0.6430868167202572</v>
      </c>
      <c r="AC217">
        <v>0.2170418006430868</v>
      </c>
      <c r="AD217">
        <v>0.1672025723472669</v>
      </c>
    </row>
    <row r="218" spans="1:30">
      <c r="A218" s="1" t="s">
        <v>225</v>
      </c>
      <c r="B218">
        <f>HYPERLINK("https://www.suredividend.com/sure-analysis-WU/","The Western Union Co.")</f>
        <v>0</v>
      </c>
      <c r="C218">
        <v>23.23</v>
      </c>
      <c r="D218">
        <v>9609.273520000001</v>
      </c>
      <c r="E218" t="s">
        <v>660</v>
      </c>
      <c r="F218" t="s">
        <v>631</v>
      </c>
      <c r="G218" t="s">
        <v>671</v>
      </c>
      <c r="H218" t="s">
        <v>702</v>
      </c>
      <c r="I218" t="s">
        <v>921</v>
      </c>
      <c r="J218" t="s">
        <v>1312</v>
      </c>
      <c r="K218">
        <v>43971</v>
      </c>
      <c r="L218">
        <v>0.036355859709153</v>
      </c>
      <c r="M218">
        <v>-0.0497351633120704</v>
      </c>
      <c r="N218">
        <v>0.01</v>
      </c>
      <c r="O218">
        <v>0.007745580476645531</v>
      </c>
      <c r="P218" t="s">
        <v>636</v>
      </c>
      <c r="Q218" t="s">
        <v>636</v>
      </c>
      <c r="R218">
        <v>10</v>
      </c>
      <c r="S218">
        <v>0.5151515151515151</v>
      </c>
      <c r="T218">
        <v>18</v>
      </c>
      <c r="U218">
        <v>1.290555555555556</v>
      </c>
      <c r="V218">
        <v>1.4616</v>
      </c>
      <c r="W218">
        <v>1.65</v>
      </c>
      <c r="X218">
        <v>0.85</v>
      </c>
      <c r="Y218">
        <v>0.076816</v>
      </c>
      <c r="Z218">
        <v>0.5323383084577115</v>
      </c>
      <c r="AA218">
        <v>0.7214170692431562</v>
      </c>
      <c r="AB218">
        <v>0.08601286173633441</v>
      </c>
      <c r="AC218">
        <v>0.3263665594855306</v>
      </c>
      <c r="AD218">
        <v>0.1607717041800643</v>
      </c>
    </row>
    <row r="219" spans="1:30">
      <c r="A219" s="1" t="s">
        <v>226</v>
      </c>
      <c r="B219">
        <f>HYPERLINK("https://www.suredividend.com/sure-analysis-SWKS/","Skyworks Solutions, Inc.")</f>
        <v>0</v>
      </c>
      <c r="C219">
        <v>141.33</v>
      </c>
      <c r="D219">
        <v>23976.34744</v>
      </c>
      <c r="E219" t="s">
        <v>666</v>
      </c>
      <c r="F219" t="s">
        <v>631</v>
      </c>
      <c r="G219" t="s">
        <v>671</v>
      </c>
      <c r="H219" t="s">
        <v>701</v>
      </c>
      <c r="I219" t="s">
        <v>922</v>
      </c>
      <c r="J219" t="s">
        <v>1318</v>
      </c>
      <c r="K219">
        <v>43979</v>
      </c>
      <c r="L219">
        <v>0.012261390553155</v>
      </c>
      <c r="M219">
        <v>-0.09882531082282875</v>
      </c>
      <c r="N219">
        <v>0.1</v>
      </c>
      <c r="O219">
        <v>0.007581535197989986</v>
      </c>
      <c r="P219" t="s">
        <v>636</v>
      </c>
      <c r="Q219" t="s">
        <v>420</v>
      </c>
      <c r="R219">
        <v>6</v>
      </c>
      <c r="S219">
        <v>0.3148479427549195</v>
      </c>
      <c r="T219">
        <v>84</v>
      </c>
      <c r="U219">
        <v>1.6825</v>
      </c>
      <c r="V219">
        <v>4.5827</v>
      </c>
      <c r="W219">
        <v>5.59</v>
      </c>
      <c r="X219">
        <v>1.76</v>
      </c>
      <c r="Y219">
        <v>0.798555</v>
      </c>
      <c r="Z219">
        <v>0.1077943615257048</v>
      </c>
      <c r="AA219">
        <v>0.9822866344605475</v>
      </c>
      <c r="AB219">
        <v>0.907556270096463</v>
      </c>
      <c r="AC219">
        <v>0.112540192926045</v>
      </c>
      <c r="AD219">
        <v>0.1591639871382637</v>
      </c>
    </row>
    <row r="220" spans="1:30">
      <c r="A220" s="1" t="s">
        <v>227</v>
      </c>
      <c r="B220">
        <f>HYPERLINK("https://www.suredividend.com/sure-analysis-LLY/","Eli Lilly &amp; Co.")</f>
        <v>0</v>
      </c>
      <c r="C220">
        <v>150.63</v>
      </c>
      <c r="D220">
        <v>146339.91</v>
      </c>
      <c r="E220" t="s">
        <v>665</v>
      </c>
      <c r="F220" t="s">
        <v>631</v>
      </c>
      <c r="G220" t="s">
        <v>671</v>
      </c>
      <c r="H220" t="s">
        <v>702</v>
      </c>
      <c r="I220" t="s">
        <v>923</v>
      </c>
      <c r="J220" t="s">
        <v>1316</v>
      </c>
      <c r="K220">
        <v>44042</v>
      </c>
      <c r="L220">
        <v>0.018104575163398</v>
      </c>
      <c r="M220">
        <v>-0.0558665308321632</v>
      </c>
      <c r="N220">
        <v>0.04</v>
      </c>
      <c r="O220">
        <v>0.004632836100993964</v>
      </c>
      <c r="P220" t="s">
        <v>636</v>
      </c>
      <c r="Q220" t="s">
        <v>381</v>
      </c>
      <c r="R220">
        <v>6</v>
      </c>
      <c r="S220">
        <v>0.3794520547945205</v>
      </c>
      <c r="T220">
        <v>113</v>
      </c>
      <c r="U220">
        <v>1.333008849557522</v>
      </c>
      <c r="V220">
        <v>6.1674</v>
      </c>
      <c r="W220">
        <v>7.3</v>
      </c>
      <c r="X220">
        <v>2.77</v>
      </c>
      <c r="Y220">
        <v>0.341844</v>
      </c>
      <c r="Z220">
        <v>0.2238805970149254</v>
      </c>
      <c r="AA220">
        <v>0.9090177133655395</v>
      </c>
      <c r="AB220">
        <v>0.3858520900321543</v>
      </c>
      <c r="AC220">
        <v>0.2861736334405145</v>
      </c>
      <c r="AD220">
        <v>0.1495176848874598</v>
      </c>
    </row>
    <row r="221" spans="1:30">
      <c r="A221" s="1" t="s">
        <v>228</v>
      </c>
      <c r="B221">
        <f>HYPERLINK("https://www.suredividend.com/sure-analysis-UNP/","Union Pacific Corp.")</f>
        <v>0</v>
      </c>
      <c r="C221">
        <v>190.35</v>
      </c>
      <c r="D221">
        <v>126841.06715</v>
      </c>
      <c r="E221" t="s">
        <v>665</v>
      </c>
      <c r="F221" t="s">
        <v>631</v>
      </c>
      <c r="G221" t="s">
        <v>671</v>
      </c>
      <c r="H221" t="s">
        <v>702</v>
      </c>
      <c r="I221" t="s">
        <v>924</v>
      </c>
      <c r="J221" t="s">
        <v>1315</v>
      </c>
      <c r="K221">
        <v>44035</v>
      </c>
      <c r="L221">
        <v>0.02076531977522</v>
      </c>
      <c r="M221">
        <v>-0.08512577998394599</v>
      </c>
      <c r="N221">
        <v>0.07000000000000001</v>
      </c>
      <c r="O221">
        <v>0.003409482316234502</v>
      </c>
      <c r="P221" t="s">
        <v>636</v>
      </c>
      <c r="Q221" t="s">
        <v>381</v>
      </c>
      <c r="R221">
        <v>13</v>
      </c>
      <c r="S221">
        <v>0.5091863517060368</v>
      </c>
      <c r="T221">
        <v>122</v>
      </c>
      <c r="U221">
        <v>1.560245901639344</v>
      </c>
      <c r="V221">
        <v>8.0749</v>
      </c>
      <c r="W221">
        <v>7.62</v>
      </c>
      <c r="X221">
        <v>3.88</v>
      </c>
      <c r="Y221">
        <v>0.077961</v>
      </c>
      <c r="Z221">
        <v>0.2852404643449419</v>
      </c>
      <c r="AA221">
        <v>0.7230273752012883</v>
      </c>
      <c r="AB221">
        <v>0.7355305466237942</v>
      </c>
      <c r="AC221">
        <v>0.1527331189710611</v>
      </c>
      <c r="AD221">
        <v>0.1446945337620579</v>
      </c>
    </row>
    <row r="222" spans="1:30">
      <c r="A222" s="1" t="s">
        <v>229</v>
      </c>
      <c r="B222">
        <f>HYPERLINK("https://www.suredividend.com/sure-analysis-ROK/","Rockwell Automation, Inc.")</f>
        <v>0</v>
      </c>
      <c r="C222">
        <v>232.18</v>
      </c>
      <c r="D222">
        <v>26593.55244</v>
      </c>
      <c r="E222" t="s">
        <v>659</v>
      </c>
      <c r="F222" t="s">
        <v>631</v>
      </c>
      <c r="G222" t="s">
        <v>671</v>
      </c>
      <c r="H222" t="s">
        <v>702</v>
      </c>
      <c r="I222" t="s">
        <v>925</v>
      </c>
      <c r="J222" t="s">
        <v>1315</v>
      </c>
      <c r="K222">
        <v>44042</v>
      </c>
      <c r="L222">
        <v>0.017573696145124</v>
      </c>
      <c r="M222">
        <v>-0.08003072138233658</v>
      </c>
      <c r="N222">
        <v>0.065</v>
      </c>
      <c r="O222">
        <v>0.002180198769343056</v>
      </c>
      <c r="P222" t="s">
        <v>636</v>
      </c>
      <c r="Q222" t="s">
        <v>420</v>
      </c>
      <c r="R222">
        <v>10</v>
      </c>
      <c r="S222">
        <v>0.5373333333333333</v>
      </c>
      <c r="T222">
        <v>153</v>
      </c>
      <c r="U222">
        <v>1.517516339869281</v>
      </c>
      <c r="V222">
        <v>6.6366</v>
      </c>
      <c r="W222">
        <v>7.5</v>
      </c>
      <c r="X222">
        <v>4.03</v>
      </c>
      <c r="Y222">
        <v>0.430015</v>
      </c>
      <c r="Z222">
        <v>0.2072968490878939</v>
      </c>
      <c r="AA222">
        <v>0.9388083735909822</v>
      </c>
      <c r="AB222">
        <v>0.6945337620578778</v>
      </c>
      <c r="AC222">
        <v>0.1655948553054662</v>
      </c>
      <c r="AD222">
        <v>0.1414790996784566</v>
      </c>
    </row>
    <row r="223" spans="1:30">
      <c r="A223" s="1" t="s">
        <v>230</v>
      </c>
      <c r="B223">
        <f>HYPERLINK("https://www.suredividend.com/sure-analysis-WM/","Waste Management, Inc.")</f>
        <v>0</v>
      </c>
      <c r="C223">
        <v>111.59</v>
      </c>
      <c r="D223">
        <v>47150.87221</v>
      </c>
      <c r="E223" t="s">
        <v>661</v>
      </c>
      <c r="F223" t="s">
        <v>631</v>
      </c>
      <c r="G223" t="s">
        <v>671</v>
      </c>
      <c r="H223" t="s">
        <v>702</v>
      </c>
      <c r="I223" t="s">
        <v>926</v>
      </c>
      <c r="J223" t="s">
        <v>1315</v>
      </c>
      <c r="K223">
        <v>44049</v>
      </c>
      <c r="L223">
        <v>0.018949914882179</v>
      </c>
      <c r="M223">
        <v>-0.06911964535913773</v>
      </c>
      <c r="N223">
        <v>0.05</v>
      </c>
      <c r="O223">
        <v>0.0003667113103706932</v>
      </c>
      <c r="P223" t="s">
        <v>636</v>
      </c>
      <c r="Q223" t="s">
        <v>420</v>
      </c>
      <c r="R223">
        <v>17</v>
      </c>
      <c r="S223">
        <v>0.5158536585365855</v>
      </c>
      <c r="T223">
        <v>78</v>
      </c>
      <c r="U223">
        <v>1.430641025641026</v>
      </c>
      <c r="V223">
        <v>3.7971</v>
      </c>
      <c r="W223">
        <v>4.1</v>
      </c>
      <c r="X223">
        <v>2.115</v>
      </c>
      <c r="Y223">
        <v>-0.04853499999999999</v>
      </c>
      <c r="Z223">
        <v>0.24212271973466</v>
      </c>
      <c r="AA223">
        <v>0.5668276972624799</v>
      </c>
      <c r="AB223">
        <v>0.5168810289389068</v>
      </c>
      <c r="AC223">
        <v>0.2138263665594855</v>
      </c>
      <c r="AD223">
        <v>0.1334405144694534</v>
      </c>
    </row>
    <row r="224" spans="1:30">
      <c r="A224" s="1" t="s">
        <v>231</v>
      </c>
      <c r="B224">
        <f>HYPERLINK("https://www.suredividend.com/sure-analysis-NUE/","Nucor Corp.")</f>
        <v>0</v>
      </c>
      <c r="C224">
        <v>45.41</v>
      </c>
      <c r="D224">
        <v>13882.3235</v>
      </c>
      <c r="E224" t="s">
        <v>666</v>
      </c>
      <c r="F224" t="s">
        <v>631</v>
      </c>
      <c r="G224" t="s">
        <v>671</v>
      </c>
      <c r="H224" t="s">
        <v>702</v>
      </c>
      <c r="I224" t="s">
        <v>927</v>
      </c>
      <c r="J224" t="s">
        <v>1321</v>
      </c>
      <c r="K224">
        <v>43963</v>
      </c>
      <c r="L224">
        <v>0.034869848156182</v>
      </c>
      <c r="M224">
        <v>-0.2213211656586408</v>
      </c>
      <c r="N224">
        <v>0.231</v>
      </c>
      <c r="O224">
        <v>-0.0002224457327373308</v>
      </c>
      <c r="P224" t="s">
        <v>636</v>
      </c>
      <c r="Q224" t="s">
        <v>636</v>
      </c>
      <c r="R224">
        <v>46</v>
      </c>
      <c r="S224">
        <v>0.80375</v>
      </c>
      <c r="T224">
        <v>13</v>
      </c>
      <c r="U224">
        <v>3.493076923076923</v>
      </c>
      <c r="V224">
        <v>1.6746</v>
      </c>
      <c r="W224">
        <v>2</v>
      </c>
      <c r="X224">
        <v>1.6075</v>
      </c>
      <c r="Y224">
        <v>-0.150086</v>
      </c>
      <c r="Z224">
        <v>0.5024875621890547</v>
      </c>
      <c r="AA224">
        <v>0.4219001610305959</v>
      </c>
      <c r="AB224">
        <v>0.9951768488745981</v>
      </c>
      <c r="AC224">
        <v>0.006430868167202572</v>
      </c>
      <c r="AD224">
        <v>0.1302250803858521</v>
      </c>
    </row>
    <row r="225" spans="1:30">
      <c r="A225" s="1" t="s">
        <v>232</v>
      </c>
      <c r="B225">
        <f>HYPERLINK("https://www.suredividend.com/sure-analysis-WTRG/","Essential Utilities, Inc.")</f>
        <v>0</v>
      </c>
      <c r="C225">
        <v>45.68</v>
      </c>
      <c r="D225">
        <v>11720.66931</v>
      </c>
      <c r="E225" t="s">
        <v>662</v>
      </c>
      <c r="F225" t="s">
        <v>631</v>
      </c>
      <c r="G225" t="s">
        <v>671</v>
      </c>
      <c r="H225" t="s">
        <v>702</v>
      </c>
      <c r="I225" t="s">
        <v>928</v>
      </c>
      <c r="J225" t="s">
        <v>1314</v>
      </c>
      <c r="K225">
        <v>43979</v>
      </c>
      <c r="L225">
        <v>0.019602593599665</v>
      </c>
      <c r="M225">
        <v>-0.09325245748447009</v>
      </c>
      <c r="N225">
        <v>0.07000000000000001</v>
      </c>
      <c r="O225">
        <v>-0.002672507891029241</v>
      </c>
      <c r="P225" t="s">
        <v>636</v>
      </c>
      <c r="Q225" t="s">
        <v>381</v>
      </c>
      <c r="R225">
        <v>28</v>
      </c>
      <c r="S225">
        <v>0.6007692307692307</v>
      </c>
      <c r="T225">
        <v>28</v>
      </c>
      <c r="U225">
        <v>1.631428571428571</v>
      </c>
      <c r="V225">
        <v>1.171</v>
      </c>
      <c r="W225">
        <v>1.56</v>
      </c>
      <c r="X225">
        <v>0.9372</v>
      </c>
      <c r="Y225">
        <v>0.113021</v>
      </c>
      <c r="Z225">
        <v>0.2570480928689884</v>
      </c>
      <c r="AA225">
        <v>0.7568438003220612</v>
      </c>
      <c r="AB225">
        <v>0.7355305466237942</v>
      </c>
      <c r="AC225">
        <v>0.1270096463022508</v>
      </c>
      <c r="AD225">
        <v>0.1205787781350482</v>
      </c>
    </row>
    <row r="226" spans="1:30">
      <c r="A226" s="1" t="s">
        <v>233</v>
      </c>
      <c r="B226">
        <f>HYPERLINK("https://www.suredividend.com/sure-analysis-LIN/","Linde Plc")</f>
        <v>0</v>
      </c>
      <c r="C226">
        <v>244.85</v>
      </c>
      <c r="D226">
        <v>127841.1024</v>
      </c>
      <c r="E226" t="s">
        <v>659</v>
      </c>
      <c r="F226" t="s">
        <v>631</v>
      </c>
      <c r="G226" t="s">
        <v>676</v>
      </c>
      <c r="H226" t="s">
        <v>702</v>
      </c>
      <c r="I226" t="s">
        <v>929</v>
      </c>
      <c r="J226" t="s">
        <v>1321</v>
      </c>
      <c r="K226">
        <v>44049</v>
      </c>
      <c r="L226">
        <v>0.015106435440124</v>
      </c>
      <c r="M226">
        <v>-0.07928974324805937</v>
      </c>
      <c r="N226">
        <v>0.06</v>
      </c>
      <c r="O226">
        <v>-0.00359264287573835</v>
      </c>
      <c r="P226" t="s">
        <v>636</v>
      </c>
      <c r="Q226" t="s">
        <v>420</v>
      </c>
      <c r="R226">
        <v>27</v>
      </c>
      <c r="S226">
        <v>0.4774025974025974</v>
      </c>
      <c r="T226">
        <v>162</v>
      </c>
      <c r="U226">
        <v>1.51141975308642</v>
      </c>
      <c r="V226">
        <v>4.2639</v>
      </c>
      <c r="W226">
        <v>7.7</v>
      </c>
      <c r="X226">
        <v>3.676</v>
      </c>
      <c r="Y226">
        <v>0.27361</v>
      </c>
      <c r="Z226">
        <v>0.1492537313432836</v>
      </c>
      <c r="AA226">
        <v>0.8695652173913043</v>
      </c>
      <c r="AB226">
        <v>0.6430868167202572</v>
      </c>
      <c r="AC226">
        <v>0.1672025723472669</v>
      </c>
      <c r="AD226">
        <v>0.1157556270096463</v>
      </c>
    </row>
    <row r="227" spans="1:30">
      <c r="A227" s="1" t="s">
        <v>234</v>
      </c>
      <c r="B227">
        <f>HYPERLINK("https://www.suredividend.com/sure-analysis-BBY/","Best Buy Co., Inc.")</f>
        <v>0</v>
      </c>
      <c r="C227">
        <v>104.12</v>
      </c>
      <c r="D227">
        <v>26920.96398</v>
      </c>
      <c r="E227" t="s">
        <v>660</v>
      </c>
      <c r="F227" t="s">
        <v>631</v>
      </c>
      <c r="G227" t="s">
        <v>671</v>
      </c>
      <c r="H227" t="s">
        <v>702</v>
      </c>
      <c r="I227" t="s">
        <v>930</v>
      </c>
      <c r="J227" t="s">
        <v>1313</v>
      </c>
      <c r="K227">
        <v>44007</v>
      </c>
      <c r="L227">
        <v>0.019669928996353</v>
      </c>
      <c r="M227">
        <v>-0.08714467094631428</v>
      </c>
      <c r="N227">
        <v>0.06</v>
      </c>
      <c r="O227">
        <v>-0.003608209378805016</v>
      </c>
      <c r="P227" t="s">
        <v>636</v>
      </c>
      <c r="Q227" t="s">
        <v>381</v>
      </c>
      <c r="R227">
        <v>16</v>
      </c>
      <c r="S227">
        <v>0.3727272727272727</v>
      </c>
      <c r="T227">
        <v>66</v>
      </c>
      <c r="U227">
        <v>1.577575757575758</v>
      </c>
      <c r="V227">
        <v>5.4885</v>
      </c>
      <c r="W227">
        <v>5.5</v>
      </c>
      <c r="X227">
        <v>2.05</v>
      </c>
      <c r="Y227">
        <v>0.493252</v>
      </c>
      <c r="Z227">
        <v>0.2603648424543947</v>
      </c>
      <c r="AA227">
        <v>0.9500805152979066</v>
      </c>
      <c r="AB227">
        <v>0.6430868167202572</v>
      </c>
      <c r="AC227">
        <v>0.1446945337620579</v>
      </c>
      <c r="AD227">
        <v>0.1141479099678457</v>
      </c>
    </row>
    <row r="228" spans="1:30">
      <c r="A228" s="1" t="s">
        <v>235</v>
      </c>
      <c r="B228">
        <f>HYPERLINK("https://www.suredividend.com/sure-analysis-WABC/","Westamerica Bancorporation")</f>
        <v>0</v>
      </c>
      <c r="C228">
        <v>63.54</v>
      </c>
      <c r="D228">
        <v>1702.967267</v>
      </c>
      <c r="E228" t="s">
        <v>665</v>
      </c>
      <c r="F228" t="s">
        <v>631</v>
      </c>
      <c r="G228" t="s">
        <v>671</v>
      </c>
      <c r="H228" t="s">
        <v>701</v>
      </c>
      <c r="I228" t="s">
        <v>931</v>
      </c>
      <c r="J228" t="s">
        <v>1312</v>
      </c>
      <c r="K228">
        <v>44028</v>
      </c>
      <c r="L228">
        <v>0.025937055195318</v>
      </c>
      <c r="M228">
        <v>-0.05454947927605014</v>
      </c>
      <c r="N228">
        <v>0.02</v>
      </c>
      <c r="O228">
        <v>-0.005862568637847732</v>
      </c>
      <c r="P228" t="s">
        <v>636</v>
      </c>
      <c r="Q228" t="s">
        <v>381</v>
      </c>
      <c r="R228">
        <v>28</v>
      </c>
      <c r="S228">
        <v>0.6142322097378278</v>
      </c>
      <c r="T228">
        <v>48</v>
      </c>
      <c r="U228">
        <v>1.32375</v>
      </c>
      <c r="V228">
        <v>2.8748</v>
      </c>
      <c r="W228">
        <v>2.67</v>
      </c>
      <c r="X228">
        <v>1.64</v>
      </c>
      <c r="Y228">
        <v>0.023086</v>
      </c>
      <c r="Z228">
        <v>0.3548922056384743</v>
      </c>
      <c r="AA228">
        <v>0.6682769726247987</v>
      </c>
      <c r="AB228">
        <v>0.157556270096463</v>
      </c>
      <c r="AC228">
        <v>0.2942122186495177</v>
      </c>
      <c r="AD228">
        <v>0.1093247588424437</v>
      </c>
    </row>
    <row r="229" spans="1:30">
      <c r="A229" s="1" t="s">
        <v>236</v>
      </c>
      <c r="B229">
        <f>HYPERLINK("https://www.suredividend.com/sure-analysis-ITW/","Illinois Tool Works, Inc.")</f>
        <v>0</v>
      </c>
      <c r="C229">
        <v>196.32</v>
      </c>
      <c r="D229">
        <v>61914.20029</v>
      </c>
      <c r="E229" t="s">
        <v>661</v>
      </c>
      <c r="F229" t="s">
        <v>631</v>
      </c>
      <c r="G229" t="s">
        <v>671</v>
      </c>
      <c r="H229" t="s">
        <v>702</v>
      </c>
      <c r="I229" t="s">
        <v>932</v>
      </c>
      <c r="J229" t="s">
        <v>1315</v>
      </c>
      <c r="K229">
        <v>44049</v>
      </c>
      <c r="L229">
        <v>0.0218556911607</v>
      </c>
      <c r="M229">
        <v>-0.0952752250119866</v>
      </c>
      <c r="N229">
        <v>0.07000000000000001</v>
      </c>
      <c r="O229">
        <v>-0.006205760023333617</v>
      </c>
      <c r="P229" t="s">
        <v>636</v>
      </c>
      <c r="Q229" t="s">
        <v>381</v>
      </c>
      <c r="R229">
        <v>45</v>
      </c>
      <c r="S229">
        <v>0.7781818181818182</v>
      </c>
      <c r="T229">
        <v>119</v>
      </c>
      <c r="U229">
        <v>1.649747899159664</v>
      </c>
      <c r="V229">
        <v>6.8308</v>
      </c>
      <c r="W229">
        <v>5.5</v>
      </c>
      <c r="X229">
        <v>4.28</v>
      </c>
      <c r="Y229">
        <v>0.263175</v>
      </c>
      <c r="Z229">
        <v>0.2985074626865672</v>
      </c>
      <c r="AA229">
        <v>0.8663446054750402</v>
      </c>
      <c r="AB229">
        <v>0.7355305466237942</v>
      </c>
      <c r="AC229">
        <v>0.1189710610932476</v>
      </c>
      <c r="AD229">
        <v>0.1077170418006431</v>
      </c>
    </row>
    <row r="230" spans="1:30">
      <c r="A230" s="1" t="s">
        <v>237</v>
      </c>
      <c r="B230">
        <f>HYPERLINK("https://www.suredividend.com/sure-analysis-FAST/","Fastenal Co.")</f>
        <v>0</v>
      </c>
      <c r="C230">
        <v>47.395</v>
      </c>
      <c r="D230">
        <v>27493.89418</v>
      </c>
      <c r="E230" t="s">
        <v>661</v>
      </c>
      <c r="F230" t="s">
        <v>631</v>
      </c>
      <c r="G230" t="s">
        <v>671</v>
      </c>
      <c r="H230" t="s">
        <v>701</v>
      </c>
      <c r="I230" t="s">
        <v>933</v>
      </c>
      <c r="J230" t="s">
        <v>1315</v>
      </c>
      <c r="K230">
        <v>44028</v>
      </c>
      <c r="L230">
        <v>0.019611934070519</v>
      </c>
      <c r="M230">
        <v>-0.09991173257119301</v>
      </c>
      <c r="N230">
        <v>0.07000000000000001</v>
      </c>
      <c r="O230">
        <v>-0.009948801555095033</v>
      </c>
      <c r="P230" t="s">
        <v>636</v>
      </c>
      <c r="Q230" t="s">
        <v>420</v>
      </c>
      <c r="R230">
        <v>20</v>
      </c>
      <c r="S230">
        <v>0.6962962962962963</v>
      </c>
      <c r="T230">
        <v>28</v>
      </c>
      <c r="U230">
        <v>1.692678571428571</v>
      </c>
      <c r="V230">
        <v>1.4534</v>
      </c>
      <c r="W230">
        <v>1.35</v>
      </c>
      <c r="X230">
        <v>0.9400000000000001</v>
      </c>
      <c r="Y230">
        <v>0.629119</v>
      </c>
      <c r="Z230">
        <v>0.2587064676616915</v>
      </c>
      <c r="AA230">
        <v>0.9758454106280193</v>
      </c>
      <c r="AB230">
        <v>0.7355305466237942</v>
      </c>
      <c r="AC230">
        <v>0.1093247588424437</v>
      </c>
      <c r="AD230">
        <v>0.09967845659163987</v>
      </c>
    </row>
    <row r="231" spans="1:30">
      <c r="A231" s="1" t="s">
        <v>238</v>
      </c>
      <c r="B231">
        <f>HYPERLINK("https://www.suredividend.com/sure-analysis-NKE/","NIKE, Inc.")</f>
        <v>0</v>
      </c>
      <c r="C231">
        <v>105.12</v>
      </c>
      <c r="D231">
        <v>164425.8967</v>
      </c>
      <c r="E231" t="s">
        <v>661</v>
      </c>
      <c r="F231" t="s">
        <v>631</v>
      </c>
      <c r="G231" t="s">
        <v>671</v>
      </c>
      <c r="H231" t="s">
        <v>702</v>
      </c>
      <c r="I231" t="s">
        <v>934</v>
      </c>
      <c r="J231" t="s">
        <v>1313</v>
      </c>
      <c r="K231">
        <v>44014</v>
      </c>
      <c r="L231">
        <v>0.009059861493216</v>
      </c>
      <c r="M231">
        <v>-0.1121317453150767</v>
      </c>
      <c r="N231">
        <v>0.1</v>
      </c>
      <c r="O231">
        <v>-0.01018947330404418</v>
      </c>
      <c r="P231" t="s">
        <v>636</v>
      </c>
      <c r="Q231" t="s">
        <v>420</v>
      </c>
      <c r="R231">
        <v>18</v>
      </c>
      <c r="S231">
        <v>0.596875</v>
      </c>
      <c r="T231">
        <v>58</v>
      </c>
      <c r="U231">
        <v>1.812413793103448</v>
      </c>
      <c r="V231">
        <v>1.6258</v>
      </c>
      <c r="W231">
        <v>1.6</v>
      </c>
      <c r="X231">
        <v>0.9550000000000001</v>
      </c>
      <c r="Y231">
        <v>0.227229</v>
      </c>
      <c r="Z231">
        <v>0.06633499170812604</v>
      </c>
      <c r="AA231">
        <v>0.8389694041867954</v>
      </c>
      <c r="AB231">
        <v>0.907556270096463</v>
      </c>
      <c r="AC231">
        <v>0.07234726688102894</v>
      </c>
      <c r="AD231">
        <v>0.09807073954983922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277.79</v>
      </c>
      <c r="D232">
        <v>138883.75872</v>
      </c>
      <c r="E232" t="s">
        <v>669</v>
      </c>
      <c r="F232" t="s">
        <v>631</v>
      </c>
      <c r="G232" t="s">
        <v>671</v>
      </c>
      <c r="H232" t="s">
        <v>702</v>
      </c>
      <c r="I232" t="s">
        <v>890</v>
      </c>
      <c r="J232" t="s">
        <v>1314</v>
      </c>
      <c r="K232">
        <v>44042</v>
      </c>
      <c r="L232">
        <v>0.018685657876181</v>
      </c>
      <c r="M232">
        <v>-0.1033522693517681</v>
      </c>
      <c r="N232">
        <v>0.07000000000000001</v>
      </c>
      <c r="O232">
        <v>-0.01202331040177218</v>
      </c>
      <c r="P232" t="s">
        <v>636</v>
      </c>
      <c r="Q232" t="s">
        <v>420</v>
      </c>
      <c r="R232">
        <v>25</v>
      </c>
      <c r="S232">
        <v>0.5921787709497207</v>
      </c>
      <c r="T232">
        <v>161</v>
      </c>
      <c r="U232">
        <v>1.725403726708075</v>
      </c>
      <c r="V232">
        <v>7.2819</v>
      </c>
      <c r="W232">
        <v>8.949999999999999</v>
      </c>
      <c r="X232">
        <v>5.3</v>
      </c>
      <c r="Y232">
        <v>0.337143</v>
      </c>
      <c r="Z232">
        <v>0.2371475953565506</v>
      </c>
      <c r="AA232">
        <v>0.9049919484702094</v>
      </c>
      <c r="AB232">
        <v>0.7355305466237942</v>
      </c>
      <c r="AC232">
        <v>0.09967845659163987</v>
      </c>
      <c r="AD232">
        <v>0.09485530546623794</v>
      </c>
    </row>
    <row r="233" spans="1:30">
      <c r="A233" s="1" t="s">
        <v>240</v>
      </c>
      <c r="B233">
        <f>HYPERLINK("https://www.suredividend.com/sure-analysis-QCOM/","QUALCOMM, Inc.")</f>
        <v>0</v>
      </c>
      <c r="C233">
        <v>108.76</v>
      </c>
      <c r="D233">
        <v>120002.7972</v>
      </c>
      <c r="E233" t="s">
        <v>665</v>
      </c>
      <c r="F233" t="s">
        <v>631</v>
      </c>
      <c r="G233" t="s">
        <v>671</v>
      </c>
      <c r="H233" t="s">
        <v>701</v>
      </c>
      <c r="I233" t="s">
        <v>935</v>
      </c>
      <c r="J233" t="s">
        <v>1318</v>
      </c>
      <c r="K233">
        <v>44042</v>
      </c>
      <c r="L233">
        <v>0.023599097405039</v>
      </c>
      <c r="M233">
        <v>-0.1121565188647713</v>
      </c>
      <c r="N233">
        <v>0.07000000000000001</v>
      </c>
      <c r="O233">
        <v>-0.01633817244472746</v>
      </c>
      <c r="P233" t="s">
        <v>636</v>
      </c>
      <c r="Q233" t="s">
        <v>381</v>
      </c>
      <c r="R233">
        <v>18</v>
      </c>
      <c r="S233">
        <v>0.6502590673575129</v>
      </c>
      <c r="T233">
        <v>60</v>
      </c>
      <c r="U233">
        <v>1.812666666666667</v>
      </c>
      <c r="V233">
        <v>2.392</v>
      </c>
      <c r="W233">
        <v>3.86</v>
      </c>
      <c r="X233">
        <v>2.51</v>
      </c>
      <c r="Y233">
        <v>0.519085</v>
      </c>
      <c r="Z233">
        <v>0.3233830845771144</v>
      </c>
      <c r="AA233">
        <v>0.9581320450885669</v>
      </c>
      <c r="AB233">
        <v>0.7355305466237942</v>
      </c>
      <c r="AC233">
        <v>0.0707395498392283</v>
      </c>
      <c r="AD233">
        <v>0.0819935691318328</v>
      </c>
    </row>
    <row r="234" spans="1:30">
      <c r="A234" s="1" t="s">
        <v>241</v>
      </c>
      <c r="B234">
        <f>HYPERLINK("https://www.suredividend.com/sure-analysis-CBU/","Community Bank System, Inc.")</f>
        <v>0</v>
      </c>
      <c r="C234">
        <v>61.17</v>
      </c>
      <c r="D234">
        <v>3210.711504</v>
      </c>
      <c r="E234" t="s">
        <v>663</v>
      </c>
      <c r="F234" t="s">
        <v>631</v>
      </c>
      <c r="G234" t="s">
        <v>671</v>
      </c>
      <c r="H234" t="s">
        <v>702</v>
      </c>
      <c r="I234" t="s">
        <v>936</v>
      </c>
      <c r="J234" t="s">
        <v>1312</v>
      </c>
      <c r="K234">
        <v>44043</v>
      </c>
      <c r="L234">
        <v>0.027306027306027</v>
      </c>
      <c r="M234">
        <v>-0.09082178026325716</v>
      </c>
      <c r="N234">
        <v>0.04</v>
      </c>
      <c r="O234">
        <v>-0.01637278310313128</v>
      </c>
      <c r="P234" t="s">
        <v>636</v>
      </c>
      <c r="Q234" t="s">
        <v>636</v>
      </c>
      <c r="R234">
        <v>27</v>
      </c>
      <c r="S234">
        <v>0.5655172413793104</v>
      </c>
      <c r="T234">
        <v>38</v>
      </c>
      <c r="U234">
        <v>1.609736842105263</v>
      </c>
      <c r="V234">
        <v>3.021</v>
      </c>
      <c r="W234">
        <v>2.9</v>
      </c>
      <c r="X234">
        <v>1.64</v>
      </c>
      <c r="Y234">
        <v>-0.042981</v>
      </c>
      <c r="Z234">
        <v>0.384742951907131</v>
      </c>
      <c r="AA234">
        <v>0.5748792270531401</v>
      </c>
      <c r="AB234">
        <v>0.3858520900321543</v>
      </c>
      <c r="AC234">
        <v>0.135048231511254</v>
      </c>
      <c r="AD234">
        <v>0.08038585209003216</v>
      </c>
    </row>
    <row r="235" spans="1:30">
      <c r="A235" s="1" t="s">
        <v>242</v>
      </c>
      <c r="B235">
        <f>HYPERLINK("https://www.suredividend.com/sure-analysis-XEL/","Xcel Energy, Inc.")</f>
        <v>0</v>
      </c>
      <c r="C235">
        <v>70.48999999999999</v>
      </c>
      <c r="D235">
        <v>38061.0279</v>
      </c>
      <c r="E235" t="s">
        <v>661</v>
      </c>
      <c r="F235" t="s">
        <v>631</v>
      </c>
      <c r="G235" t="s">
        <v>671</v>
      </c>
      <c r="H235" t="s">
        <v>701</v>
      </c>
      <c r="I235" t="s">
        <v>937</v>
      </c>
      <c r="J235" t="s">
        <v>1314</v>
      </c>
      <c r="K235">
        <v>44049</v>
      </c>
      <c r="L235">
        <v>0.023050379572118</v>
      </c>
      <c r="M235">
        <v>-0.08995046271278828</v>
      </c>
      <c r="N235">
        <v>0.04</v>
      </c>
      <c r="O235">
        <v>-0.02155362370206815</v>
      </c>
      <c r="P235" t="s">
        <v>636</v>
      </c>
      <c r="Q235" t="s">
        <v>381</v>
      </c>
      <c r="R235">
        <v>17</v>
      </c>
      <c r="S235">
        <v>0.6072727272727273</v>
      </c>
      <c r="T235">
        <v>44</v>
      </c>
      <c r="U235">
        <v>1.602045454545454</v>
      </c>
      <c r="V235">
        <v>2.677</v>
      </c>
      <c r="W235">
        <v>2.75</v>
      </c>
      <c r="X235">
        <v>1.67</v>
      </c>
      <c r="Y235">
        <v>0.173589</v>
      </c>
      <c r="Z235">
        <v>0.3134328358208955</v>
      </c>
      <c r="AA235">
        <v>0.8003220611916264</v>
      </c>
      <c r="AB235">
        <v>0.3858520900321543</v>
      </c>
      <c r="AC235">
        <v>0.1366559485530547</v>
      </c>
      <c r="AD235">
        <v>0.07395498392282958</v>
      </c>
    </row>
    <row r="236" spans="1:30">
      <c r="A236" s="1" t="s">
        <v>243</v>
      </c>
      <c r="B236">
        <f>HYPERLINK("https://www.suredividend.com/sure-analysis-MORN/","Morningstar, Inc.")</f>
        <v>0</v>
      </c>
      <c r="C236">
        <v>158.64</v>
      </c>
      <c r="D236">
        <v>6805.585472</v>
      </c>
      <c r="E236" t="s">
        <v>663</v>
      </c>
      <c r="F236" t="s">
        <v>631</v>
      </c>
      <c r="G236" t="s">
        <v>671</v>
      </c>
      <c r="H236" t="s">
        <v>701</v>
      </c>
      <c r="I236" t="s">
        <v>938</v>
      </c>
      <c r="J236" t="s">
        <v>1312</v>
      </c>
      <c r="K236">
        <v>44044</v>
      </c>
      <c r="L236">
        <v>0.007441977800201001</v>
      </c>
      <c r="M236">
        <v>-0.09746889006057602</v>
      </c>
      <c r="N236">
        <v>0.06</v>
      </c>
      <c r="O236">
        <v>-0.03215089963140272</v>
      </c>
      <c r="P236" t="s">
        <v>636</v>
      </c>
      <c r="Q236" t="s">
        <v>420</v>
      </c>
      <c r="R236">
        <v>10</v>
      </c>
      <c r="S236">
        <v>0.3371428571428571</v>
      </c>
      <c r="T236">
        <v>95</v>
      </c>
      <c r="U236">
        <v>1.669894736842105</v>
      </c>
      <c r="V236">
        <v>3.4727</v>
      </c>
      <c r="W236">
        <v>3.5</v>
      </c>
      <c r="X236">
        <v>1.18</v>
      </c>
      <c r="Y236">
        <v>0.044222</v>
      </c>
      <c r="Z236">
        <v>0.04975124378109452</v>
      </c>
      <c r="AA236">
        <v>0.6827697262479872</v>
      </c>
      <c r="AB236">
        <v>0.6430868167202572</v>
      </c>
      <c r="AC236">
        <v>0.1141479099678457</v>
      </c>
      <c r="AD236">
        <v>0.06430868167202572</v>
      </c>
    </row>
    <row r="237" spans="1:30">
      <c r="A237" s="1" t="s">
        <v>244</v>
      </c>
      <c r="B237">
        <f>HYPERLINK("https://www.suredividend.com/sure-analysis-APD/","Air Products &amp; Chemicals, Inc.")</f>
        <v>0</v>
      </c>
      <c r="C237">
        <v>281.6</v>
      </c>
      <c r="D237">
        <v>62124.22856</v>
      </c>
      <c r="E237" t="s">
        <v>659</v>
      </c>
      <c r="F237" t="s">
        <v>631</v>
      </c>
      <c r="G237" t="s">
        <v>671</v>
      </c>
      <c r="H237" t="s">
        <v>702</v>
      </c>
      <c r="I237" t="s">
        <v>939</v>
      </c>
      <c r="J237" t="s">
        <v>1321</v>
      </c>
      <c r="K237">
        <v>44041</v>
      </c>
      <c r="L237">
        <v>0.017778409899018</v>
      </c>
      <c r="M237">
        <v>-0.1171867163150921</v>
      </c>
      <c r="N237">
        <v>0.06</v>
      </c>
      <c r="O237">
        <v>-0.0354844152087721</v>
      </c>
      <c r="P237" t="s">
        <v>636</v>
      </c>
      <c r="Q237" t="s">
        <v>381</v>
      </c>
      <c r="R237">
        <v>38</v>
      </c>
      <c r="S237">
        <v>0.5952380952380952</v>
      </c>
      <c r="T237">
        <v>151</v>
      </c>
      <c r="U237">
        <v>1.864900662251656</v>
      </c>
      <c r="V237">
        <v>8.6762</v>
      </c>
      <c r="W237">
        <v>8.4</v>
      </c>
      <c r="X237">
        <v>5</v>
      </c>
      <c r="Y237">
        <v>0.235591</v>
      </c>
      <c r="Z237">
        <v>0.2155887230514096</v>
      </c>
      <c r="AA237">
        <v>0.8502415458937197</v>
      </c>
      <c r="AB237">
        <v>0.6430868167202572</v>
      </c>
      <c r="AC237">
        <v>0.05787781350482315</v>
      </c>
      <c r="AD237">
        <v>0.05787781350482315</v>
      </c>
    </row>
    <row r="238" spans="1:30">
      <c r="A238" s="1" t="s">
        <v>245</v>
      </c>
      <c r="B238">
        <f>HYPERLINK("https://www.suredividend.com/sure-analysis-CHRW/","C.H. Robinson Worldwide, Inc.")</f>
        <v>0</v>
      </c>
      <c r="C238">
        <v>95.38</v>
      </c>
      <c r="D238">
        <v>13029.29472</v>
      </c>
      <c r="E238" t="s">
        <v>668</v>
      </c>
      <c r="F238" t="s">
        <v>631</v>
      </c>
      <c r="G238" t="s">
        <v>671</v>
      </c>
      <c r="H238" t="s">
        <v>701</v>
      </c>
      <c r="I238" t="s">
        <v>940</v>
      </c>
      <c r="J238" t="s">
        <v>1315</v>
      </c>
      <c r="K238">
        <v>43958</v>
      </c>
      <c r="L238">
        <v>0.021005794701986</v>
      </c>
      <c r="M238">
        <v>-0.1108731807907145</v>
      </c>
      <c r="N238">
        <v>0.05</v>
      </c>
      <c r="O238">
        <v>-0.03553119058862919</v>
      </c>
      <c r="P238" t="s">
        <v>636</v>
      </c>
      <c r="Q238" t="s">
        <v>420</v>
      </c>
      <c r="R238">
        <v>22</v>
      </c>
      <c r="S238">
        <v>0.6835016835016834</v>
      </c>
      <c r="T238">
        <v>53</v>
      </c>
      <c r="U238">
        <v>1.799622641509434</v>
      </c>
      <c r="V238">
        <v>3.4488</v>
      </c>
      <c r="W238">
        <v>2.97</v>
      </c>
      <c r="X238">
        <v>2.03</v>
      </c>
      <c r="Y238">
        <v>0.113061</v>
      </c>
      <c r="Z238">
        <v>0.2885572139303483</v>
      </c>
      <c r="AA238">
        <v>0.7584541062801933</v>
      </c>
      <c r="AB238">
        <v>0.5168810289389068</v>
      </c>
      <c r="AC238">
        <v>0.07556270096463023</v>
      </c>
      <c r="AD238">
        <v>0.05627009646302251</v>
      </c>
    </row>
    <row r="239" spans="1:30">
      <c r="A239" s="1" t="s">
        <v>246</v>
      </c>
      <c r="B239">
        <f>HYPERLINK("https://www.suredividend.com/sure-analysis-OMI/","Owens &amp; Minor, Inc.")</f>
        <v>0</v>
      </c>
      <c r="C239">
        <v>14.82</v>
      </c>
      <c r="D239">
        <v>878.268501</v>
      </c>
      <c r="E239" t="s">
        <v>661</v>
      </c>
      <c r="F239" t="s">
        <v>631</v>
      </c>
      <c r="G239" t="s">
        <v>671</v>
      </c>
      <c r="H239" t="s">
        <v>702</v>
      </c>
      <c r="I239" t="s">
        <v>941</v>
      </c>
      <c r="J239" t="s">
        <v>1316</v>
      </c>
      <c r="K239">
        <v>44049</v>
      </c>
      <c r="L239">
        <v>0.0007262164124900001</v>
      </c>
      <c r="M239">
        <v>-0.07751906739642034</v>
      </c>
      <c r="N239">
        <v>0.04</v>
      </c>
      <c r="O239">
        <v>-0.03982464374892547</v>
      </c>
      <c r="P239" t="s">
        <v>636</v>
      </c>
      <c r="Q239" t="s">
        <v>596</v>
      </c>
      <c r="R239">
        <v>0</v>
      </c>
      <c r="S239">
        <v>0.00909090909090909</v>
      </c>
      <c r="T239">
        <v>9.9</v>
      </c>
      <c r="U239">
        <v>1.496969696969697</v>
      </c>
      <c r="V239">
        <v>-1.726</v>
      </c>
      <c r="W239">
        <v>1.1</v>
      </c>
      <c r="X239">
        <v>0.01</v>
      </c>
      <c r="Y239">
        <v>1.81457</v>
      </c>
      <c r="Z239">
        <v>0.001658374792703151</v>
      </c>
      <c r="AA239">
        <v>0.996779388083736</v>
      </c>
      <c r="AB239">
        <v>0.3858520900321543</v>
      </c>
      <c r="AC239">
        <v>0.1784565916398714</v>
      </c>
      <c r="AD239">
        <v>0.05144694533762058</v>
      </c>
    </row>
    <row r="240" spans="1:30">
      <c r="A240" s="1" t="s">
        <v>247</v>
      </c>
      <c r="B240">
        <f>HYPERLINK("https://www.suredividend.com/sure-analysis-WSM/","Williams-Sonoma, Inc.")</f>
        <v>0</v>
      </c>
      <c r="C240">
        <v>92.94</v>
      </c>
      <c r="D240">
        <v>7296.90456</v>
      </c>
      <c r="E240" t="s">
        <v>661</v>
      </c>
      <c r="F240" t="s">
        <v>631</v>
      </c>
      <c r="G240" t="s">
        <v>671</v>
      </c>
      <c r="H240" t="s">
        <v>702</v>
      </c>
      <c r="I240" t="s">
        <v>942</v>
      </c>
      <c r="J240" t="s">
        <v>1313</v>
      </c>
      <c r="K240">
        <v>43985</v>
      </c>
      <c r="L240">
        <v>0.020460358056265</v>
      </c>
      <c r="M240">
        <v>-0.1201701699120172</v>
      </c>
      <c r="N240">
        <v>0.05</v>
      </c>
      <c r="O240">
        <v>-0.04539242341036998</v>
      </c>
      <c r="P240" t="s">
        <v>636</v>
      </c>
      <c r="Q240" t="s">
        <v>420</v>
      </c>
      <c r="R240">
        <v>14</v>
      </c>
      <c r="S240">
        <v>0.5485714285714286</v>
      </c>
      <c r="T240">
        <v>49</v>
      </c>
      <c r="U240">
        <v>1.896734693877551</v>
      </c>
      <c r="V240">
        <v>4.3621</v>
      </c>
      <c r="W240">
        <v>3.5</v>
      </c>
      <c r="X240">
        <v>1.92</v>
      </c>
      <c r="Y240">
        <v>0.417897</v>
      </c>
      <c r="Z240">
        <v>0.2786069651741294</v>
      </c>
      <c r="AA240">
        <v>0.930756843800322</v>
      </c>
      <c r="AB240">
        <v>0.5168810289389068</v>
      </c>
      <c r="AC240">
        <v>0.05305466237942122</v>
      </c>
      <c r="AD240">
        <v>0.04501607717041801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217.67</v>
      </c>
      <c r="D241">
        <v>10014.720662</v>
      </c>
      <c r="E241" t="s">
        <v>659</v>
      </c>
      <c r="F241" t="s">
        <v>631</v>
      </c>
      <c r="G241" t="s">
        <v>671</v>
      </c>
      <c r="H241" t="s">
        <v>701</v>
      </c>
      <c r="I241" t="s">
        <v>943</v>
      </c>
      <c r="J241" t="s">
        <v>1312</v>
      </c>
      <c r="K241">
        <v>44049</v>
      </c>
      <c r="L241">
        <v>0.017502997878424</v>
      </c>
      <c r="M241">
        <v>-0.126013186197477</v>
      </c>
      <c r="N241">
        <v>0.055</v>
      </c>
      <c r="O241">
        <v>-0.05107516800206235</v>
      </c>
      <c r="P241" t="s">
        <v>636</v>
      </c>
      <c r="Q241" t="s">
        <v>420</v>
      </c>
      <c r="R241">
        <v>30</v>
      </c>
      <c r="S241">
        <v>0.6170731707317073</v>
      </c>
      <c r="T241">
        <v>111</v>
      </c>
      <c r="U241">
        <v>1.960990990990991</v>
      </c>
      <c r="V241">
        <v>6.3358</v>
      </c>
      <c r="W241">
        <v>6.15</v>
      </c>
      <c r="X241">
        <v>3.795</v>
      </c>
      <c r="Y241">
        <v>-0.030876</v>
      </c>
      <c r="Z241">
        <v>0.2056384742951907</v>
      </c>
      <c r="AA241">
        <v>0.5925925925925926</v>
      </c>
      <c r="AB241">
        <v>0.5884244372990354</v>
      </c>
      <c r="AC241">
        <v>0.04180064308681672</v>
      </c>
      <c r="AD241">
        <v>0.03054662379421222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5.8</v>
      </c>
      <c r="D242">
        <v>6128.71616</v>
      </c>
      <c r="E242" t="s">
        <v>668</v>
      </c>
      <c r="F242" t="s">
        <v>631</v>
      </c>
      <c r="G242" t="s">
        <v>672</v>
      </c>
      <c r="H242" t="s">
        <v>702</v>
      </c>
      <c r="I242" t="s">
        <v>944</v>
      </c>
      <c r="J242" t="s">
        <v>1321</v>
      </c>
      <c r="K242">
        <v>43971</v>
      </c>
      <c r="L242">
        <v>0.007522609341351001</v>
      </c>
      <c r="M242">
        <v>-0.1166245611171753</v>
      </c>
      <c r="N242">
        <v>0.018</v>
      </c>
      <c r="O242">
        <v>-0.05546167647246802</v>
      </c>
      <c r="P242" t="s">
        <v>636</v>
      </c>
      <c r="Q242" t="s">
        <v>420</v>
      </c>
      <c r="R242">
        <v>1</v>
      </c>
      <c r="S242">
        <v>0.01088665261984337</v>
      </c>
      <c r="T242">
        <v>3.12</v>
      </c>
      <c r="U242">
        <v>1.858974358974359</v>
      </c>
      <c r="V242">
        <v>0.2745</v>
      </c>
      <c r="W242">
        <v>4.45</v>
      </c>
      <c r="X242">
        <v>0.04844560415830301</v>
      </c>
      <c r="Y242">
        <v>0.8305079999999999</v>
      </c>
      <c r="Z242">
        <v>0.05140961857379768</v>
      </c>
      <c r="AA242">
        <v>0.9838969404186796</v>
      </c>
      <c r="AB242">
        <v>0.1197749196141479</v>
      </c>
      <c r="AC242">
        <v>0.05948553054662379</v>
      </c>
      <c r="AD242">
        <v>0.02893890675241157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6.53</v>
      </c>
      <c r="D243">
        <v>17539.9581</v>
      </c>
      <c r="E243" t="s">
        <v>666</v>
      </c>
      <c r="F243" t="s">
        <v>632</v>
      </c>
      <c r="G243" t="s">
        <v>671</v>
      </c>
      <c r="H243" t="s">
        <v>702</v>
      </c>
      <c r="I243" t="s">
        <v>945</v>
      </c>
      <c r="J243" t="s">
        <v>1317</v>
      </c>
      <c r="K243">
        <v>44006</v>
      </c>
      <c r="L243">
        <v>0.187403993855606</v>
      </c>
      <c r="M243">
        <v>0.05165483042172747</v>
      </c>
      <c r="N243">
        <v>0.074</v>
      </c>
      <c r="O243">
        <v>0.2230699293467093</v>
      </c>
      <c r="P243" t="s">
        <v>381</v>
      </c>
      <c r="Q243" t="s">
        <v>635</v>
      </c>
      <c r="R243">
        <v>0</v>
      </c>
      <c r="S243">
        <v>0.8714285714285714</v>
      </c>
      <c r="T243">
        <v>8.4</v>
      </c>
      <c r="U243">
        <v>0.7773809523809524</v>
      </c>
      <c r="V243">
        <v>0.5124000000000001</v>
      </c>
      <c r="W243">
        <v>1.4</v>
      </c>
      <c r="X243">
        <v>1.22</v>
      </c>
      <c r="Y243">
        <v>-0.541696</v>
      </c>
      <c r="Z243">
        <v>0.9817578772802653</v>
      </c>
      <c r="AA243">
        <v>0.05314009661835748</v>
      </c>
      <c r="AB243">
        <v>0.770096463022508</v>
      </c>
      <c r="AC243">
        <v>0.9067524115755627</v>
      </c>
      <c r="AD243">
        <v>0.9951768488745981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30.03</v>
      </c>
      <c r="D244">
        <v>13423.78444</v>
      </c>
      <c r="E244" t="s">
        <v>659</v>
      </c>
      <c r="F244" t="s">
        <v>631</v>
      </c>
      <c r="G244" t="s">
        <v>671</v>
      </c>
      <c r="H244" t="s">
        <v>702</v>
      </c>
      <c r="I244" t="s">
        <v>946</v>
      </c>
      <c r="J244" t="s">
        <v>1317</v>
      </c>
      <c r="K244">
        <v>44050</v>
      </c>
      <c r="L244">
        <v>0.123097286565188</v>
      </c>
      <c r="M244">
        <v>0.07444112937014591</v>
      </c>
      <c r="N244">
        <v>0.03</v>
      </c>
      <c r="O244">
        <v>0.1814175560200062</v>
      </c>
      <c r="P244" t="s">
        <v>381</v>
      </c>
      <c r="Q244" t="s">
        <v>635</v>
      </c>
      <c r="R244">
        <v>18</v>
      </c>
      <c r="S244">
        <v>0.8651162790697674</v>
      </c>
      <c r="T244">
        <v>43</v>
      </c>
      <c r="U244">
        <v>0.6983720930232559</v>
      </c>
      <c r="V244">
        <v>1.497</v>
      </c>
      <c r="W244">
        <v>4.3</v>
      </c>
      <c r="X244">
        <v>3.72</v>
      </c>
      <c r="Y244">
        <v>-0.572527</v>
      </c>
      <c r="Z244">
        <v>0.9369817578772803</v>
      </c>
      <c r="AA244">
        <v>0.04186795491143317</v>
      </c>
      <c r="AB244">
        <v>0.2540192926045016</v>
      </c>
      <c r="AC244">
        <v>0.9662379421221865</v>
      </c>
      <c r="AD244">
        <v>0.9887459807073955</v>
      </c>
    </row>
    <row r="245" spans="1:30">
      <c r="A245" s="1" t="s">
        <v>252</v>
      </c>
      <c r="B245">
        <f>HYPERLINK("https://www.suredividend.com/sure-analysis-MMP/","Magellan Midstream Partners LP")</f>
        <v>0</v>
      </c>
      <c r="C245">
        <v>40.92</v>
      </c>
      <c r="D245">
        <v>9225.04544</v>
      </c>
      <c r="E245" t="s">
        <v>662</v>
      </c>
      <c r="F245" t="s">
        <v>632</v>
      </c>
      <c r="G245" t="s">
        <v>671</v>
      </c>
      <c r="H245" t="s">
        <v>702</v>
      </c>
      <c r="I245" t="s">
        <v>947</v>
      </c>
      <c r="J245" t="s">
        <v>1317</v>
      </c>
      <c r="K245">
        <v>44053</v>
      </c>
      <c r="L245">
        <v>0.09971944376677201</v>
      </c>
      <c r="M245">
        <v>0.05704049889376561</v>
      </c>
      <c r="N245">
        <v>0.04</v>
      </c>
      <c r="O245">
        <v>0.1677339155425421</v>
      </c>
      <c r="P245" t="s">
        <v>381</v>
      </c>
      <c r="Q245" t="s">
        <v>635</v>
      </c>
      <c r="R245">
        <v>20</v>
      </c>
      <c r="S245">
        <v>0.9083333333333334</v>
      </c>
      <c r="T245">
        <v>54</v>
      </c>
      <c r="U245">
        <v>0.7577777777777778</v>
      </c>
      <c r="V245">
        <v>4.3038</v>
      </c>
      <c r="W245">
        <v>4.5</v>
      </c>
      <c r="X245">
        <v>4.0875</v>
      </c>
      <c r="Y245">
        <v>-0.369286</v>
      </c>
      <c r="Z245">
        <v>0.8922056384742951</v>
      </c>
      <c r="AA245">
        <v>0.1594202898550725</v>
      </c>
      <c r="AB245">
        <v>0.3858520900321543</v>
      </c>
      <c r="AC245">
        <v>0.9292604501607716</v>
      </c>
      <c r="AD245">
        <v>0.9855305466237942</v>
      </c>
    </row>
    <row r="246" spans="1:30">
      <c r="A246" s="1" t="s">
        <v>253</v>
      </c>
      <c r="B246">
        <f>HYPERLINK("https://www.suredividend.com/sure-analysis-CWCO/","Consolidated Water Co. Ltd.")</f>
        <v>0</v>
      </c>
      <c r="C246">
        <v>12.505</v>
      </c>
      <c r="D246">
        <v>193.616745</v>
      </c>
      <c r="E246" t="s">
        <v>666</v>
      </c>
      <c r="F246" t="s">
        <v>631</v>
      </c>
      <c r="G246" t="s">
        <v>683</v>
      </c>
      <c r="H246" t="s">
        <v>701</v>
      </c>
      <c r="I246" t="s">
        <v>948</v>
      </c>
      <c r="J246" t="s">
        <v>1314</v>
      </c>
      <c r="K246">
        <v>44001</v>
      </c>
      <c r="L246">
        <v>0.026541764246682</v>
      </c>
      <c r="M246">
        <v>0.06334218861527896</v>
      </c>
      <c r="N246">
        <v>0.07000000000000001</v>
      </c>
      <c r="O246">
        <v>0.1608692614814715</v>
      </c>
      <c r="P246" t="s">
        <v>381</v>
      </c>
      <c r="Q246" t="s">
        <v>420</v>
      </c>
      <c r="R246">
        <v>3</v>
      </c>
      <c r="S246">
        <v>0.3953488372093024</v>
      </c>
      <c r="T246">
        <v>17</v>
      </c>
      <c r="U246">
        <v>0.7355882352941177</v>
      </c>
      <c r="V246">
        <v>0.5889</v>
      </c>
      <c r="W246">
        <v>0.86</v>
      </c>
      <c r="X246">
        <v>0.34</v>
      </c>
      <c r="Y246">
        <v>-0.094084</v>
      </c>
      <c r="Z246">
        <v>0.3714759535655058</v>
      </c>
      <c r="AA246">
        <v>0.4879227053140097</v>
      </c>
      <c r="AB246">
        <v>0.7355305466237942</v>
      </c>
      <c r="AC246">
        <v>0.9437299035369775</v>
      </c>
      <c r="AD246">
        <v>0.9742765273311897</v>
      </c>
    </row>
    <row r="247" spans="1:30">
      <c r="A247" s="1" t="s">
        <v>254</v>
      </c>
      <c r="B247">
        <f>HYPERLINK("https://www.suredividend.com/sure-analysis-NTAP/","NetApp, Inc.")</f>
        <v>0</v>
      </c>
      <c r="C247">
        <v>43.545</v>
      </c>
      <c r="D247">
        <v>9825.018179999999</v>
      </c>
      <c r="E247" t="s">
        <v>661</v>
      </c>
      <c r="F247" t="s">
        <v>631</v>
      </c>
      <c r="G247" t="s">
        <v>671</v>
      </c>
      <c r="H247" t="s">
        <v>701</v>
      </c>
      <c r="I247" t="s">
        <v>949</v>
      </c>
      <c r="J247" t="s">
        <v>1318</v>
      </c>
      <c r="K247">
        <v>43985</v>
      </c>
      <c r="L247">
        <v>0.04337022814547</v>
      </c>
      <c r="M247">
        <v>0.06620960630158423</v>
      </c>
      <c r="N247">
        <v>0.06</v>
      </c>
      <c r="O247">
        <v>0.1603743038740644</v>
      </c>
      <c r="P247" t="s">
        <v>381</v>
      </c>
      <c r="Q247" t="s">
        <v>381</v>
      </c>
      <c r="R247">
        <v>6</v>
      </c>
      <c r="S247">
        <v>0.48</v>
      </c>
      <c r="T247">
        <v>60</v>
      </c>
      <c r="U247">
        <v>0.72575</v>
      </c>
      <c r="V247">
        <v>3.5816</v>
      </c>
      <c r="W247">
        <v>4</v>
      </c>
      <c r="X247">
        <v>1.92</v>
      </c>
      <c r="Y247">
        <v>-0.103665</v>
      </c>
      <c r="Z247">
        <v>0.6202321724709785</v>
      </c>
      <c r="AA247">
        <v>0.4766505636070854</v>
      </c>
      <c r="AB247">
        <v>0.6430868167202572</v>
      </c>
      <c r="AC247">
        <v>0.9469453376205788</v>
      </c>
      <c r="AD247">
        <v>0.9726688102893891</v>
      </c>
    </row>
    <row r="248" spans="1:30">
      <c r="A248" s="1" t="s">
        <v>255</v>
      </c>
      <c r="B248">
        <f>HYPERLINK("https://www.suredividend.com/sure-analysis-SAXPY/","Sampo Oyj")</f>
        <v>0</v>
      </c>
      <c r="C248">
        <v>18.31</v>
      </c>
      <c r="D248">
        <v>20293.04624</v>
      </c>
      <c r="E248" t="s">
        <v>665</v>
      </c>
      <c r="F248" t="s">
        <v>631</v>
      </c>
      <c r="G248" t="s">
        <v>684</v>
      </c>
      <c r="H248" t="s">
        <v>700</v>
      </c>
      <c r="I248" t="s">
        <v>950</v>
      </c>
      <c r="J248" t="s">
        <v>1312</v>
      </c>
      <c r="K248">
        <v>43974</v>
      </c>
      <c r="L248">
        <v>0.112321135991261</v>
      </c>
      <c r="M248">
        <v>0.07264744032402315</v>
      </c>
      <c r="N248">
        <v>0.046</v>
      </c>
      <c r="O248">
        <v>0.1569504313103458</v>
      </c>
      <c r="P248" t="s">
        <v>381</v>
      </c>
      <c r="Q248" t="s">
        <v>635</v>
      </c>
      <c r="R248">
        <v>0</v>
      </c>
      <c r="S248">
        <v>0.1338932291666667</v>
      </c>
      <c r="T248">
        <v>26</v>
      </c>
      <c r="U248">
        <v>0.7042307692307692</v>
      </c>
      <c r="V248">
        <v>0.8131</v>
      </c>
      <c r="W248">
        <v>15.36</v>
      </c>
      <c r="X248">
        <v>2.0566</v>
      </c>
      <c r="Y248">
        <v>-0.154356</v>
      </c>
      <c r="Z248">
        <v>0.9237147595356551</v>
      </c>
      <c r="AA248">
        <v>0.4170692431561996</v>
      </c>
      <c r="AB248">
        <v>0.4509646302250804</v>
      </c>
      <c r="AC248">
        <v>0.9630225080385852</v>
      </c>
      <c r="AD248">
        <v>0.9662379421221865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19.33</v>
      </c>
      <c r="D249">
        <v>20518.575</v>
      </c>
      <c r="E249" t="s">
        <v>661</v>
      </c>
      <c r="F249" t="s">
        <v>632</v>
      </c>
      <c r="G249" t="s">
        <v>671</v>
      </c>
      <c r="H249" t="s">
        <v>702</v>
      </c>
      <c r="I249" t="s">
        <v>951</v>
      </c>
      <c r="J249" t="s">
        <v>1317</v>
      </c>
      <c r="K249">
        <v>44049</v>
      </c>
      <c r="L249">
        <v>0.140350877192982</v>
      </c>
      <c r="M249">
        <v>0.03537862858726859</v>
      </c>
      <c r="N249">
        <v>0.02</v>
      </c>
      <c r="O249">
        <v>0.1565661338507507</v>
      </c>
      <c r="P249" t="s">
        <v>381</v>
      </c>
      <c r="Q249" t="s">
        <v>635</v>
      </c>
      <c r="R249">
        <v>8</v>
      </c>
      <c r="S249">
        <v>0.8369230769230769</v>
      </c>
      <c r="T249">
        <v>23</v>
      </c>
      <c r="U249">
        <v>0.8404347826086955</v>
      </c>
      <c r="V249">
        <v>-1.9838</v>
      </c>
      <c r="W249">
        <v>3.25</v>
      </c>
      <c r="X249">
        <v>2.72</v>
      </c>
      <c r="Y249">
        <v>-0.330909</v>
      </c>
      <c r="Z249">
        <v>0.9510779436152571</v>
      </c>
      <c r="AA249">
        <v>0.1996779388083736</v>
      </c>
      <c r="AB249">
        <v>0.157556270096463</v>
      </c>
      <c r="AC249">
        <v>0.837620578778135</v>
      </c>
      <c r="AD249">
        <v>0.9630225080385852</v>
      </c>
    </row>
    <row r="250" spans="1:30">
      <c r="A250" s="1" t="s">
        <v>257</v>
      </c>
      <c r="B250">
        <f>HYPERLINK("https://www.suredividend.com/sure-analysis-NAVI/","Navient Corp.")</f>
        <v>0</v>
      </c>
      <c r="C250">
        <v>9.045</v>
      </c>
      <c r="D250">
        <v>1731.76811</v>
      </c>
      <c r="E250" t="s">
        <v>659</v>
      </c>
      <c r="F250" t="s">
        <v>631</v>
      </c>
      <c r="G250" t="s">
        <v>671</v>
      </c>
      <c r="H250" t="s">
        <v>701</v>
      </c>
      <c r="I250" t="s">
        <v>952</v>
      </c>
      <c r="J250" t="s">
        <v>1312</v>
      </c>
      <c r="K250">
        <v>44040</v>
      </c>
      <c r="L250">
        <v>0.071668533034714</v>
      </c>
      <c r="M250">
        <v>0.1263855109564782</v>
      </c>
      <c r="N250">
        <v>-0.02</v>
      </c>
      <c r="O250">
        <v>0.1478627759050755</v>
      </c>
      <c r="P250" t="s">
        <v>381</v>
      </c>
      <c r="Q250" t="s">
        <v>635</v>
      </c>
      <c r="R250">
        <v>0</v>
      </c>
      <c r="S250">
        <v>0.2147651006711409</v>
      </c>
      <c r="T250">
        <v>16.4</v>
      </c>
      <c r="U250">
        <v>0.5515243902439024</v>
      </c>
      <c r="V250">
        <v>1.5488</v>
      </c>
      <c r="W250">
        <v>2.98</v>
      </c>
      <c r="X250">
        <v>0.64</v>
      </c>
      <c r="Y250">
        <v>-0.359707</v>
      </c>
      <c r="Z250">
        <v>0.8242122719734659</v>
      </c>
      <c r="AA250">
        <v>0.1706924315619968</v>
      </c>
      <c r="AB250">
        <v>0.01366559485530546</v>
      </c>
      <c r="AC250">
        <v>0.9967845659163987</v>
      </c>
      <c r="AD250">
        <v>0.9469453376205788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46.16</v>
      </c>
      <c r="D251">
        <v>12507.08564</v>
      </c>
      <c r="E251" t="s">
        <v>659</v>
      </c>
      <c r="F251" t="s">
        <v>631</v>
      </c>
      <c r="G251" t="s">
        <v>671</v>
      </c>
      <c r="H251" t="s">
        <v>701</v>
      </c>
      <c r="I251" t="s">
        <v>953</v>
      </c>
      <c r="J251" t="s">
        <v>1312</v>
      </c>
      <c r="K251">
        <v>44048</v>
      </c>
      <c r="L251">
        <v>0.04872695346795401</v>
      </c>
      <c r="M251">
        <v>0.05733548320102555</v>
      </c>
      <c r="N251">
        <v>0.05</v>
      </c>
      <c r="O251">
        <v>0.1460093902626307</v>
      </c>
      <c r="P251" t="s">
        <v>381</v>
      </c>
      <c r="Q251" t="s">
        <v>636</v>
      </c>
      <c r="R251">
        <v>12</v>
      </c>
      <c r="S251">
        <v>0.4625000000000001</v>
      </c>
      <c r="T251">
        <v>61</v>
      </c>
      <c r="U251">
        <v>0.7567213114754098</v>
      </c>
      <c r="V251">
        <v>4.5836</v>
      </c>
      <c r="W251">
        <v>4.8</v>
      </c>
      <c r="X251">
        <v>2.22</v>
      </c>
      <c r="Y251">
        <v>-0.204166</v>
      </c>
      <c r="Z251">
        <v>0.6782752902155887</v>
      </c>
      <c r="AA251">
        <v>0.3542673107890499</v>
      </c>
      <c r="AB251">
        <v>0.5168810289389068</v>
      </c>
      <c r="AC251">
        <v>0.9308681672025724</v>
      </c>
      <c r="AD251">
        <v>0.9453376205787781</v>
      </c>
    </row>
    <row r="252" spans="1:30">
      <c r="A252" s="1" t="s">
        <v>259</v>
      </c>
      <c r="B252">
        <f>HYPERLINK("https://www.suredividend.com/sure-analysis-BTI/","British American Tobacco plc")</f>
        <v>0</v>
      </c>
      <c r="C252">
        <v>34</v>
      </c>
      <c r="D252">
        <v>77539.231436</v>
      </c>
      <c r="E252" t="s">
        <v>659</v>
      </c>
      <c r="F252" t="s">
        <v>631</v>
      </c>
      <c r="G252" t="s">
        <v>676</v>
      </c>
      <c r="H252" t="s">
        <v>702</v>
      </c>
      <c r="I252" t="s">
        <v>954</v>
      </c>
      <c r="J252" t="s">
        <v>1320</v>
      </c>
      <c r="K252">
        <v>43992</v>
      </c>
      <c r="L252">
        <v>0.0775</v>
      </c>
      <c r="M252">
        <v>0.05291848906511043</v>
      </c>
      <c r="N252">
        <v>0.03</v>
      </c>
      <c r="O252">
        <v>0.1397446747844207</v>
      </c>
      <c r="P252" t="s">
        <v>381</v>
      </c>
      <c r="Q252" t="s">
        <v>635</v>
      </c>
      <c r="R252">
        <v>1</v>
      </c>
      <c r="S252">
        <v>0.5714782608695652</v>
      </c>
      <c r="T252">
        <v>44</v>
      </c>
      <c r="U252">
        <v>0.7727272727272727</v>
      </c>
      <c r="V252">
        <v>3.496</v>
      </c>
      <c r="W252">
        <v>4.6</v>
      </c>
      <c r="X252">
        <v>2.6288</v>
      </c>
      <c r="Y252">
        <v>-0.115784</v>
      </c>
      <c r="Z252">
        <v>0.8407960199004976</v>
      </c>
      <c r="AA252">
        <v>0.4589371980676329</v>
      </c>
      <c r="AB252">
        <v>0.2540192926045016</v>
      </c>
      <c r="AC252">
        <v>0.9131832797427653</v>
      </c>
      <c r="AD252">
        <v>0.9356913183279743</v>
      </c>
    </row>
    <row r="253" spans="1:30">
      <c r="A253" s="1" t="s">
        <v>260</v>
      </c>
      <c r="B253">
        <f>HYPERLINK("https://www.suredividend.com/sure-analysis-KMI/","Kinder Morgan, Inc.")</f>
        <v>0</v>
      </c>
      <c r="C253">
        <v>14.42</v>
      </c>
      <c r="D253">
        <v>32911.8716</v>
      </c>
      <c r="E253" t="s">
        <v>666</v>
      </c>
      <c r="F253" t="s">
        <v>631</v>
      </c>
      <c r="G253" t="s">
        <v>671</v>
      </c>
      <c r="H253" t="s">
        <v>702</v>
      </c>
      <c r="I253" t="s">
        <v>955</v>
      </c>
      <c r="J253" t="s">
        <v>1317</v>
      </c>
      <c r="K253">
        <v>44041</v>
      </c>
      <c r="L253">
        <v>0.069635488308115</v>
      </c>
      <c r="M253">
        <v>0.06761077191543419</v>
      </c>
      <c r="N253">
        <v>0.02</v>
      </c>
      <c r="O253">
        <v>0.1388768557965481</v>
      </c>
      <c r="P253" t="s">
        <v>381</v>
      </c>
      <c r="Q253" t="s">
        <v>636</v>
      </c>
      <c r="R253">
        <v>3</v>
      </c>
      <c r="S253">
        <v>0.4364224137931035</v>
      </c>
      <c r="T253">
        <v>20</v>
      </c>
      <c r="U253">
        <v>0.721</v>
      </c>
      <c r="V253">
        <v>0.07060000000000001</v>
      </c>
      <c r="W253">
        <v>2.32</v>
      </c>
      <c r="X253">
        <v>1.0125</v>
      </c>
      <c r="Y253">
        <v>-0.297005</v>
      </c>
      <c r="Z253">
        <v>0.8109452736318409</v>
      </c>
      <c r="AA253">
        <v>0.2367149758454106</v>
      </c>
      <c r="AB253">
        <v>0.157556270096463</v>
      </c>
      <c r="AC253">
        <v>0.9533762057877813</v>
      </c>
      <c r="AD253">
        <v>0.932475884244373</v>
      </c>
    </row>
    <row r="254" spans="1:30">
      <c r="A254" s="1" t="s">
        <v>261</v>
      </c>
      <c r="B254">
        <f>HYPERLINK("https://www.suredividend.com/sure-analysis-BNS/","The Bank of Nova Scotia")</f>
        <v>0</v>
      </c>
      <c r="C254">
        <v>43.73</v>
      </c>
      <c r="D254">
        <v>52488.2288</v>
      </c>
      <c r="E254" t="s">
        <v>669</v>
      </c>
      <c r="F254" t="s">
        <v>631</v>
      </c>
      <c r="G254" t="s">
        <v>672</v>
      </c>
      <c r="H254" t="s">
        <v>702</v>
      </c>
      <c r="I254" t="s">
        <v>956</v>
      </c>
      <c r="J254" t="s">
        <v>1312</v>
      </c>
      <c r="K254">
        <v>44000</v>
      </c>
      <c r="L254">
        <v>0.061661136912702</v>
      </c>
      <c r="M254">
        <v>0.06883353514087021</v>
      </c>
      <c r="N254">
        <v>0.02</v>
      </c>
      <c r="O254">
        <v>0.1356865669264848</v>
      </c>
      <c r="P254" t="s">
        <v>381</v>
      </c>
      <c r="Q254" t="s">
        <v>635</v>
      </c>
      <c r="R254">
        <v>9</v>
      </c>
      <c r="S254">
        <v>0.7086941810152202</v>
      </c>
      <c r="T254">
        <v>61</v>
      </c>
      <c r="U254">
        <v>0.7168852459016393</v>
      </c>
      <c r="V254">
        <v>4.6191</v>
      </c>
      <c r="W254">
        <v>3.77</v>
      </c>
      <c r="X254">
        <v>2.67177706242738</v>
      </c>
      <c r="Y254">
        <v>-0.189895</v>
      </c>
      <c r="Z254">
        <v>0.7645107794361526</v>
      </c>
      <c r="AA254">
        <v>0.3719806763285024</v>
      </c>
      <c r="AB254">
        <v>0.157556270096463</v>
      </c>
      <c r="AC254">
        <v>0.9565916398713825</v>
      </c>
      <c r="AD254">
        <v>0.9260450160771704</v>
      </c>
    </row>
    <row r="255" spans="1:30">
      <c r="A255" s="1" t="s">
        <v>262</v>
      </c>
      <c r="B255">
        <f>HYPERLINK("https://www.suredividend.com/sure-analysis-ENB/","Enbridge, Inc.")</f>
        <v>0</v>
      </c>
      <c r="C255">
        <v>33.52</v>
      </c>
      <c r="D255">
        <v>67843.86500000001</v>
      </c>
      <c r="E255" t="s">
        <v>659</v>
      </c>
      <c r="F255" t="s">
        <v>631</v>
      </c>
      <c r="G255" t="s">
        <v>672</v>
      </c>
      <c r="H255" t="s">
        <v>702</v>
      </c>
      <c r="I255" t="s">
        <v>957</v>
      </c>
      <c r="J255" t="s">
        <v>1317</v>
      </c>
      <c r="K255">
        <v>44050</v>
      </c>
      <c r="L255">
        <v>0.06879931955763401</v>
      </c>
      <c r="M255">
        <v>0.02540614878343095</v>
      </c>
      <c r="N255">
        <v>0.05</v>
      </c>
      <c r="O255">
        <v>0.1317848924522993</v>
      </c>
      <c r="P255" t="s">
        <v>381</v>
      </c>
      <c r="Q255" t="s">
        <v>635</v>
      </c>
      <c r="R255">
        <v>11</v>
      </c>
      <c r="S255">
        <v>0.6642009236832133</v>
      </c>
      <c r="T255">
        <v>38</v>
      </c>
      <c r="U255">
        <v>0.8821052631578948</v>
      </c>
      <c r="V255">
        <v>0.6978000000000001</v>
      </c>
      <c r="W255">
        <v>3.47</v>
      </c>
      <c r="X255">
        <v>2.30477720518075</v>
      </c>
      <c r="Y255">
        <v>-0.027696</v>
      </c>
      <c r="Z255">
        <v>0.8059701492537313</v>
      </c>
      <c r="AA255">
        <v>0.5990338164251208</v>
      </c>
      <c r="AB255">
        <v>0.5168810289389068</v>
      </c>
      <c r="AC255">
        <v>0.7909967845659164</v>
      </c>
      <c r="AD255">
        <v>0.9115755627009646</v>
      </c>
    </row>
    <row r="256" spans="1:30">
      <c r="A256" s="1" t="s">
        <v>263</v>
      </c>
      <c r="B256">
        <f>HYPERLINK("https://www.suredividend.com/sure-analysis-SYF/","Synchrony Financial")</f>
        <v>0</v>
      </c>
      <c r="C256">
        <v>25.1</v>
      </c>
      <c r="D256">
        <v>14354.53545</v>
      </c>
      <c r="E256" t="s">
        <v>659</v>
      </c>
      <c r="F256" t="s">
        <v>631</v>
      </c>
      <c r="G256" t="s">
        <v>671</v>
      </c>
      <c r="H256" t="s">
        <v>702</v>
      </c>
      <c r="I256" t="s">
        <v>958</v>
      </c>
      <c r="J256" t="s">
        <v>1312</v>
      </c>
      <c r="K256">
        <v>44040</v>
      </c>
      <c r="L256">
        <v>0.035786905246034</v>
      </c>
      <c r="M256">
        <v>0.04977264413928073</v>
      </c>
      <c r="N256">
        <v>0.05</v>
      </c>
      <c r="O256">
        <v>0.129318603420886</v>
      </c>
      <c r="P256" t="s">
        <v>381</v>
      </c>
      <c r="Q256" t="s">
        <v>381</v>
      </c>
      <c r="R256">
        <v>4</v>
      </c>
      <c r="S256">
        <v>0.352</v>
      </c>
      <c r="T256">
        <v>32</v>
      </c>
      <c r="U256">
        <v>0.784375</v>
      </c>
      <c r="V256">
        <v>3.2757</v>
      </c>
      <c r="W256">
        <v>2.5</v>
      </c>
      <c r="X256">
        <v>0.88</v>
      </c>
      <c r="Y256">
        <v>-0.323336</v>
      </c>
      <c r="Z256">
        <v>0.5190713101160863</v>
      </c>
      <c r="AA256">
        <v>0.2125603864734299</v>
      </c>
      <c r="AB256">
        <v>0.5168810289389068</v>
      </c>
      <c r="AC256">
        <v>0.9003215434083601</v>
      </c>
      <c r="AD256">
        <v>0.9051446945337621</v>
      </c>
    </row>
    <row r="257" spans="1:30">
      <c r="A257" s="1" t="s">
        <v>264</v>
      </c>
      <c r="B257">
        <f>HYPERLINK("https://www.suredividend.com/sure-analysis-PFE/","Pfizer Inc.")</f>
        <v>0</v>
      </c>
      <c r="C257">
        <v>37.79</v>
      </c>
      <c r="D257">
        <v>213249.9237</v>
      </c>
      <c r="E257" t="s">
        <v>660</v>
      </c>
      <c r="F257" t="s">
        <v>631</v>
      </c>
      <c r="G257" t="s">
        <v>671</v>
      </c>
      <c r="H257" t="s">
        <v>702</v>
      </c>
      <c r="I257" t="s">
        <v>959</v>
      </c>
      <c r="J257" t="s">
        <v>1316</v>
      </c>
      <c r="K257">
        <v>44007</v>
      </c>
      <c r="L257">
        <v>0.039072675175827</v>
      </c>
      <c r="M257">
        <v>0.0401026142411629</v>
      </c>
      <c r="N257">
        <v>0.06</v>
      </c>
      <c r="O257">
        <v>0.1292560593244154</v>
      </c>
      <c r="P257" t="s">
        <v>381</v>
      </c>
      <c r="Q257" t="s">
        <v>381</v>
      </c>
      <c r="R257">
        <v>10</v>
      </c>
      <c r="S257">
        <v>0.5576208178438662</v>
      </c>
      <c r="T257">
        <v>46</v>
      </c>
      <c r="U257">
        <v>0.8215217391304348</v>
      </c>
      <c r="V257">
        <v>2.5493</v>
      </c>
      <c r="W257">
        <v>2.69</v>
      </c>
      <c r="X257">
        <v>1.5</v>
      </c>
      <c r="Y257">
        <v>0.042853</v>
      </c>
      <c r="Z257">
        <v>0.5655058043117744</v>
      </c>
      <c r="AA257">
        <v>0.6795491143317229</v>
      </c>
      <c r="AB257">
        <v>0.6430868167202572</v>
      </c>
      <c r="AC257">
        <v>0.8536977491961415</v>
      </c>
      <c r="AD257">
        <v>0.9035369774919615</v>
      </c>
    </row>
    <row r="258" spans="1:30">
      <c r="A258" s="1" t="s">
        <v>265</v>
      </c>
      <c r="B258">
        <f>HYPERLINK("https://www.suredividend.com/sure-analysis-NC/","NACCO Industries, Inc.")</f>
        <v>0</v>
      </c>
      <c r="C258">
        <v>23.19</v>
      </c>
      <c r="D258">
        <v>161.255454</v>
      </c>
      <c r="E258" t="s">
        <v>665</v>
      </c>
      <c r="F258" t="s">
        <v>631</v>
      </c>
      <c r="G258" t="s">
        <v>671</v>
      </c>
      <c r="H258" t="s">
        <v>702</v>
      </c>
      <c r="I258" t="s">
        <v>960</v>
      </c>
      <c r="J258" t="s">
        <v>1317</v>
      </c>
      <c r="K258">
        <v>44048</v>
      </c>
      <c r="L258">
        <v>0.03325337985172201</v>
      </c>
      <c r="M258">
        <v>0.09194396012359474</v>
      </c>
      <c r="N258">
        <v>0.01</v>
      </c>
      <c r="O258">
        <v>0.1287574643955791</v>
      </c>
      <c r="P258" t="s">
        <v>381</v>
      </c>
      <c r="Q258" t="s">
        <v>381</v>
      </c>
      <c r="R258">
        <v>2</v>
      </c>
      <c r="S258">
        <v>0.190625</v>
      </c>
      <c r="T258">
        <v>36</v>
      </c>
      <c r="U258">
        <v>0.6441666666666667</v>
      </c>
      <c r="V258">
        <v>4.1236</v>
      </c>
      <c r="W258">
        <v>4</v>
      </c>
      <c r="X258">
        <v>0.7625000000000001</v>
      </c>
      <c r="Y258">
        <v>-0.5494749999999999</v>
      </c>
      <c r="Z258">
        <v>0.4825870646766169</v>
      </c>
      <c r="AA258">
        <v>0.0499194847020934</v>
      </c>
      <c r="AB258">
        <v>0.08601286173633441</v>
      </c>
      <c r="AC258">
        <v>0.9855305466237942</v>
      </c>
      <c r="AD258">
        <v>0.8987138263665595</v>
      </c>
    </row>
    <row r="259" spans="1:30">
      <c r="A259" s="1" t="s">
        <v>266</v>
      </c>
      <c r="B259">
        <f>HYPERLINK("https://www.suredividend.com/sure-analysis-ALLY/","Ally Financial, Inc.")</f>
        <v>0</v>
      </c>
      <c r="C259">
        <v>22.43</v>
      </c>
      <c r="D259">
        <v>8220.67563</v>
      </c>
      <c r="E259" t="s">
        <v>659</v>
      </c>
      <c r="F259" t="s">
        <v>631</v>
      </c>
      <c r="G259" t="s">
        <v>671</v>
      </c>
      <c r="H259" t="s">
        <v>702</v>
      </c>
      <c r="I259" t="s">
        <v>961</v>
      </c>
      <c r="J259" t="s">
        <v>1312</v>
      </c>
      <c r="K259">
        <v>44040</v>
      </c>
      <c r="L259">
        <v>0.032742155525238</v>
      </c>
      <c r="M259">
        <v>0.04535969541335882</v>
      </c>
      <c r="N259">
        <v>0.05</v>
      </c>
      <c r="O259">
        <v>0.1272706024869195</v>
      </c>
      <c r="P259" t="s">
        <v>381</v>
      </c>
      <c r="Q259" t="s">
        <v>420</v>
      </c>
      <c r="R259">
        <v>4</v>
      </c>
      <c r="S259">
        <v>0.3789473684210526</v>
      </c>
      <c r="T259">
        <v>28</v>
      </c>
      <c r="U259">
        <v>0.8010714285714285</v>
      </c>
      <c r="V259">
        <v>1.7626</v>
      </c>
      <c r="W259">
        <v>1.9</v>
      </c>
      <c r="X259">
        <v>0.72</v>
      </c>
      <c r="Y259">
        <v>-0.330109</v>
      </c>
      <c r="Z259">
        <v>0.4660033167495854</v>
      </c>
      <c r="AA259">
        <v>0.2012882447665056</v>
      </c>
      <c r="AB259">
        <v>0.5168810289389068</v>
      </c>
      <c r="AC259">
        <v>0.8794212218649519</v>
      </c>
      <c r="AD259">
        <v>0.8954983922829582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55.74</v>
      </c>
      <c r="D260">
        <v>11819.94369</v>
      </c>
      <c r="E260" t="s">
        <v>659</v>
      </c>
      <c r="F260" t="s">
        <v>631</v>
      </c>
      <c r="G260" t="s">
        <v>671</v>
      </c>
      <c r="H260" t="s">
        <v>702</v>
      </c>
      <c r="I260" t="s">
        <v>962</v>
      </c>
      <c r="J260" t="s">
        <v>1319</v>
      </c>
      <c r="K260">
        <v>44048</v>
      </c>
      <c r="L260">
        <v>0.047264133793855</v>
      </c>
      <c r="M260">
        <v>0.05252666312872356</v>
      </c>
      <c r="N260">
        <v>0.035</v>
      </c>
      <c r="O260">
        <v>0.1258552541375741</v>
      </c>
      <c r="P260" t="s">
        <v>381</v>
      </c>
      <c r="Q260" t="s">
        <v>636</v>
      </c>
      <c r="R260">
        <v>10</v>
      </c>
      <c r="S260">
        <v>0.6190476190476191</v>
      </c>
      <c r="T260">
        <v>72</v>
      </c>
      <c r="U260">
        <v>0.7741666666666667</v>
      </c>
      <c r="V260">
        <v>4.3109</v>
      </c>
      <c r="W260">
        <v>4.2</v>
      </c>
      <c r="X260">
        <v>2.6</v>
      </c>
      <c r="Y260">
        <v>-0.324071</v>
      </c>
      <c r="Z260">
        <v>0.6583747927031509</v>
      </c>
      <c r="AA260">
        <v>0.2109500805152979</v>
      </c>
      <c r="AB260">
        <v>0.3183279742765273</v>
      </c>
      <c r="AC260">
        <v>0.9115755627009646</v>
      </c>
      <c r="AD260">
        <v>0.8906752411575564</v>
      </c>
    </row>
    <row r="261" spans="1:30">
      <c r="A261" s="1" t="s">
        <v>268</v>
      </c>
      <c r="B261">
        <f>HYPERLINK("https://www.suredividend.com/sure-analysis-TFC/","Truist Financial Corp.")</f>
        <v>0</v>
      </c>
      <c r="C261">
        <v>40.7</v>
      </c>
      <c r="D261">
        <v>53122.7862</v>
      </c>
      <c r="E261" t="s">
        <v>667</v>
      </c>
      <c r="F261" t="s">
        <v>631</v>
      </c>
      <c r="G261" t="s">
        <v>671</v>
      </c>
      <c r="H261" t="s">
        <v>702</v>
      </c>
      <c r="I261" t="s">
        <v>963</v>
      </c>
      <c r="J261" t="s">
        <v>1312</v>
      </c>
      <c r="K261">
        <v>44049</v>
      </c>
      <c r="L261">
        <v>0.045662100456621</v>
      </c>
      <c r="M261">
        <v>0.020289978423083</v>
      </c>
      <c r="N261">
        <v>0.07000000000000001</v>
      </c>
      <c r="O261">
        <v>0.125683692915822</v>
      </c>
      <c r="P261" t="s">
        <v>381</v>
      </c>
      <c r="Q261" t="s">
        <v>381</v>
      </c>
      <c r="R261">
        <v>10</v>
      </c>
      <c r="S261">
        <v>0.5607476635514019</v>
      </c>
      <c r="T261">
        <v>45</v>
      </c>
      <c r="U261">
        <v>0.9044444444444445</v>
      </c>
      <c r="V261">
        <v>3.1228</v>
      </c>
      <c r="W261">
        <v>3.21</v>
      </c>
      <c r="X261">
        <v>1.8</v>
      </c>
      <c r="Y261">
        <v>-0.177511</v>
      </c>
      <c r="Z261">
        <v>0.6451077943615258</v>
      </c>
      <c r="AA261">
        <v>0.3864734299516908</v>
      </c>
      <c r="AB261">
        <v>0.7355305466237942</v>
      </c>
      <c r="AC261">
        <v>0.7668810289389068</v>
      </c>
      <c r="AD261">
        <v>0.8890675241157556</v>
      </c>
    </row>
    <row r="262" spans="1:30">
      <c r="A262" s="1" t="s">
        <v>269</v>
      </c>
      <c r="B262">
        <f>HYPERLINK("https://www.suredividend.com/sure-analysis-ALL/","The Allstate Corp.")</f>
        <v>0</v>
      </c>
      <c r="C262">
        <v>96.83</v>
      </c>
      <c r="D262">
        <v>30372.731</v>
      </c>
      <c r="E262" t="s">
        <v>667</v>
      </c>
      <c r="F262" t="s">
        <v>631</v>
      </c>
      <c r="G262" t="s">
        <v>671</v>
      </c>
      <c r="H262" t="s">
        <v>702</v>
      </c>
      <c r="I262" t="s">
        <v>964</v>
      </c>
      <c r="J262" t="s">
        <v>1312</v>
      </c>
      <c r="K262">
        <v>43993</v>
      </c>
      <c r="L262">
        <v>0.021388174807197</v>
      </c>
      <c r="M262">
        <v>0.05239800523217508</v>
      </c>
      <c r="N262">
        <v>0.05</v>
      </c>
      <c r="O262">
        <v>0.1233443610310196</v>
      </c>
      <c r="P262" t="s">
        <v>381</v>
      </c>
      <c r="Q262" t="s">
        <v>420</v>
      </c>
      <c r="R262">
        <v>9</v>
      </c>
      <c r="S262">
        <v>0.199424736337488</v>
      </c>
      <c r="T262">
        <v>125</v>
      </c>
      <c r="U262">
        <v>0.77464</v>
      </c>
      <c r="V262">
        <v>13.5537</v>
      </c>
      <c r="W262">
        <v>10.43</v>
      </c>
      <c r="X262">
        <v>2.08</v>
      </c>
      <c r="Y262">
        <v>-0.079677</v>
      </c>
      <c r="Z262">
        <v>0.2935323383084577</v>
      </c>
      <c r="AA262">
        <v>0.5185185185185186</v>
      </c>
      <c r="AB262">
        <v>0.5168810289389068</v>
      </c>
      <c r="AC262">
        <v>0.9083601286173634</v>
      </c>
      <c r="AD262">
        <v>0.8794212218649519</v>
      </c>
    </row>
    <row r="263" spans="1:30">
      <c r="A263" s="1" t="s">
        <v>270</v>
      </c>
      <c r="B263">
        <f>HYPERLINK("https://www.suredividend.com/sure-analysis-FTI/","TechnipFMC Plc")</f>
        <v>0</v>
      </c>
      <c r="C263">
        <v>8.640000000000001</v>
      </c>
      <c r="D263">
        <v>3873.24184</v>
      </c>
      <c r="E263" t="s">
        <v>662</v>
      </c>
      <c r="F263" t="s">
        <v>631</v>
      </c>
      <c r="G263" t="s">
        <v>676</v>
      </c>
      <c r="H263" t="s">
        <v>702</v>
      </c>
      <c r="I263" t="s">
        <v>965</v>
      </c>
      <c r="J263" t="s">
        <v>1317</v>
      </c>
      <c r="K263">
        <v>44054</v>
      </c>
      <c r="L263">
        <v>0.045243619489559</v>
      </c>
      <c r="M263">
        <v>0.02966808427901979</v>
      </c>
      <c r="N263">
        <v>0.09</v>
      </c>
      <c r="O263">
        <v>0.1223382118641316</v>
      </c>
      <c r="P263" t="s">
        <v>381</v>
      </c>
      <c r="Q263" t="s">
        <v>381</v>
      </c>
      <c r="R263">
        <v>0</v>
      </c>
      <c r="S263">
        <v>0.4105263157894737</v>
      </c>
      <c r="T263">
        <v>10</v>
      </c>
      <c r="U263">
        <v>0.8640000000000001</v>
      </c>
      <c r="V263">
        <v>-12.9158</v>
      </c>
      <c r="W263">
        <v>0.95</v>
      </c>
      <c r="X263">
        <v>0.39</v>
      </c>
      <c r="Y263">
        <v>-0.671021</v>
      </c>
      <c r="Z263">
        <v>0.6401326699834162</v>
      </c>
      <c r="AA263">
        <v>0.02415458937198068</v>
      </c>
      <c r="AB263">
        <v>0.8657556270096463</v>
      </c>
      <c r="AC263">
        <v>0.8151125401929261</v>
      </c>
      <c r="AD263">
        <v>0.8697749196141479</v>
      </c>
    </row>
    <row r="264" spans="1:30">
      <c r="A264" s="1" t="s">
        <v>271</v>
      </c>
      <c r="B264">
        <f>HYPERLINK("https://www.suredividend.com/sure-analysis-OPI/","Office Properties Income Trust")</f>
        <v>0</v>
      </c>
      <c r="C264">
        <v>25.16</v>
      </c>
      <c r="D264">
        <v>1238.007626</v>
      </c>
      <c r="E264" t="s">
        <v>662</v>
      </c>
      <c r="F264" t="s">
        <v>633</v>
      </c>
      <c r="G264" t="s">
        <v>671</v>
      </c>
      <c r="H264" t="s">
        <v>701</v>
      </c>
      <c r="I264" t="s">
        <v>966</v>
      </c>
      <c r="J264" t="s">
        <v>1322</v>
      </c>
      <c r="K264">
        <v>43965</v>
      </c>
      <c r="L264">
        <v>0.064277366575769</v>
      </c>
      <c r="M264">
        <v>0.04927147937666043</v>
      </c>
      <c r="N264">
        <v>0.01</v>
      </c>
      <c r="O264">
        <v>0.1214702782793862</v>
      </c>
      <c r="P264" t="s">
        <v>381</v>
      </c>
      <c r="Q264" t="s">
        <v>636</v>
      </c>
      <c r="R264">
        <v>1</v>
      </c>
      <c r="S264">
        <v>0.3113207547169811</v>
      </c>
      <c r="T264">
        <v>32</v>
      </c>
      <c r="U264">
        <v>0.78625</v>
      </c>
      <c r="V264">
        <v>1.5226</v>
      </c>
      <c r="W264">
        <v>5.3</v>
      </c>
      <c r="X264">
        <v>1.65</v>
      </c>
      <c r="Y264">
        <v>-0.078361</v>
      </c>
      <c r="Z264">
        <v>0.7777777777777777</v>
      </c>
      <c r="AA264">
        <v>0.5233494363929146</v>
      </c>
      <c r="AB264">
        <v>0.08601286173633441</v>
      </c>
      <c r="AC264">
        <v>0.8987138263665595</v>
      </c>
      <c r="AD264">
        <v>0.8665594855305465</v>
      </c>
    </row>
    <row r="265" spans="1:30">
      <c r="A265" s="1" t="s">
        <v>272</v>
      </c>
      <c r="B265">
        <f>HYPERLINK("https://www.suredividend.com/sure-analysis-PRU/","Prudential Financial, Inc.")</f>
        <v>0</v>
      </c>
      <c r="C265">
        <v>70.73999999999999</v>
      </c>
      <c r="D265">
        <v>27468.3</v>
      </c>
      <c r="E265" t="s">
        <v>661</v>
      </c>
      <c r="F265" t="s">
        <v>631</v>
      </c>
      <c r="G265" t="s">
        <v>671</v>
      </c>
      <c r="H265" t="s">
        <v>702</v>
      </c>
      <c r="I265" t="s">
        <v>967</v>
      </c>
      <c r="J265" t="s">
        <v>1312</v>
      </c>
      <c r="K265">
        <v>44049</v>
      </c>
      <c r="L265">
        <v>0.060396893874029</v>
      </c>
      <c r="M265">
        <v>0.01444780635049558</v>
      </c>
      <c r="N265">
        <v>0.05</v>
      </c>
      <c r="O265">
        <v>0.1161465322732753</v>
      </c>
      <c r="P265" t="s">
        <v>381</v>
      </c>
      <c r="Q265" t="s">
        <v>636</v>
      </c>
      <c r="R265">
        <v>12</v>
      </c>
      <c r="S265">
        <v>0.4421052631578948</v>
      </c>
      <c r="T265">
        <v>76</v>
      </c>
      <c r="U265">
        <v>0.9307894736842105</v>
      </c>
      <c r="V265">
        <v>-0.5608000000000001</v>
      </c>
      <c r="W265">
        <v>9.5</v>
      </c>
      <c r="X265">
        <v>4.2</v>
      </c>
      <c r="Y265">
        <v>-0.210043</v>
      </c>
      <c r="Z265">
        <v>0.7562189054726367</v>
      </c>
      <c r="AA265">
        <v>0.3429951690821256</v>
      </c>
      <c r="AB265">
        <v>0.5168810289389068</v>
      </c>
      <c r="AC265">
        <v>0.7347266881028939</v>
      </c>
      <c r="AD265">
        <v>0.8553054662379421</v>
      </c>
    </row>
    <row r="266" spans="1:30">
      <c r="A266" s="1" t="s">
        <v>273</v>
      </c>
      <c r="B266">
        <f>HYPERLINK("https://www.suredividend.com/sure-analysis-BMO/","Bank of Montreal")</f>
        <v>0</v>
      </c>
      <c r="C266">
        <v>58.26</v>
      </c>
      <c r="D266">
        <v>36696.54839</v>
      </c>
      <c r="E266" t="s">
        <v>669</v>
      </c>
      <c r="F266" t="s">
        <v>631</v>
      </c>
      <c r="G266" t="s">
        <v>672</v>
      </c>
      <c r="H266" t="s">
        <v>702</v>
      </c>
      <c r="I266" t="s">
        <v>968</v>
      </c>
      <c r="J266" t="s">
        <v>1312</v>
      </c>
      <c r="K266">
        <v>43993</v>
      </c>
      <c r="L266">
        <v>0.054525191848949</v>
      </c>
      <c r="M266">
        <v>0.05736285339244263</v>
      </c>
      <c r="N266">
        <v>0.012</v>
      </c>
      <c r="O266">
        <v>0.1119861441428494</v>
      </c>
      <c r="P266" t="s">
        <v>381</v>
      </c>
      <c r="Q266" t="s">
        <v>635</v>
      </c>
      <c r="R266">
        <v>9</v>
      </c>
      <c r="S266">
        <v>0.6306673903980302</v>
      </c>
      <c r="T266">
        <v>77</v>
      </c>
      <c r="U266">
        <v>0.7566233766233766</v>
      </c>
      <c r="V266">
        <v>5.6456</v>
      </c>
      <c r="W266">
        <v>4.96</v>
      </c>
      <c r="X266">
        <v>3.12811025637423</v>
      </c>
      <c r="Y266">
        <v>-0.222407</v>
      </c>
      <c r="Z266">
        <v>0.7180762852404644</v>
      </c>
      <c r="AA266">
        <v>0.322061191626409</v>
      </c>
      <c r="AB266">
        <v>0.1012861736334405</v>
      </c>
      <c r="AC266">
        <v>0.932475884244373</v>
      </c>
      <c r="AD266">
        <v>0.8408360128617364</v>
      </c>
    </row>
    <row r="267" spans="1:30">
      <c r="A267" s="1" t="s">
        <v>274</v>
      </c>
      <c r="B267">
        <f>HYPERLINK("https://www.suredividend.com/sure-analysis-DD/","DuPont de Nemours, Inc.")</f>
        <v>0</v>
      </c>
      <c r="C267">
        <v>57.3</v>
      </c>
      <c r="D267">
        <v>42319.86076</v>
      </c>
      <c r="E267" t="s">
        <v>663</v>
      </c>
      <c r="F267" t="s">
        <v>631</v>
      </c>
      <c r="G267" t="s">
        <v>671</v>
      </c>
      <c r="H267" t="s">
        <v>702</v>
      </c>
      <c r="I267" t="s">
        <v>969</v>
      </c>
      <c r="J267" t="s">
        <v>1321</v>
      </c>
      <c r="K267">
        <v>44054</v>
      </c>
      <c r="L267">
        <v>0.0208080457777</v>
      </c>
      <c r="M267">
        <v>0.02236287455595032</v>
      </c>
      <c r="N267">
        <v>0.07000000000000001</v>
      </c>
      <c r="O267">
        <v>0.111842243027283</v>
      </c>
      <c r="P267" t="s">
        <v>381</v>
      </c>
      <c r="Q267" t="s">
        <v>420</v>
      </c>
      <c r="R267">
        <v>0</v>
      </c>
      <c r="S267">
        <v>0.4</v>
      </c>
      <c r="T267">
        <v>64</v>
      </c>
      <c r="U267">
        <v>0.8953125</v>
      </c>
      <c r="V267">
        <v>-3.472</v>
      </c>
      <c r="W267">
        <v>3</v>
      </c>
      <c r="X267">
        <v>1.2</v>
      </c>
      <c r="Y267">
        <v>-0.21043</v>
      </c>
      <c r="Z267">
        <v>0.2868988391376451</v>
      </c>
      <c r="AA267">
        <v>0.3413848631239936</v>
      </c>
      <c r="AB267">
        <v>0.7355305466237942</v>
      </c>
      <c r="AC267">
        <v>0.7813504823151125</v>
      </c>
      <c r="AD267">
        <v>0.8392282958199356</v>
      </c>
    </row>
    <row r="268" spans="1:30">
      <c r="A268" s="1" t="s">
        <v>275</v>
      </c>
      <c r="B268">
        <f>HYPERLINK("https://www.suredividend.com/sure-analysis-BIP/","Brookfield Infrastructure Partners LP")</f>
        <v>0</v>
      </c>
      <c r="C268">
        <v>44.38</v>
      </c>
      <c r="D268">
        <v>18239.659449</v>
      </c>
      <c r="E268" t="s">
        <v>669</v>
      </c>
      <c r="F268" t="s">
        <v>632</v>
      </c>
      <c r="G268" t="s">
        <v>677</v>
      </c>
      <c r="H268" t="s">
        <v>702</v>
      </c>
      <c r="I268" t="s">
        <v>970</v>
      </c>
      <c r="J268" t="s">
        <v>1314</v>
      </c>
      <c r="K268">
        <v>43964</v>
      </c>
      <c r="L268">
        <v>0.046184510250569</v>
      </c>
      <c r="M268">
        <v>-0.01096331976727316</v>
      </c>
      <c r="N268">
        <v>0.08</v>
      </c>
      <c r="O268">
        <v>0.1066059996808413</v>
      </c>
      <c r="P268" t="s">
        <v>381</v>
      </c>
      <c r="Q268" t="s">
        <v>636</v>
      </c>
      <c r="R268">
        <v>12</v>
      </c>
      <c r="S268">
        <v>0.7015570934256055</v>
      </c>
      <c r="T268">
        <v>42</v>
      </c>
      <c r="U268">
        <v>1.056666666666667</v>
      </c>
      <c r="V268">
        <v>-0.1178</v>
      </c>
      <c r="W268">
        <v>2.89</v>
      </c>
      <c r="X268">
        <v>2.0275</v>
      </c>
      <c r="Y268">
        <v>0.076028</v>
      </c>
      <c r="Z268">
        <v>0.6500829187396352</v>
      </c>
      <c r="AA268">
        <v>0.7198067632850241</v>
      </c>
      <c r="AB268">
        <v>0.8135048231511255</v>
      </c>
      <c r="AC268">
        <v>0.5884244372990354</v>
      </c>
      <c r="AD268">
        <v>0.8151125401929261</v>
      </c>
    </row>
    <row r="269" spans="1:30">
      <c r="A269" s="1" t="s">
        <v>276</v>
      </c>
      <c r="B269">
        <f>HYPERLINK("https://www.suredividend.com/sure-analysis-BAC/","Bank of America Corp.")</f>
        <v>0</v>
      </c>
      <c r="C269">
        <v>26.92</v>
      </c>
      <c r="D269">
        <v>230118.496</v>
      </c>
      <c r="E269" t="s">
        <v>663</v>
      </c>
      <c r="F269" t="s">
        <v>631</v>
      </c>
      <c r="G269" t="s">
        <v>671</v>
      </c>
      <c r="H269" t="s">
        <v>702</v>
      </c>
      <c r="I269" t="s">
        <v>971</v>
      </c>
      <c r="J269" t="s">
        <v>1312</v>
      </c>
      <c r="K269">
        <v>44028</v>
      </c>
      <c r="L269">
        <v>0.027108433734939</v>
      </c>
      <c r="M269">
        <v>0.01499660234214906</v>
      </c>
      <c r="N269">
        <v>0.06</v>
      </c>
      <c r="O269">
        <v>0.1014676681727076</v>
      </c>
      <c r="P269" t="s">
        <v>381</v>
      </c>
      <c r="Q269" t="s">
        <v>420</v>
      </c>
      <c r="R269">
        <v>7</v>
      </c>
      <c r="S269">
        <v>0.48</v>
      </c>
      <c r="T269">
        <v>29</v>
      </c>
      <c r="U269">
        <v>0.9282758620689656</v>
      </c>
      <c r="V269">
        <v>2.0924</v>
      </c>
      <c r="W269">
        <v>1.5</v>
      </c>
      <c r="X269">
        <v>0.72</v>
      </c>
      <c r="Y269">
        <v>-0.079986</v>
      </c>
      <c r="Z269">
        <v>0.3814262023217247</v>
      </c>
      <c r="AA269">
        <v>0.5169082125603864</v>
      </c>
      <c r="AB269">
        <v>0.6430868167202572</v>
      </c>
      <c r="AC269">
        <v>0.7379421221864952</v>
      </c>
      <c r="AD269">
        <v>0.7893890675241156</v>
      </c>
    </row>
    <row r="270" spans="1:30">
      <c r="A270" s="1" t="s">
        <v>277</v>
      </c>
      <c r="B270">
        <f>HYPERLINK("https://www.suredividend.com/sure-analysis-ORI/","Old Republic International Corp.")</f>
        <v>0</v>
      </c>
      <c r="C270">
        <v>17.09</v>
      </c>
      <c r="D270">
        <v>5229.4192</v>
      </c>
      <c r="E270" t="s">
        <v>663</v>
      </c>
      <c r="F270" t="s">
        <v>631</v>
      </c>
      <c r="G270" t="s">
        <v>671</v>
      </c>
      <c r="H270" t="s">
        <v>702</v>
      </c>
      <c r="I270" t="s">
        <v>972</v>
      </c>
      <c r="J270" t="s">
        <v>1312</v>
      </c>
      <c r="K270">
        <v>44037</v>
      </c>
      <c r="L270">
        <v>0.04767441860465101</v>
      </c>
      <c r="M270">
        <v>0.02141517931834724</v>
      </c>
      <c r="N270">
        <v>0.04</v>
      </c>
      <c r="O270">
        <v>0.1013977155702648</v>
      </c>
      <c r="P270" t="s">
        <v>381</v>
      </c>
      <c r="Q270" t="s">
        <v>636</v>
      </c>
      <c r="R270">
        <v>39</v>
      </c>
      <c r="S270">
        <v>0.5290322580645161</v>
      </c>
      <c r="T270">
        <v>19</v>
      </c>
      <c r="U270">
        <v>0.8994736842105263</v>
      </c>
      <c r="V270">
        <v>0.9177000000000001</v>
      </c>
      <c r="W270">
        <v>1.55</v>
      </c>
      <c r="X270">
        <v>0.8200000000000001</v>
      </c>
      <c r="Y270">
        <v>-0.265118</v>
      </c>
      <c r="Z270">
        <v>0.6633499170812605</v>
      </c>
      <c r="AA270">
        <v>0.2801932367149759</v>
      </c>
      <c r="AB270">
        <v>0.3858520900321543</v>
      </c>
      <c r="AC270">
        <v>0.7749196141479099</v>
      </c>
      <c r="AD270">
        <v>0.787781350482315</v>
      </c>
    </row>
    <row r="271" spans="1:30">
      <c r="A271" s="1" t="s">
        <v>278</v>
      </c>
      <c r="B271">
        <f>HYPERLINK("https://www.suredividend.com/sure-analysis-TYCB/","Calvin B. Taylor Bankshares, Inc.")</f>
        <v>0</v>
      </c>
      <c r="C271">
        <v>32.7</v>
      </c>
      <c r="D271">
        <v>90.740211</v>
      </c>
      <c r="E271" t="s">
        <v>659</v>
      </c>
      <c r="F271" t="s">
        <v>631</v>
      </c>
      <c r="G271" t="s">
        <v>671</v>
      </c>
      <c r="H271" t="s">
        <v>700</v>
      </c>
      <c r="I271" t="s">
        <v>973</v>
      </c>
      <c r="J271" t="s">
        <v>1312</v>
      </c>
      <c r="K271">
        <v>43977</v>
      </c>
      <c r="L271">
        <v>0.033027522935779</v>
      </c>
      <c r="M271">
        <v>0.01368742341740226</v>
      </c>
      <c r="N271">
        <v>0.06</v>
      </c>
      <c r="O271">
        <v>0.1008996743492658</v>
      </c>
      <c r="P271" t="s">
        <v>381</v>
      </c>
      <c r="Q271" t="s">
        <v>381</v>
      </c>
      <c r="R271">
        <v>29</v>
      </c>
      <c r="S271">
        <v>0.3857142857142858</v>
      </c>
      <c r="T271">
        <v>35</v>
      </c>
      <c r="U271">
        <v>0.9342857142857144</v>
      </c>
      <c r="V271">
        <v>2.888</v>
      </c>
      <c r="W271">
        <v>2.8</v>
      </c>
      <c r="X271">
        <v>1.08</v>
      </c>
      <c r="Y271">
        <v>-0.06088499999999999</v>
      </c>
      <c r="Z271">
        <v>0.472636815920398</v>
      </c>
      <c r="AA271">
        <v>0.5458937198067633</v>
      </c>
      <c r="AB271">
        <v>0.6430868167202572</v>
      </c>
      <c r="AC271">
        <v>0.7315112540192926</v>
      </c>
      <c r="AD271">
        <v>0.7861736334405144</v>
      </c>
    </row>
    <row r="272" spans="1:30">
      <c r="A272" s="1" t="s">
        <v>279</v>
      </c>
      <c r="B272">
        <f>HYPERLINK("https://www.suredividend.com/sure-analysis-AON/","Aon Plc")</f>
        <v>0</v>
      </c>
      <c r="C272">
        <v>193.55</v>
      </c>
      <c r="D272">
        <v>44671.386</v>
      </c>
      <c r="E272" t="s">
        <v>663</v>
      </c>
      <c r="F272" t="s">
        <v>631</v>
      </c>
      <c r="G272" t="s">
        <v>674</v>
      </c>
      <c r="H272" t="s">
        <v>702</v>
      </c>
      <c r="I272" t="s">
        <v>974</v>
      </c>
      <c r="J272" t="s">
        <v>1312</v>
      </c>
      <c r="K272">
        <v>44051</v>
      </c>
      <c r="L272">
        <v>0.004563368595727001</v>
      </c>
      <c r="M272">
        <v>-0.008995308334179386</v>
      </c>
      <c r="N272">
        <v>0.1</v>
      </c>
      <c r="O272">
        <v>0.099115222294063</v>
      </c>
      <c r="P272" t="s">
        <v>381</v>
      </c>
      <c r="Q272" t="s">
        <v>596</v>
      </c>
      <c r="R272">
        <v>8</v>
      </c>
      <c r="S272">
        <v>0.09025641025641026</v>
      </c>
      <c r="T272">
        <v>185</v>
      </c>
      <c r="U272">
        <v>1.046216216216216</v>
      </c>
      <c r="V272">
        <v>7.5514</v>
      </c>
      <c r="W272">
        <v>9.75</v>
      </c>
      <c r="X272">
        <v>0.88</v>
      </c>
      <c r="Y272">
        <v>0.030258</v>
      </c>
      <c r="Z272">
        <v>0.01824212271973466</v>
      </c>
      <c r="AA272">
        <v>0.6714975845410628</v>
      </c>
      <c r="AB272">
        <v>0.907556270096463</v>
      </c>
      <c r="AC272">
        <v>0.6045016077170419</v>
      </c>
      <c r="AD272">
        <v>0.7765273311897105</v>
      </c>
    </row>
    <row r="273" spans="1:30">
      <c r="A273" s="1" t="s">
        <v>280</v>
      </c>
      <c r="B273">
        <f>HYPERLINK("https://www.suredividend.com/sure-analysis-BK/","The Bank of New York Mellon Corp.")</f>
        <v>0</v>
      </c>
      <c r="C273">
        <v>38.14</v>
      </c>
      <c r="D273">
        <v>33609.60428</v>
      </c>
      <c r="E273" t="s">
        <v>663</v>
      </c>
      <c r="F273" t="s">
        <v>631</v>
      </c>
      <c r="G273" t="s">
        <v>671</v>
      </c>
      <c r="H273" t="s">
        <v>702</v>
      </c>
      <c r="I273" t="s">
        <v>975</v>
      </c>
      <c r="J273" t="s">
        <v>1312</v>
      </c>
      <c r="K273">
        <v>44028</v>
      </c>
      <c r="L273">
        <v>0.032683183974696</v>
      </c>
      <c r="M273">
        <v>0.02899768464691133</v>
      </c>
      <c r="N273">
        <v>0.04</v>
      </c>
      <c r="O273">
        <v>0.09827161307794086</v>
      </c>
      <c r="P273" t="s">
        <v>381</v>
      </c>
      <c r="Q273" t="s">
        <v>381</v>
      </c>
      <c r="R273">
        <v>9</v>
      </c>
      <c r="S273">
        <v>0.3220779220779221</v>
      </c>
      <c r="T273">
        <v>44</v>
      </c>
      <c r="U273">
        <v>0.8668181818181818</v>
      </c>
      <c r="V273">
        <v>4.655</v>
      </c>
      <c r="W273">
        <v>3.85</v>
      </c>
      <c r="X273">
        <v>1.24</v>
      </c>
      <c r="Y273">
        <v>-0.171604</v>
      </c>
      <c r="Z273">
        <v>0.4626865671641791</v>
      </c>
      <c r="AA273">
        <v>0.3977455716586152</v>
      </c>
      <c r="AB273">
        <v>0.3858520900321543</v>
      </c>
      <c r="AC273">
        <v>0.8070739549839229</v>
      </c>
      <c r="AD273">
        <v>0.7717041800643086</v>
      </c>
    </row>
    <row r="274" spans="1:30">
      <c r="A274" s="1" t="s">
        <v>281</v>
      </c>
      <c r="B274">
        <f>HYPERLINK("https://www.suredividend.com/sure-analysis-YUM/","Yum! Brands, Inc.")</f>
        <v>0</v>
      </c>
      <c r="C274">
        <v>92.7</v>
      </c>
      <c r="D274">
        <v>27529.876</v>
      </c>
      <c r="E274" t="s">
        <v>662</v>
      </c>
      <c r="F274" t="s">
        <v>631</v>
      </c>
      <c r="G274" t="s">
        <v>671</v>
      </c>
      <c r="H274" t="s">
        <v>702</v>
      </c>
      <c r="I274" t="s">
        <v>976</v>
      </c>
      <c r="J274" t="s">
        <v>1313</v>
      </c>
      <c r="K274">
        <v>44045</v>
      </c>
      <c r="L274">
        <v>0.019487628640245</v>
      </c>
      <c r="M274">
        <v>-0.04406052238945457</v>
      </c>
      <c r="N274">
        <v>0.13</v>
      </c>
      <c r="O274">
        <v>0.09747005591887081</v>
      </c>
      <c r="P274" t="s">
        <v>381</v>
      </c>
      <c r="Q274" t="s">
        <v>420</v>
      </c>
      <c r="R274">
        <v>3</v>
      </c>
      <c r="S274">
        <v>0.5836065573770493</v>
      </c>
      <c r="T274">
        <v>74</v>
      </c>
      <c r="U274">
        <v>1.252702702702703</v>
      </c>
      <c r="V274">
        <v>3.3986</v>
      </c>
      <c r="W274">
        <v>3.05</v>
      </c>
      <c r="X274">
        <v>1.78</v>
      </c>
      <c r="Y274">
        <v>-0.225878</v>
      </c>
      <c r="Z274">
        <v>0.2553897180762852</v>
      </c>
      <c r="AA274">
        <v>0.3156199677938809</v>
      </c>
      <c r="AB274">
        <v>0.9630225080385852</v>
      </c>
      <c r="AC274">
        <v>0.3697749196141479</v>
      </c>
      <c r="AD274">
        <v>0.7636655948553055</v>
      </c>
    </row>
    <row r="275" spans="1:30">
      <c r="A275" s="1" t="s">
        <v>282</v>
      </c>
      <c r="B275">
        <f>HYPERLINK("https://www.suredividend.com/sure-analysis-CM/","Canadian Imperial Bank of Commerce")</f>
        <v>0</v>
      </c>
      <c r="C275">
        <v>72.72</v>
      </c>
      <c r="D275">
        <v>31960.76394</v>
      </c>
      <c r="E275" t="s">
        <v>669</v>
      </c>
      <c r="F275" t="s">
        <v>631</v>
      </c>
      <c r="G275" t="s">
        <v>672</v>
      </c>
      <c r="H275" t="s">
        <v>702</v>
      </c>
      <c r="I275" t="s">
        <v>977</v>
      </c>
      <c r="J275" t="s">
        <v>1312</v>
      </c>
      <c r="K275">
        <v>44007</v>
      </c>
      <c r="L275">
        <v>0.05981593761229501</v>
      </c>
      <c r="M275">
        <v>0.03411518697450378</v>
      </c>
      <c r="N275">
        <v>0.012</v>
      </c>
      <c r="O275">
        <v>0.09549061071629961</v>
      </c>
      <c r="P275" t="s">
        <v>381</v>
      </c>
      <c r="Q275" t="s">
        <v>635</v>
      </c>
      <c r="R275">
        <v>9</v>
      </c>
      <c r="S275">
        <v>0.6785754312699716</v>
      </c>
      <c r="T275">
        <v>86</v>
      </c>
      <c r="U275">
        <v>0.8455813953488373</v>
      </c>
      <c r="V275">
        <v>6.8708</v>
      </c>
      <c r="W275">
        <v>6.33</v>
      </c>
      <c r="X275">
        <v>4.29538247993892</v>
      </c>
      <c r="Y275">
        <v>-0.07630099999999999</v>
      </c>
      <c r="Z275">
        <v>0.7529021558872305</v>
      </c>
      <c r="AA275">
        <v>0.5281803542673108</v>
      </c>
      <c r="AB275">
        <v>0.1012861736334405</v>
      </c>
      <c r="AC275">
        <v>0.8295819935691319</v>
      </c>
      <c r="AD275">
        <v>0.7491961414790996</v>
      </c>
    </row>
    <row r="276" spans="1:30">
      <c r="A276" s="1" t="s">
        <v>283</v>
      </c>
      <c r="B276">
        <f>HYPERLINK("https://www.suredividend.com/sure-analysis-TD/","The Toronto-Dominion Bank")</f>
        <v>0</v>
      </c>
      <c r="C276">
        <v>47.47</v>
      </c>
      <c r="D276">
        <v>83713.28999999999</v>
      </c>
      <c r="E276" t="s">
        <v>669</v>
      </c>
      <c r="F276" t="s">
        <v>631</v>
      </c>
      <c r="G276" t="s">
        <v>672</v>
      </c>
      <c r="H276" t="s">
        <v>702</v>
      </c>
      <c r="I276" t="s">
        <v>978</v>
      </c>
      <c r="J276" t="s">
        <v>1312</v>
      </c>
      <c r="K276">
        <v>44007</v>
      </c>
      <c r="L276">
        <v>0.048495702775849</v>
      </c>
      <c r="M276">
        <v>0.04088260884778427</v>
      </c>
      <c r="N276">
        <v>0.012</v>
      </c>
      <c r="O276">
        <v>0.09360006992952252</v>
      </c>
      <c r="P276" t="s">
        <v>381</v>
      </c>
      <c r="Q276" t="s">
        <v>636</v>
      </c>
      <c r="R276">
        <v>9</v>
      </c>
      <c r="S276">
        <v>0.6342691492627353</v>
      </c>
      <c r="T276">
        <v>58</v>
      </c>
      <c r="U276">
        <v>0.8184482758620689</v>
      </c>
      <c r="V276">
        <v>4.2848</v>
      </c>
      <c r="W276">
        <v>3.55</v>
      </c>
      <c r="X276">
        <v>2.25165547988271</v>
      </c>
      <c r="Y276">
        <v>-0.192769</v>
      </c>
      <c r="Z276">
        <v>0.6733001658374793</v>
      </c>
      <c r="AA276">
        <v>0.3687600644122383</v>
      </c>
      <c r="AB276">
        <v>0.1012861736334405</v>
      </c>
      <c r="AC276">
        <v>0.8617363344051446</v>
      </c>
      <c r="AD276">
        <v>0.7427652733118971</v>
      </c>
    </row>
    <row r="277" spans="1:30">
      <c r="A277" s="1" t="s">
        <v>284</v>
      </c>
      <c r="B277">
        <f>HYPERLINK("https://www.suredividend.com/sure-analysis-SNY/","Sanofi")</f>
        <v>0</v>
      </c>
      <c r="C277">
        <v>50.81</v>
      </c>
      <c r="D277">
        <v>127921.557</v>
      </c>
      <c r="E277" t="s">
        <v>665</v>
      </c>
      <c r="F277" t="s">
        <v>631</v>
      </c>
      <c r="G277" t="s">
        <v>685</v>
      </c>
      <c r="H277" t="s">
        <v>701</v>
      </c>
      <c r="I277" t="s">
        <v>979</v>
      </c>
      <c r="J277" t="s">
        <v>1316</v>
      </c>
      <c r="K277">
        <v>44043</v>
      </c>
      <c r="L277">
        <v>0.033380475348654</v>
      </c>
      <c r="M277">
        <v>0.02325796097266308</v>
      </c>
      <c r="N277">
        <v>0.04</v>
      </c>
      <c r="O277">
        <v>0.09335575445398114</v>
      </c>
      <c r="P277" t="s">
        <v>381</v>
      </c>
      <c r="Q277" t="s">
        <v>381</v>
      </c>
      <c r="R277">
        <v>26</v>
      </c>
      <c r="S277">
        <v>0.4787042253521127</v>
      </c>
      <c r="T277">
        <v>57</v>
      </c>
      <c r="U277">
        <v>0.8914035087719299</v>
      </c>
      <c r="V277">
        <v>4.9052</v>
      </c>
      <c r="W277">
        <v>3.55</v>
      </c>
      <c r="X277">
        <v>1.6994</v>
      </c>
      <c r="Y277">
        <v>0.234068</v>
      </c>
      <c r="Z277">
        <v>0.4859038142620232</v>
      </c>
      <c r="AA277">
        <v>0.8470209339774557</v>
      </c>
      <c r="AB277">
        <v>0.3858520900321543</v>
      </c>
      <c r="AC277">
        <v>0.7829581993569131</v>
      </c>
      <c r="AD277">
        <v>0.7395498392282959</v>
      </c>
    </row>
    <row r="278" spans="1:30">
      <c r="A278" s="1" t="s">
        <v>285</v>
      </c>
      <c r="B278">
        <f>HYPERLINK("https://www.suredividend.com/sure-analysis-OTTR/","Otter Tail Corp.")</f>
        <v>0</v>
      </c>
      <c r="C278">
        <v>41.15</v>
      </c>
      <c r="D278">
        <v>1694.148545</v>
      </c>
      <c r="E278" t="s">
        <v>666</v>
      </c>
      <c r="F278" t="s">
        <v>631</v>
      </c>
      <c r="G278" t="s">
        <v>671</v>
      </c>
      <c r="H278" t="s">
        <v>701</v>
      </c>
      <c r="I278" t="s">
        <v>980</v>
      </c>
      <c r="J278" t="s">
        <v>1314</v>
      </c>
      <c r="K278">
        <v>44012</v>
      </c>
      <c r="L278">
        <v>0.034740651387213</v>
      </c>
      <c r="M278">
        <v>0.01348323122290651</v>
      </c>
      <c r="N278">
        <v>0.046</v>
      </c>
      <c r="O278">
        <v>0.09009770290573771</v>
      </c>
      <c r="P278" t="s">
        <v>381</v>
      </c>
      <c r="Q278" t="s">
        <v>381</v>
      </c>
      <c r="R278">
        <v>7</v>
      </c>
      <c r="S278">
        <v>0.6486486486486486</v>
      </c>
      <c r="T278">
        <v>44</v>
      </c>
      <c r="U278">
        <v>0.9352272727272727</v>
      </c>
      <c r="V278">
        <v>2.157</v>
      </c>
      <c r="W278">
        <v>2.22</v>
      </c>
      <c r="X278">
        <v>1.44</v>
      </c>
      <c r="Y278">
        <v>-0.215512</v>
      </c>
      <c r="Z278">
        <v>0.5008291873963515</v>
      </c>
      <c r="AA278">
        <v>0.3333333333333334</v>
      </c>
      <c r="AB278">
        <v>0.4509646302250804</v>
      </c>
      <c r="AC278">
        <v>0.7250803858520901</v>
      </c>
      <c r="AD278">
        <v>0.7186495176848875</v>
      </c>
    </row>
    <row r="279" spans="1:30">
      <c r="A279" s="1" t="s">
        <v>286</v>
      </c>
      <c r="B279">
        <f>HYPERLINK("https://www.suredividend.com/sure-analysis-MCY/","Mercury General Corp.")</f>
        <v>0</v>
      </c>
      <c r="C279">
        <v>45.51</v>
      </c>
      <c r="D279">
        <v>2556.43244</v>
      </c>
      <c r="E279" t="s">
        <v>659</v>
      </c>
      <c r="F279" t="s">
        <v>631</v>
      </c>
      <c r="G279" t="s">
        <v>671</v>
      </c>
      <c r="H279" t="s">
        <v>702</v>
      </c>
      <c r="I279" t="s">
        <v>981</v>
      </c>
      <c r="J279" t="s">
        <v>1312</v>
      </c>
      <c r="K279">
        <v>43955</v>
      </c>
      <c r="L279">
        <v>0.054514941533131</v>
      </c>
      <c r="M279">
        <v>0.0309409885581442</v>
      </c>
      <c r="N279">
        <v>0.015</v>
      </c>
      <c r="O279">
        <v>0.08954106378008331</v>
      </c>
      <c r="P279" t="s">
        <v>381</v>
      </c>
      <c r="Q279" t="s">
        <v>636</v>
      </c>
      <c r="R279">
        <v>32</v>
      </c>
      <c r="S279">
        <v>0.7192857142857143</v>
      </c>
      <c r="T279">
        <v>53</v>
      </c>
      <c r="U279">
        <v>0.8586792452830189</v>
      </c>
      <c r="V279">
        <v>3.4319</v>
      </c>
      <c r="W279">
        <v>3.5</v>
      </c>
      <c r="X279">
        <v>2.5175</v>
      </c>
      <c r="Y279">
        <v>-0.180036</v>
      </c>
      <c r="Z279">
        <v>0.7164179104477612</v>
      </c>
      <c r="AA279">
        <v>0.3816425120772947</v>
      </c>
      <c r="AB279">
        <v>0.1101286173633441</v>
      </c>
      <c r="AC279">
        <v>0.819935691318328</v>
      </c>
      <c r="AD279">
        <v>0.712218649517685</v>
      </c>
    </row>
    <row r="280" spans="1:30">
      <c r="A280" s="1" t="s">
        <v>287</v>
      </c>
      <c r="B280">
        <f>HYPERLINK("https://www.suredividend.com/sure-analysis-HPQ/","HP, Inc.")</f>
        <v>0</v>
      </c>
      <c r="C280">
        <v>18.57</v>
      </c>
      <c r="D280">
        <v>27140.6408</v>
      </c>
      <c r="E280" t="s">
        <v>659</v>
      </c>
      <c r="F280" t="s">
        <v>631</v>
      </c>
      <c r="G280" t="s">
        <v>671</v>
      </c>
      <c r="H280" t="s">
        <v>702</v>
      </c>
      <c r="I280" t="s">
        <v>982</v>
      </c>
      <c r="J280" t="s">
        <v>1318</v>
      </c>
      <c r="K280">
        <v>43986</v>
      </c>
      <c r="L280">
        <v>0.03544783983140101</v>
      </c>
      <c r="M280">
        <v>0.004588817283560864</v>
      </c>
      <c r="N280">
        <v>0.05</v>
      </c>
      <c r="O280">
        <v>0.08899747074696851</v>
      </c>
      <c r="P280" t="s">
        <v>381</v>
      </c>
      <c r="Q280" t="s">
        <v>381</v>
      </c>
      <c r="R280">
        <v>9</v>
      </c>
      <c r="S280">
        <v>0.3129302325581396</v>
      </c>
      <c r="T280">
        <v>19</v>
      </c>
      <c r="U280">
        <v>0.9773684210526316</v>
      </c>
      <c r="V280">
        <v>2.0516</v>
      </c>
      <c r="W280">
        <v>2.15</v>
      </c>
      <c r="X280">
        <v>0.6728000000000001</v>
      </c>
      <c r="Y280">
        <v>-0.054275</v>
      </c>
      <c r="Z280">
        <v>0.5157545605306799</v>
      </c>
      <c r="AA280">
        <v>0.5603864734299517</v>
      </c>
      <c r="AB280">
        <v>0.5168810289389068</v>
      </c>
      <c r="AC280">
        <v>0.6784565916398714</v>
      </c>
      <c r="AD280">
        <v>0.7073954983922829</v>
      </c>
    </row>
    <row r="281" spans="1:30">
      <c r="A281" s="1" t="s">
        <v>288</v>
      </c>
      <c r="B281">
        <f>HYPERLINK("https://www.suredividend.com/sure-analysis-ERF/","Enerplus Corp.")</f>
        <v>0</v>
      </c>
      <c r="C281">
        <v>2.96</v>
      </c>
      <c r="D281">
        <v>678.8202</v>
      </c>
      <c r="E281" t="s">
        <v>668</v>
      </c>
      <c r="F281" t="s">
        <v>631</v>
      </c>
      <c r="G281" t="s">
        <v>672</v>
      </c>
      <c r="H281" t="s">
        <v>702</v>
      </c>
      <c r="I281" t="s">
        <v>983</v>
      </c>
      <c r="J281" t="s">
        <v>1317</v>
      </c>
      <c r="K281">
        <v>43985</v>
      </c>
      <c r="L281">
        <v>0.029311986600822</v>
      </c>
      <c r="M281">
        <v>0.007324351455680889</v>
      </c>
      <c r="N281">
        <v>0.057</v>
      </c>
      <c r="O281">
        <v>0.08741333030768139</v>
      </c>
      <c r="P281" t="s">
        <v>381</v>
      </c>
      <c r="Q281" t="s">
        <v>381</v>
      </c>
      <c r="R281">
        <v>0</v>
      </c>
      <c r="S281">
        <v>0.01746124201806836</v>
      </c>
      <c r="T281">
        <v>3.07</v>
      </c>
      <c r="U281">
        <v>0.9641693811074918</v>
      </c>
      <c r="V281">
        <v>-3.2138</v>
      </c>
      <c r="W281">
        <v>5.12</v>
      </c>
      <c r="X281">
        <v>0.08940155913251001</v>
      </c>
      <c r="Y281">
        <v>-0.49577</v>
      </c>
      <c r="Z281">
        <v>0.4195688225538972</v>
      </c>
      <c r="AA281">
        <v>0.06763285024154589</v>
      </c>
      <c r="AB281">
        <v>0.5956591639871383</v>
      </c>
      <c r="AC281">
        <v>0.6929260450160771</v>
      </c>
      <c r="AD281">
        <v>0.7009646302250804</v>
      </c>
    </row>
    <row r="282" spans="1:30">
      <c r="A282" s="1" t="s">
        <v>289</v>
      </c>
      <c r="B282">
        <f>HYPERLINK("https://www.suredividend.com/sure-analysis-KLAC/","KLA Corp.")</f>
        <v>0</v>
      </c>
      <c r="C282">
        <v>200.6</v>
      </c>
      <c r="D282">
        <v>31488.90141</v>
      </c>
      <c r="E282" t="s">
        <v>659</v>
      </c>
      <c r="F282" t="s">
        <v>631</v>
      </c>
      <c r="G282" t="s">
        <v>671</v>
      </c>
      <c r="H282" t="s">
        <v>701</v>
      </c>
      <c r="I282" t="s">
        <v>984</v>
      </c>
      <c r="J282" t="s">
        <v>1318</v>
      </c>
      <c r="K282">
        <v>43969</v>
      </c>
      <c r="L282">
        <v>0.016248953665862</v>
      </c>
      <c r="M282">
        <v>-0.01499960851450766</v>
      </c>
      <c r="N282">
        <v>0.08500000000000001</v>
      </c>
      <c r="O282">
        <v>0.0856402680318078</v>
      </c>
      <c r="P282" t="s">
        <v>381</v>
      </c>
      <c r="Q282" t="s">
        <v>420</v>
      </c>
      <c r="R282">
        <v>10</v>
      </c>
      <c r="S282">
        <v>0.336734693877551</v>
      </c>
      <c r="T282">
        <v>186</v>
      </c>
      <c r="U282">
        <v>1.078494623655914</v>
      </c>
      <c r="V282">
        <v>7.7571</v>
      </c>
      <c r="W282">
        <v>9.800000000000001</v>
      </c>
      <c r="X282">
        <v>3.3</v>
      </c>
      <c r="Y282">
        <v>0.477099</v>
      </c>
      <c r="Z282">
        <v>0.1691542288557214</v>
      </c>
      <c r="AA282">
        <v>0.9484702093397747</v>
      </c>
      <c r="AB282">
        <v>0.8480707395498392</v>
      </c>
      <c r="AC282">
        <v>0.5546623794212219</v>
      </c>
      <c r="AD282">
        <v>0.6881028938906752</v>
      </c>
    </row>
    <row r="283" spans="1:30">
      <c r="A283" s="1" t="s">
        <v>290</v>
      </c>
      <c r="B283">
        <f>HYPERLINK("https://www.suredividend.com/sure-analysis-VALE/","Vale SA")</f>
        <v>0</v>
      </c>
      <c r="C283">
        <v>11.17</v>
      </c>
      <c r="D283">
        <v>58275.847714</v>
      </c>
      <c r="E283" t="s">
        <v>659</v>
      </c>
      <c r="F283" t="s">
        <v>631</v>
      </c>
      <c r="G283" t="s">
        <v>686</v>
      </c>
      <c r="H283" t="s">
        <v>702</v>
      </c>
      <c r="I283" t="s">
        <v>985</v>
      </c>
      <c r="J283" t="s">
        <v>1321</v>
      </c>
      <c r="K283">
        <v>44052</v>
      </c>
      <c r="L283">
        <v>0.030572183098591</v>
      </c>
      <c r="M283">
        <v>0.03080860626760407</v>
      </c>
      <c r="N283">
        <v>0.03</v>
      </c>
      <c r="O283">
        <v>0.08313863013590672</v>
      </c>
      <c r="P283" t="s">
        <v>381</v>
      </c>
      <c r="Q283" t="s">
        <v>420</v>
      </c>
      <c r="R283">
        <v>0</v>
      </c>
      <c r="S283">
        <v>0.2395172413793104</v>
      </c>
      <c r="T283">
        <v>13</v>
      </c>
      <c r="U283">
        <v>0.8592307692307692</v>
      </c>
      <c r="V283">
        <v>0.2492</v>
      </c>
      <c r="W283">
        <v>1.45</v>
      </c>
      <c r="X283">
        <v>0.3473</v>
      </c>
      <c r="Y283">
        <v>-0.06766899999999999</v>
      </c>
      <c r="Z283">
        <v>0.4361525704809287</v>
      </c>
      <c r="AA283">
        <v>0.5410628019323671</v>
      </c>
      <c r="AB283">
        <v>0.2540192926045016</v>
      </c>
      <c r="AC283">
        <v>0.8183279742765274</v>
      </c>
      <c r="AD283">
        <v>0.6768488745980707</v>
      </c>
    </row>
    <row r="284" spans="1:30">
      <c r="A284" s="1" t="s">
        <v>291</v>
      </c>
      <c r="B284">
        <f>HYPERLINK("https://www.suredividend.com/sure-analysis-PM/","Philip Morris International, Inc.")</f>
        <v>0</v>
      </c>
      <c r="C284">
        <v>78.72</v>
      </c>
      <c r="D284">
        <v>122044.8173</v>
      </c>
      <c r="E284" t="s">
        <v>661</v>
      </c>
      <c r="F284" t="s">
        <v>631</v>
      </c>
      <c r="G284" t="s">
        <v>671</v>
      </c>
      <c r="H284" t="s">
        <v>702</v>
      </c>
      <c r="I284" t="s">
        <v>986</v>
      </c>
      <c r="J284" t="s">
        <v>1320</v>
      </c>
      <c r="K284">
        <v>44035</v>
      </c>
      <c r="L284">
        <v>0.059716728339925</v>
      </c>
      <c r="M284">
        <v>-0.009635109839811196</v>
      </c>
      <c r="N284">
        <v>0.04</v>
      </c>
      <c r="O284">
        <v>0.08205062348867553</v>
      </c>
      <c r="P284" t="s">
        <v>381</v>
      </c>
      <c r="Q284" t="s">
        <v>636</v>
      </c>
      <c r="R284">
        <v>12</v>
      </c>
      <c r="S284">
        <v>0.9359999999999999</v>
      </c>
      <c r="T284">
        <v>75</v>
      </c>
      <c r="U284">
        <v>1.0496</v>
      </c>
      <c r="V284">
        <v>4.6673</v>
      </c>
      <c r="W284">
        <v>5</v>
      </c>
      <c r="X284">
        <v>4.68</v>
      </c>
      <c r="Y284">
        <v>-0.06037799999999999</v>
      </c>
      <c r="Z284">
        <v>0.7495854063018242</v>
      </c>
      <c r="AA284">
        <v>0.5475040257648953</v>
      </c>
      <c r="AB284">
        <v>0.3858520900321543</v>
      </c>
      <c r="AC284">
        <v>0.5980707395498392</v>
      </c>
      <c r="AD284">
        <v>0.6655948553054662</v>
      </c>
    </row>
    <row r="285" spans="1:30">
      <c r="A285" s="1" t="s">
        <v>292</v>
      </c>
      <c r="B285">
        <f>HYPERLINK("https://www.suredividend.com/sure-analysis-PSA/","Public Storage")</f>
        <v>0</v>
      </c>
      <c r="C285">
        <v>198.99</v>
      </c>
      <c r="D285">
        <v>35395.85947</v>
      </c>
      <c r="E285" t="s">
        <v>666</v>
      </c>
      <c r="F285" t="s">
        <v>633</v>
      </c>
      <c r="G285" t="s">
        <v>671</v>
      </c>
      <c r="H285" t="s">
        <v>702</v>
      </c>
      <c r="I285" t="s">
        <v>987</v>
      </c>
      <c r="J285" t="s">
        <v>1322</v>
      </c>
      <c r="K285">
        <v>44012</v>
      </c>
      <c r="L285">
        <v>0.039508123857968</v>
      </c>
      <c r="M285">
        <v>0.01559707541748434</v>
      </c>
      <c r="N285">
        <v>0.03</v>
      </c>
      <c r="O285">
        <v>0.08103419555347013</v>
      </c>
      <c r="P285" t="s">
        <v>381</v>
      </c>
      <c r="Q285" t="s">
        <v>381</v>
      </c>
      <c r="R285">
        <v>0</v>
      </c>
      <c r="S285">
        <v>0.7434944237918216</v>
      </c>
      <c r="T285">
        <v>215</v>
      </c>
      <c r="U285">
        <v>0.9255348837209303</v>
      </c>
      <c r="V285">
        <v>7.0173</v>
      </c>
      <c r="W285">
        <v>10.76</v>
      </c>
      <c r="X285">
        <v>8</v>
      </c>
      <c r="Y285">
        <v>-0.22168</v>
      </c>
      <c r="Z285">
        <v>0.5754560530679934</v>
      </c>
      <c r="AA285">
        <v>0.3252818035426731</v>
      </c>
      <c r="AB285">
        <v>0.2540192926045016</v>
      </c>
      <c r="AC285">
        <v>0.7427652733118971</v>
      </c>
      <c r="AD285">
        <v>0.6591639871382636</v>
      </c>
    </row>
    <row r="286" spans="1:30">
      <c r="A286" s="1" t="s">
        <v>293</v>
      </c>
      <c r="B286">
        <f>HYPERLINK("https://www.suredividend.com/sure-analysis-AVB/","AvalonBay Communities, Inc.")</f>
        <v>0</v>
      </c>
      <c r="C286">
        <v>151.74</v>
      </c>
      <c r="D286">
        <v>21646.4272</v>
      </c>
      <c r="E286" t="s">
        <v>666</v>
      </c>
      <c r="F286" t="s">
        <v>633</v>
      </c>
      <c r="G286" t="s">
        <v>671</v>
      </c>
      <c r="H286" t="s">
        <v>702</v>
      </c>
      <c r="I286" t="s">
        <v>988</v>
      </c>
      <c r="J286" t="s">
        <v>1322</v>
      </c>
      <c r="K286">
        <v>43963</v>
      </c>
      <c r="L286">
        <v>0.040442132639791</v>
      </c>
      <c r="M286">
        <v>0.01317155168782902</v>
      </c>
      <c r="N286">
        <v>0.031</v>
      </c>
      <c r="O286">
        <v>0.08101377720119096</v>
      </c>
      <c r="P286" t="s">
        <v>381</v>
      </c>
      <c r="Q286" t="s">
        <v>636</v>
      </c>
      <c r="R286">
        <v>8</v>
      </c>
      <c r="S286">
        <v>0.6911111111111111</v>
      </c>
      <c r="T286">
        <v>162</v>
      </c>
      <c r="U286">
        <v>0.9366666666666668</v>
      </c>
      <c r="V286">
        <v>5.6022</v>
      </c>
      <c r="W286">
        <v>9</v>
      </c>
      <c r="X286">
        <v>6.22</v>
      </c>
      <c r="Y286">
        <v>-0.254987</v>
      </c>
      <c r="Z286">
        <v>0.5837479270315091</v>
      </c>
      <c r="AA286">
        <v>0.2914653784219002</v>
      </c>
      <c r="AB286">
        <v>0.3030546623794212</v>
      </c>
      <c r="AC286">
        <v>0.7234726688102895</v>
      </c>
      <c r="AD286">
        <v>0.657556270096463</v>
      </c>
    </row>
    <row r="287" spans="1:30">
      <c r="A287" s="1" t="s">
        <v>294</v>
      </c>
      <c r="B287">
        <f>HYPERLINK("https://www.suredividend.com/sure-analysis-O/","Realty Income Corp.")</f>
        <v>0</v>
      </c>
      <c r="C287">
        <v>62.68</v>
      </c>
      <c r="D287">
        <v>21551.13594</v>
      </c>
      <c r="E287" t="s">
        <v>659</v>
      </c>
      <c r="F287" t="s">
        <v>633</v>
      </c>
      <c r="G287" t="s">
        <v>671</v>
      </c>
      <c r="H287" t="s">
        <v>702</v>
      </c>
      <c r="I287" t="s">
        <v>989</v>
      </c>
      <c r="J287" t="s">
        <v>1322</v>
      </c>
      <c r="K287">
        <v>43971</v>
      </c>
      <c r="L287">
        <v>0.04417227025296101</v>
      </c>
      <c r="M287">
        <v>0.001018980589055696</v>
      </c>
      <c r="N287">
        <v>0.04</v>
      </c>
      <c r="O287">
        <v>0.08024595482323171</v>
      </c>
      <c r="P287" t="s">
        <v>381</v>
      </c>
      <c r="Q287" t="s">
        <v>636</v>
      </c>
      <c r="R287">
        <v>26</v>
      </c>
      <c r="S287">
        <v>0.7882857142857143</v>
      </c>
      <c r="T287">
        <v>63</v>
      </c>
      <c r="U287">
        <v>0.9949206349206349</v>
      </c>
      <c r="V287">
        <v>1.4559</v>
      </c>
      <c r="W287">
        <v>3.5</v>
      </c>
      <c r="X287">
        <v>2.759</v>
      </c>
      <c r="Y287">
        <v>-0.128768</v>
      </c>
      <c r="Z287">
        <v>0.6301824212271974</v>
      </c>
      <c r="AA287">
        <v>0.4460547504025765</v>
      </c>
      <c r="AB287">
        <v>0.3858520900321543</v>
      </c>
      <c r="AC287">
        <v>0.6607717041800644</v>
      </c>
      <c r="AD287">
        <v>0.6495176848874599</v>
      </c>
    </row>
    <row r="288" spans="1:30">
      <c r="A288" s="1" t="s">
        <v>295</v>
      </c>
      <c r="B288">
        <f>HYPERLINK("https://www.suredividend.com/sure-analysis-NNN/","National Retail Properties, Inc.")</f>
        <v>0</v>
      </c>
      <c r="C288">
        <v>36.63</v>
      </c>
      <c r="D288">
        <v>6374.1242</v>
      </c>
      <c r="E288" t="s">
        <v>666</v>
      </c>
      <c r="F288" t="s">
        <v>633</v>
      </c>
      <c r="G288" t="s">
        <v>671</v>
      </c>
      <c r="H288" t="s">
        <v>702</v>
      </c>
      <c r="I288" t="s">
        <v>990</v>
      </c>
      <c r="J288" t="s">
        <v>1322</v>
      </c>
      <c r="K288">
        <v>44012</v>
      </c>
      <c r="L288">
        <v>0.05622107269262101</v>
      </c>
      <c r="M288">
        <v>-0.00906258800593962</v>
      </c>
      <c r="N288">
        <v>0.037</v>
      </c>
      <c r="O288">
        <v>0.07669306592589487</v>
      </c>
      <c r="P288" t="s">
        <v>381</v>
      </c>
      <c r="Q288" t="s">
        <v>635</v>
      </c>
      <c r="R288">
        <v>30</v>
      </c>
      <c r="S288">
        <v>0.826</v>
      </c>
      <c r="T288">
        <v>35</v>
      </c>
      <c r="U288">
        <v>1.046571428571429</v>
      </c>
      <c r="V288">
        <v>1.2898</v>
      </c>
      <c r="W288">
        <v>2.5</v>
      </c>
      <c r="X288">
        <v>2.065</v>
      </c>
      <c r="Y288">
        <v>-0.338727</v>
      </c>
      <c r="Z288">
        <v>0.7313432835820897</v>
      </c>
      <c r="AA288">
        <v>0.1867954911433173</v>
      </c>
      <c r="AB288">
        <v>0.3327974276527331</v>
      </c>
      <c r="AC288">
        <v>0.6028938906752411</v>
      </c>
      <c r="AD288">
        <v>0.6157556270096464</v>
      </c>
    </row>
    <row r="289" spans="1:30">
      <c r="A289" s="1" t="s">
        <v>296</v>
      </c>
      <c r="B289">
        <f>HYPERLINK("https://www.suredividend.com/sure-analysis-AVGO/","Broadcom, Inc.")</f>
        <v>0</v>
      </c>
      <c r="C289">
        <v>323.93</v>
      </c>
      <c r="D289">
        <v>131659.2816</v>
      </c>
      <c r="E289" t="s">
        <v>659</v>
      </c>
      <c r="F289" t="s">
        <v>631</v>
      </c>
      <c r="G289" t="s">
        <v>671</v>
      </c>
      <c r="H289" t="s">
        <v>701</v>
      </c>
      <c r="I289" t="s">
        <v>991</v>
      </c>
      <c r="J289" t="s">
        <v>1318</v>
      </c>
      <c r="K289">
        <v>44001</v>
      </c>
      <c r="L289">
        <v>0.036045943304007</v>
      </c>
      <c r="M289">
        <v>-0.03648113599363134</v>
      </c>
      <c r="N289">
        <v>0.075</v>
      </c>
      <c r="O289">
        <v>0.07661535542111197</v>
      </c>
      <c r="P289" t="s">
        <v>381</v>
      </c>
      <c r="Q289" t="s">
        <v>420</v>
      </c>
      <c r="R289">
        <v>9</v>
      </c>
      <c r="S289">
        <v>0.5488372093023256</v>
      </c>
      <c r="T289">
        <v>269</v>
      </c>
      <c r="U289">
        <v>1.204200743494424</v>
      </c>
      <c r="V289">
        <v>5.8553</v>
      </c>
      <c r="W289">
        <v>21.5</v>
      </c>
      <c r="X289">
        <v>11.8</v>
      </c>
      <c r="Y289">
        <v>0.202782</v>
      </c>
      <c r="Z289">
        <v>0.5223880597014925</v>
      </c>
      <c r="AA289">
        <v>0.826086956521739</v>
      </c>
      <c r="AB289">
        <v>0.7757234726688103</v>
      </c>
      <c r="AC289">
        <v>0.4212218649517685</v>
      </c>
      <c r="AD289">
        <v>0.612540192926045</v>
      </c>
    </row>
    <row r="290" spans="1:30">
      <c r="A290" s="1" t="s">
        <v>297</v>
      </c>
      <c r="B290">
        <f>HYPERLINK("https://www.suredividend.com/sure-analysis-GM/","General Motors Co.")</f>
        <v>0</v>
      </c>
      <c r="C290">
        <v>28.52</v>
      </c>
      <c r="D290">
        <v>40042.178</v>
      </c>
      <c r="E290" t="s">
        <v>668</v>
      </c>
      <c r="F290" t="s">
        <v>631</v>
      </c>
      <c r="G290" t="s">
        <v>671</v>
      </c>
      <c r="H290" t="s">
        <v>702</v>
      </c>
      <c r="I290" t="s">
        <v>992</v>
      </c>
      <c r="J290" t="s">
        <v>1313</v>
      </c>
      <c r="K290">
        <v>43971</v>
      </c>
      <c r="L290">
        <v>0.040743388134381</v>
      </c>
      <c r="M290">
        <v>0.003343624370828913</v>
      </c>
      <c r="N290">
        <v>0.03</v>
      </c>
      <c r="O290">
        <v>0.07643913052052742</v>
      </c>
      <c r="P290" t="s">
        <v>381</v>
      </c>
      <c r="Q290" t="s">
        <v>381</v>
      </c>
      <c r="R290">
        <v>0</v>
      </c>
      <c r="S290">
        <v>0.2500000000000001</v>
      </c>
      <c r="T290">
        <v>29</v>
      </c>
      <c r="U290">
        <v>0.983448275862069</v>
      </c>
      <c r="V290">
        <v>1.0669</v>
      </c>
      <c r="W290">
        <v>4.56</v>
      </c>
      <c r="X290">
        <v>1.14</v>
      </c>
      <c r="Y290">
        <v>-0.333666</v>
      </c>
      <c r="Z290">
        <v>0.5870646766169154</v>
      </c>
      <c r="AA290">
        <v>0.1932367149758454</v>
      </c>
      <c r="AB290">
        <v>0.2540192926045016</v>
      </c>
      <c r="AC290">
        <v>0.6720257234726688</v>
      </c>
      <c r="AD290">
        <v>0.6077170418006431</v>
      </c>
    </row>
    <row r="291" spans="1:30">
      <c r="A291" s="1" t="s">
        <v>298</v>
      </c>
      <c r="B291">
        <f>HYPERLINK("https://www.suredividend.com/sure-analysis-ASML/","ASML Holding NV")</f>
        <v>0</v>
      </c>
      <c r="C291">
        <v>361.14</v>
      </c>
      <c r="D291">
        <v>152882.658103</v>
      </c>
      <c r="E291" t="s">
        <v>663</v>
      </c>
      <c r="F291" t="s">
        <v>631</v>
      </c>
      <c r="G291" t="s">
        <v>687</v>
      </c>
      <c r="H291" t="s">
        <v>701</v>
      </c>
      <c r="I291" t="s">
        <v>993</v>
      </c>
      <c r="J291" t="s">
        <v>1318</v>
      </c>
      <c r="K291">
        <v>44040</v>
      </c>
      <c r="L291">
        <v>0.007190279412167001</v>
      </c>
      <c r="M291">
        <v>-0.0469217707348526</v>
      </c>
      <c r="N291">
        <v>0.12</v>
      </c>
      <c r="O291">
        <v>0.07600767535211972</v>
      </c>
      <c r="P291" t="s">
        <v>381</v>
      </c>
      <c r="Q291" t="s">
        <v>596</v>
      </c>
      <c r="R291">
        <v>5</v>
      </c>
      <c r="S291">
        <v>0.3002742857142857</v>
      </c>
      <c r="T291">
        <v>284</v>
      </c>
      <c r="U291">
        <v>1.271619718309859</v>
      </c>
      <c r="V291">
        <v>7.6483</v>
      </c>
      <c r="W291">
        <v>8.75</v>
      </c>
      <c r="X291">
        <v>2.6274</v>
      </c>
      <c r="Y291">
        <v>0.663728</v>
      </c>
      <c r="Z291">
        <v>0.04145936981757878</v>
      </c>
      <c r="AA291">
        <v>0.9774557165861514</v>
      </c>
      <c r="AB291">
        <v>0.9485530546623794</v>
      </c>
      <c r="AC291">
        <v>0.3504823151125402</v>
      </c>
      <c r="AD291">
        <v>0.6012861736334405</v>
      </c>
    </row>
    <row r="292" spans="1:30">
      <c r="A292" s="1" t="s">
        <v>299</v>
      </c>
      <c r="B292">
        <f>HYPERLINK("https://www.suredividend.com/sure-analysis-DNKN/","Dunkin' Brands Group, Inc.")</f>
        <v>0</v>
      </c>
      <c r="C292">
        <v>71.09999999999999</v>
      </c>
      <c r="D292">
        <v>5685.983784</v>
      </c>
      <c r="E292" t="s">
        <v>660</v>
      </c>
      <c r="F292" t="s">
        <v>631</v>
      </c>
      <c r="G292" t="s">
        <v>671</v>
      </c>
      <c r="H292" t="s">
        <v>701</v>
      </c>
      <c r="I292" t="s">
        <v>994</v>
      </c>
      <c r="J292" t="s">
        <v>1313</v>
      </c>
      <c r="K292">
        <v>44000</v>
      </c>
      <c r="L292">
        <v>0.016676313124005</v>
      </c>
      <c r="M292">
        <v>-0.02082103638377197</v>
      </c>
      <c r="N292">
        <v>0.08</v>
      </c>
      <c r="O292">
        <v>0.07423214029185332</v>
      </c>
      <c r="P292" t="s">
        <v>381</v>
      </c>
      <c r="Q292" t="s">
        <v>596</v>
      </c>
      <c r="R292">
        <v>0</v>
      </c>
      <c r="S292">
        <v>0.448443579766537</v>
      </c>
      <c r="T292">
        <v>64</v>
      </c>
      <c r="U292">
        <v>1.1109375</v>
      </c>
      <c r="V292">
        <v>2.643</v>
      </c>
      <c r="W292">
        <v>2.57</v>
      </c>
      <c r="X292">
        <v>1.1525</v>
      </c>
      <c r="Y292">
        <v>-0.165876</v>
      </c>
      <c r="Z292">
        <v>0.1791044776119403</v>
      </c>
      <c r="AA292">
        <v>0.4025764895330113</v>
      </c>
      <c r="AB292">
        <v>0.8135048231511255</v>
      </c>
      <c r="AC292">
        <v>0.522508038585209</v>
      </c>
      <c r="AD292">
        <v>0.590032154340836</v>
      </c>
    </row>
    <row r="293" spans="1:30">
      <c r="A293" s="1" t="s">
        <v>300</v>
      </c>
      <c r="B293">
        <f>HYPERLINK("https://www.suredividend.com/sure-analysis-ESS/","Essex Property Trust, Inc.")</f>
        <v>0</v>
      </c>
      <c r="C293">
        <v>219.53</v>
      </c>
      <c r="D293">
        <v>14573.108452</v>
      </c>
      <c r="E293" t="s">
        <v>666</v>
      </c>
      <c r="F293" t="s">
        <v>633</v>
      </c>
      <c r="G293" t="s">
        <v>671</v>
      </c>
      <c r="H293" t="s">
        <v>702</v>
      </c>
      <c r="I293" t="s">
        <v>995</v>
      </c>
      <c r="J293" t="s">
        <v>1322</v>
      </c>
      <c r="K293">
        <v>43971</v>
      </c>
      <c r="L293">
        <v>0.03604349382495</v>
      </c>
      <c r="M293">
        <v>0.01284828251849279</v>
      </c>
      <c r="N293">
        <v>0.029</v>
      </c>
      <c r="O293">
        <v>0.07389951559093011</v>
      </c>
      <c r="P293" t="s">
        <v>381</v>
      </c>
      <c r="Q293" t="s">
        <v>381</v>
      </c>
      <c r="R293">
        <v>26</v>
      </c>
      <c r="S293">
        <v>0.6196153846153846</v>
      </c>
      <c r="T293">
        <v>234</v>
      </c>
      <c r="U293">
        <v>0.9381623931623931</v>
      </c>
      <c r="V293">
        <v>9.518599999999999</v>
      </c>
      <c r="W293">
        <v>13</v>
      </c>
      <c r="X293">
        <v>8.055</v>
      </c>
      <c r="Y293">
        <v>-0.266329</v>
      </c>
      <c r="Z293">
        <v>0.5207296849087893</v>
      </c>
      <c r="AA293">
        <v>0.2785829307568438</v>
      </c>
      <c r="AB293">
        <v>0.2057877813504823</v>
      </c>
      <c r="AC293">
        <v>0.7218649517684887</v>
      </c>
      <c r="AD293">
        <v>0.5868167202572347</v>
      </c>
    </row>
    <row r="294" spans="1:30">
      <c r="A294" s="1" t="s">
        <v>301</v>
      </c>
      <c r="B294">
        <f>HYPERLINK("https://www.suredividend.com/sure-analysis-SO/","The Southern Co.")</f>
        <v>0</v>
      </c>
      <c r="C294">
        <v>54.19</v>
      </c>
      <c r="D294">
        <v>58161.0791</v>
      </c>
      <c r="E294" t="s">
        <v>662</v>
      </c>
      <c r="F294" t="s">
        <v>631</v>
      </c>
      <c r="G294" t="s">
        <v>671</v>
      </c>
      <c r="H294" t="s">
        <v>702</v>
      </c>
      <c r="I294" t="s">
        <v>996</v>
      </c>
      <c r="J294" t="s">
        <v>1314</v>
      </c>
      <c r="K294">
        <v>44054</v>
      </c>
      <c r="L294">
        <v>0.04539676775013601</v>
      </c>
      <c r="M294">
        <v>-0.008216591953397301</v>
      </c>
      <c r="N294">
        <v>0.04</v>
      </c>
      <c r="O294">
        <v>0.07318595304184305</v>
      </c>
      <c r="P294" t="s">
        <v>381</v>
      </c>
      <c r="Q294" t="s">
        <v>636</v>
      </c>
      <c r="R294">
        <v>19</v>
      </c>
      <c r="S294">
        <v>0.78125</v>
      </c>
      <c r="T294">
        <v>52</v>
      </c>
      <c r="U294">
        <v>1.042115384615385</v>
      </c>
      <c r="V294">
        <v>3.0652</v>
      </c>
      <c r="W294">
        <v>3.2</v>
      </c>
      <c r="X294">
        <v>2.5</v>
      </c>
      <c r="Y294">
        <v>-0.060148</v>
      </c>
      <c r="Z294">
        <v>0.6417910447761195</v>
      </c>
      <c r="AA294">
        <v>0.5491143317230274</v>
      </c>
      <c r="AB294">
        <v>0.3858520900321543</v>
      </c>
      <c r="AC294">
        <v>0.6093247588424437</v>
      </c>
      <c r="AD294">
        <v>0.5836012861736335</v>
      </c>
    </row>
    <row r="295" spans="1:30">
      <c r="A295" s="1" t="s">
        <v>302</v>
      </c>
      <c r="B295">
        <f>HYPERLINK("https://www.suredividend.com/sure-analysis-GS/","The Goldman Sachs Group, Inc.")</f>
        <v>0</v>
      </c>
      <c r="C295">
        <v>211.06</v>
      </c>
      <c r="D295">
        <v>72003.06006</v>
      </c>
      <c r="E295" t="s">
        <v>663</v>
      </c>
      <c r="F295" t="s">
        <v>631</v>
      </c>
      <c r="G295" t="s">
        <v>671</v>
      </c>
      <c r="H295" t="s">
        <v>702</v>
      </c>
      <c r="I295" t="s">
        <v>997</v>
      </c>
      <c r="J295" t="s">
        <v>1312</v>
      </c>
      <c r="K295">
        <v>44028</v>
      </c>
      <c r="L295">
        <v>0.023880026745629</v>
      </c>
      <c r="M295">
        <v>-0.01070728189988102</v>
      </c>
      <c r="N295">
        <v>0.06</v>
      </c>
      <c r="O295">
        <v>0.071696286799392</v>
      </c>
      <c r="P295" t="s">
        <v>381</v>
      </c>
      <c r="Q295" t="s">
        <v>420</v>
      </c>
      <c r="R295">
        <v>9</v>
      </c>
      <c r="S295">
        <v>0.2631578947368421</v>
      </c>
      <c r="T295">
        <v>200</v>
      </c>
      <c r="U295">
        <v>1.0553</v>
      </c>
      <c r="V295">
        <v>13.2938</v>
      </c>
      <c r="W295">
        <v>19</v>
      </c>
      <c r="X295">
        <v>5</v>
      </c>
      <c r="Y295">
        <v>0.006135</v>
      </c>
      <c r="Z295">
        <v>0.3266998341625207</v>
      </c>
      <c r="AA295">
        <v>0.6425120772946861</v>
      </c>
      <c r="AB295">
        <v>0.6430868167202572</v>
      </c>
      <c r="AC295">
        <v>0.5916398713826366</v>
      </c>
      <c r="AD295">
        <v>0.5691318327974276</v>
      </c>
    </row>
    <row r="296" spans="1:30">
      <c r="A296" s="1" t="s">
        <v>303</v>
      </c>
      <c r="B296">
        <f>HYPERLINK("https://www.suredividend.com/sure-analysis-RCI/","Rogers Communications, Inc.")</f>
        <v>0</v>
      </c>
      <c r="C296">
        <v>41.78</v>
      </c>
      <c r="D296">
        <v>20838.29602</v>
      </c>
      <c r="E296" t="s">
        <v>662</v>
      </c>
      <c r="F296" t="s">
        <v>631</v>
      </c>
      <c r="G296" t="s">
        <v>672</v>
      </c>
      <c r="H296" t="s">
        <v>702</v>
      </c>
      <c r="I296" t="s">
        <v>998</v>
      </c>
      <c r="J296" t="s">
        <v>1319</v>
      </c>
      <c r="K296">
        <v>43957</v>
      </c>
      <c r="L296">
        <v>0.036104336940679</v>
      </c>
      <c r="M296">
        <v>-0.02934071542016403</v>
      </c>
      <c r="N296">
        <v>0.07000000000000001</v>
      </c>
      <c r="O296">
        <v>0.07036132991606059</v>
      </c>
      <c r="P296" t="s">
        <v>381</v>
      </c>
      <c r="Q296" t="s">
        <v>381</v>
      </c>
      <c r="R296">
        <v>0</v>
      </c>
      <c r="S296">
        <v>0.6208441606424334</v>
      </c>
      <c r="T296">
        <v>36</v>
      </c>
      <c r="U296">
        <v>1.160555555555556</v>
      </c>
      <c r="V296">
        <v>2.4923</v>
      </c>
      <c r="W296">
        <v>2.4</v>
      </c>
      <c r="X296">
        <v>1.49002598554184</v>
      </c>
      <c r="Y296">
        <v>-0.208502</v>
      </c>
      <c r="Z296">
        <v>0.527363184079602</v>
      </c>
      <c r="AA296">
        <v>0.3478260869565217</v>
      </c>
      <c r="AB296">
        <v>0.7355305466237942</v>
      </c>
      <c r="AC296">
        <v>0.4726688102893891</v>
      </c>
      <c r="AD296">
        <v>0.5514469453376205</v>
      </c>
    </row>
    <row r="297" spans="1:30">
      <c r="A297" s="1" t="s">
        <v>304</v>
      </c>
      <c r="B297">
        <f>HYPERLINK("https://www.suredividend.com/sure-analysis-CAT/","Caterpillar, Inc.")</f>
        <v>0</v>
      </c>
      <c r="C297">
        <v>142.53</v>
      </c>
      <c r="D297">
        <v>76904.82414</v>
      </c>
      <c r="E297" t="s">
        <v>661</v>
      </c>
      <c r="F297" t="s">
        <v>631</v>
      </c>
      <c r="G297" t="s">
        <v>671</v>
      </c>
      <c r="H297" t="s">
        <v>702</v>
      </c>
      <c r="I297" t="s">
        <v>999</v>
      </c>
      <c r="J297" t="s">
        <v>1315</v>
      </c>
      <c r="K297">
        <v>44049</v>
      </c>
      <c r="L297">
        <v>0.029009998591747</v>
      </c>
      <c r="M297">
        <v>-0.03382678786679072</v>
      </c>
      <c r="N297">
        <v>0.08</v>
      </c>
      <c r="O297">
        <v>0.06992165069270295</v>
      </c>
      <c r="P297" t="s">
        <v>381</v>
      </c>
      <c r="Q297" t="s">
        <v>381</v>
      </c>
      <c r="R297">
        <v>26</v>
      </c>
      <c r="S297">
        <v>0.8240000000000001</v>
      </c>
      <c r="T297">
        <v>120</v>
      </c>
      <c r="U297">
        <v>1.18775</v>
      </c>
      <c r="V297">
        <v>7.5238</v>
      </c>
      <c r="W297">
        <v>5</v>
      </c>
      <c r="X297">
        <v>4.12</v>
      </c>
      <c r="Y297">
        <v>0.10572</v>
      </c>
      <c r="Z297">
        <v>0.4129353233830846</v>
      </c>
      <c r="AA297">
        <v>0.7520128824476651</v>
      </c>
      <c r="AB297">
        <v>0.8135048231511255</v>
      </c>
      <c r="AC297">
        <v>0.4308681672025723</v>
      </c>
      <c r="AD297">
        <v>0.5498392282958199</v>
      </c>
    </row>
    <row r="298" spans="1:30">
      <c r="A298" s="1" t="s">
        <v>305</v>
      </c>
      <c r="B298">
        <f>HYPERLINK("https://www.suredividend.com/sure-analysis-DUK/","Duke Energy Corp.")</f>
        <v>0</v>
      </c>
      <c r="C298">
        <v>83.67</v>
      </c>
      <c r="D298">
        <v>62286.14028</v>
      </c>
      <c r="E298" t="s">
        <v>666</v>
      </c>
      <c r="F298" t="s">
        <v>631</v>
      </c>
      <c r="G298" t="s">
        <v>671</v>
      </c>
      <c r="H298" t="s">
        <v>702</v>
      </c>
      <c r="I298" t="s">
        <v>1000</v>
      </c>
      <c r="J298" t="s">
        <v>1314</v>
      </c>
      <c r="K298">
        <v>44006</v>
      </c>
      <c r="L298">
        <v>0.044596507786691</v>
      </c>
      <c r="M298">
        <v>-0.01142080927597566</v>
      </c>
      <c r="N298">
        <v>0.04</v>
      </c>
      <c r="O298">
        <v>0.06966563451284635</v>
      </c>
      <c r="P298" t="s">
        <v>381</v>
      </c>
      <c r="Q298" t="s">
        <v>636</v>
      </c>
      <c r="R298">
        <v>9</v>
      </c>
      <c r="S298">
        <v>0.7200000000000001</v>
      </c>
      <c r="T298">
        <v>79</v>
      </c>
      <c r="U298">
        <v>1.059113924050633</v>
      </c>
      <c r="V298">
        <v>2.8376</v>
      </c>
      <c r="W298">
        <v>5.25</v>
      </c>
      <c r="X298">
        <v>3.78</v>
      </c>
      <c r="Y298">
        <v>-0.030232</v>
      </c>
      <c r="Z298">
        <v>0.6334991708126037</v>
      </c>
      <c r="AA298">
        <v>0.5958132045088567</v>
      </c>
      <c r="AB298">
        <v>0.3858520900321543</v>
      </c>
      <c r="AC298">
        <v>0.5836012861736335</v>
      </c>
      <c r="AD298">
        <v>0.5482315112540193</v>
      </c>
    </row>
    <row r="299" spans="1:30">
      <c r="A299" s="1" t="s">
        <v>306</v>
      </c>
      <c r="B299">
        <f>HYPERLINK("https://www.suredividend.com/sure-analysis-TU/","TELUS Corp.")</f>
        <v>0</v>
      </c>
      <c r="C299">
        <v>18.29</v>
      </c>
      <c r="D299">
        <v>23266.08</v>
      </c>
      <c r="E299" t="s">
        <v>662</v>
      </c>
      <c r="F299" t="s">
        <v>631</v>
      </c>
      <c r="G299" t="s">
        <v>672</v>
      </c>
      <c r="H299" t="s">
        <v>702</v>
      </c>
      <c r="I299" t="s">
        <v>1001</v>
      </c>
      <c r="J299" t="s">
        <v>1319</v>
      </c>
      <c r="K299">
        <v>43983</v>
      </c>
      <c r="L299">
        <v>0.04748166974146401</v>
      </c>
      <c r="M299">
        <v>-0.03888465601906166</v>
      </c>
      <c r="N299">
        <v>0.07000000000000001</v>
      </c>
      <c r="O299">
        <v>0.06903462792793746</v>
      </c>
      <c r="P299" t="s">
        <v>381</v>
      </c>
      <c r="Q299" t="s">
        <v>636</v>
      </c>
      <c r="R299">
        <v>11</v>
      </c>
      <c r="S299">
        <v>0.9559642841281534</v>
      </c>
      <c r="T299">
        <v>15</v>
      </c>
      <c r="U299">
        <v>1.219333333333333</v>
      </c>
      <c r="V299">
        <v>0.8757</v>
      </c>
      <c r="W299">
        <v>0.9</v>
      </c>
      <c r="X299">
        <v>0.860367855715338</v>
      </c>
      <c r="Y299">
        <v>0.002498</v>
      </c>
      <c r="Z299">
        <v>0.6600331674958541</v>
      </c>
      <c r="AA299">
        <v>0.6328502415458938</v>
      </c>
      <c r="AB299">
        <v>0.7355305466237942</v>
      </c>
      <c r="AC299">
        <v>0.4067524115755627</v>
      </c>
      <c r="AD299">
        <v>0.545016077170418</v>
      </c>
    </row>
    <row r="300" spans="1:30">
      <c r="A300" s="1" t="s">
        <v>307</v>
      </c>
      <c r="B300">
        <f>HYPERLINK("https://www.suredividend.com/sure-analysis-LEG/","Leggett &amp; Platt, Inc.")</f>
        <v>0</v>
      </c>
      <c r="C300">
        <v>41.27</v>
      </c>
      <c r="D300">
        <v>5437.38051</v>
      </c>
      <c r="E300" t="s">
        <v>659</v>
      </c>
      <c r="F300" t="s">
        <v>631</v>
      </c>
      <c r="G300" t="s">
        <v>671</v>
      </c>
      <c r="H300" t="s">
        <v>702</v>
      </c>
      <c r="I300" t="s">
        <v>1002</v>
      </c>
      <c r="J300" t="s">
        <v>1313</v>
      </c>
      <c r="K300">
        <v>43963</v>
      </c>
      <c r="L300">
        <v>0.038957876795714</v>
      </c>
      <c r="M300">
        <v>-0.01637439475629976</v>
      </c>
      <c r="N300">
        <v>0.05</v>
      </c>
      <c r="O300">
        <v>0.06865722376093286</v>
      </c>
      <c r="P300" t="s">
        <v>381</v>
      </c>
      <c r="Q300" t="s">
        <v>381</v>
      </c>
      <c r="R300">
        <v>47</v>
      </c>
      <c r="S300">
        <v>1.230769230769231</v>
      </c>
      <c r="T300">
        <v>38</v>
      </c>
      <c r="U300">
        <v>1.086052631578947</v>
      </c>
      <c r="V300">
        <v>1.6729</v>
      </c>
      <c r="W300">
        <v>1.3</v>
      </c>
      <c r="X300">
        <v>1.6</v>
      </c>
      <c r="Y300">
        <v>-0.009613</v>
      </c>
      <c r="Z300">
        <v>0.5621890547263682</v>
      </c>
      <c r="AA300">
        <v>0.6199677938808373</v>
      </c>
      <c r="AB300">
        <v>0.5168810289389068</v>
      </c>
      <c r="AC300">
        <v>0.5482315112540193</v>
      </c>
      <c r="AD300">
        <v>0.5418006430868167</v>
      </c>
    </row>
    <row r="301" spans="1:30">
      <c r="A301" s="1" t="s">
        <v>308</v>
      </c>
      <c r="B301">
        <f>HYPERLINK("https://www.suredividend.com/sure-analysis-EXC/","Exelon Corp.")</f>
        <v>0</v>
      </c>
      <c r="C301">
        <v>37.915</v>
      </c>
      <c r="D301">
        <v>37333.24824</v>
      </c>
      <c r="E301" t="s">
        <v>665</v>
      </c>
      <c r="F301" t="s">
        <v>631</v>
      </c>
      <c r="G301" t="s">
        <v>671</v>
      </c>
      <c r="H301" t="s">
        <v>701</v>
      </c>
      <c r="I301" t="s">
        <v>1003</v>
      </c>
      <c r="J301" t="s">
        <v>1314</v>
      </c>
      <c r="K301">
        <v>44047</v>
      </c>
      <c r="L301">
        <v>0.03889323936309001</v>
      </c>
      <c r="M301">
        <v>0.01076404836376699</v>
      </c>
      <c r="N301">
        <v>0.02</v>
      </c>
      <c r="O301">
        <v>0.06639061207808505</v>
      </c>
      <c r="P301" t="s">
        <v>381</v>
      </c>
      <c r="Q301" t="s">
        <v>381</v>
      </c>
      <c r="R301">
        <v>5</v>
      </c>
      <c r="S301">
        <v>0.5050847457627118</v>
      </c>
      <c r="T301">
        <v>40</v>
      </c>
      <c r="U301">
        <v>0.947875</v>
      </c>
      <c r="V301">
        <v>2.7178</v>
      </c>
      <c r="W301">
        <v>2.95</v>
      </c>
      <c r="X301">
        <v>1.49</v>
      </c>
      <c r="Y301">
        <v>-0.142889</v>
      </c>
      <c r="Z301">
        <v>0.560530679933665</v>
      </c>
      <c r="AA301">
        <v>0.426731078904992</v>
      </c>
      <c r="AB301">
        <v>0.157556270096463</v>
      </c>
      <c r="AC301">
        <v>0.712218649517685</v>
      </c>
      <c r="AD301">
        <v>0.5257234726688104</v>
      </c>
    </row>
    <row r="302" spans="1:30">
      <c r="A302" s="1" t="s">
        <v>309</v>
      </c>
      <c r="B302">
        <f>HYPERLINK("https://www.suredividend.com/sure-analysis-BUD/","Anheuser-Busch InBev SA/NV")</f>
        <v>0</v>
      </c>
      <c r="C302">
        <v>55.93</v>
      </c>
      <c r="D302">
        <v>89743.188067</v>
      </c>
      <c r="E302" t="s">
        <v>660</v>
      </c>
      <c r="F302" t="s">
        <v>631</v>
      </c>
      <c r="G302" t="s">
        <v>688</v>
      </c>
      <c r="H302" t="s">
        <v>702</v>
      </c>
      <c r="I302" t="s">
        <v>1004</v>
      </c>
      <c r="J302" t="s">
        <v>1320</v>
      </c>
      <c r="K302">
        <v>43993</v>
      </c>
      <c r="L302">
        <v>0.026625114573785</v>
      </c>
      <c r="M302">
        <v>0.020820479121338</v>
      </c>
      <c r="N302">
        <v>0.03</v>
      </c>
      <c r="O302">
        <v>0.06623696408484148</v>
      </c>
      <c r="P302" t="s">
        <v>381</v>
      </c>
      <c r="Q302" t="s">
        <v>420</v>
      </c>
      <c r="R302">
        <v>0</v>
      </c>
      <c r="S302">
        <v>0.4185590778097982</v>
      </c>
      <c r="T302">
        <v>62</v>
      </c>
      <c r="U302">
        <v>0.9020967741935484</v>
      </c>
      <c r="V302">
        <v>-0.3342</v>
      </c>
      <c r="W302">
        <v>3.47</v>
      </c>
      <c r="X302">
        <v>1.4524</v>
      </c>
      <c r="Y302">
        <v>-0.449193</v>
      </c>
      <c r="Z302">
        <v>0.3764510779436153</v>
      </c>
      <c r="AA302">
        <v>0.09822866344605474</v>
      </c>
      <c r="AB302">
        <v>0.2540192926045016</v>
      </c>
      <c r="AC302">
        <v>0.7733118971061093</v>
      </c>
      <c r="AD302">
        <v>0.5241157556270096</v>
      </c>
    </row>
    <row r="303" spans="1:30">
      <c r="A303" s="1" t="s">
        <v>310</v>
      </c>
      <c r="B303">
        <f>HYPERLINK("https://www.suredividend.com/sure-analysis-NLSN/","Nielsen Holdings Plc")</f>
        <v>0</v>
      </c>
      <c r="C303">
        <v>16.29</v>
      </c>
      <c r="D303">
        <v>5754.44202</v>
      </c>
      <c r="E303" t="s">
        <v>659</v>
      </c>
      <c r="F303" t="s">
        <v>631</v>
      </c>
      <c r="G303" t="s">
        <v>671</v>
      </c>
      <c r="H303" t="s">
        <v>702</v>
      </c>
      <c r="I303" t="s">
        <v>1005</v>
      </c>
      <c r="J303" t="s">
        <v>1315</v>
      </c>
      <c r="K303">
        <v>43961</v>
      </c>
      <c r="L303">
        <v>0.032858028518288</v>
      </c>
      <c r="M303">
        <v>0.02016468184820908</v>
      </c>
      <c r="N303">
        <v>0.03</v>
      </c>
      <c r="O303">
        <v>0.06426289273896768</v>
      </c>
      <c r="P303" t="s">
        <v>381</v>
      </c>
      <c r="Q303" t="s">
        <v>420</v>
      </c>
      <c r="R303">
        <v>0</v>
      </c>
      <c r="S303">
        <v>0.3509933774834437</v>
      </c>
      <c r="T303">
        <v>18</v>
      </c>
      <c r="U303">
        <v>0.9049999999999999</v>
      </c>
      <c r="V303">
        <v>-1.7674</v>
      </c>
      <c r="W303">
        <v>1.51</v>
      </c>
      <c r="X303">
        <v>0.53</v>
      </c>
      <c r="Y303">
        <v>-0.282098</v>
      </c>
      <c r="Z303">
        <v>0.4693200663349917</v>
      </c>
      <c r="AA303">
        <v>0.2608695652173913</v>
      </c>
      <c r="AB303">
        <v>0.2540192926045016</v>
      </c>
      <c r="AC303">
        <v>0.7652733118971061</v>
      </c>
      <c r="AD303">
        <v>0.5160771704180064</v>
      </c>
    </row>
    <row r="304" spans="1:30">
      <c r="A304" s="1" t="s">
        <v>311</v>
      </c>
      <c r="B304">
        <f>HYPERLINK("https://www.suredividend.com/sure-analysis-RELX/","RELX Plc")</f>
        <v>0</v>
      </c>
      <c r="C304">
        <v>22.38</v>
      </c>
      <c r="D304">
        <v>42631.595329</v>
      </c>
      <c r="E304" t="s">
        <v>664</v>
      </c>
      <c r="F304" t="s">
        <v>631</v>
      </c>
      <c r="G304" t="s">
        <v>676</v>
      </c>
      <c r="H304" t="s">
        <v>702</v>
      </c>
      <c r="I304" t="s">
        <v>1006</v>
      </c>
      <c r="J304" t="s">
        <v>1319</v>
      </c>
      <c r="K304">
        <v>44038</v>
      </c>
      <c r="L304">
        <v>0.025624650112866</v>
      </c>
      <c r="M304">
        <v>-0.02223613591459395</v>
      </c>
      <c r="N304">
        <v>0.06</v>
      </c>
      <c r="O304">
        <v>0.06381606572455079</v>
      </c>
      <c r="P304" t="s">
        <v>381</v>
      </c>
      <c r="Q304" t="s">
        <v>420</v>
      </c>
      <c r="R304">
        <v>5</v>
      </c>
      <c r="S304">
        <v>0.6306511111111111</v>
      </c>
      <c r="T304">
        <v>20</v>
      </c>
      <c r="U304">
        <v>1.119</v>
      </c>
      <c r="V304">
        <v>0.8305</v>
      </c>
      <c r="W304">
        <v>0.9</v>
      </c>
      <c r="X304">
        <v>0.5675859999999999</v>
      </c>
      <c r="Y304">
        <v>-0.059822</v>
      </c>
      <c r="Z304">
        <v>0.3482587064676617</v>
      </c>
      <c r="AA304">
        <v>0.5507246376811594</v>
      </c>
      <c r="AB304">
        <v>0.6430868167202572</v>
      </c>
      <c r="AC304">
        <v>0.5128617363344051</v>
      </c>
      <c r="AD304">
        <v>0.5144694533762058</v>
      </c>
    </row>
    <row r="305" spans="1:30">
      <c r="A305" s="1" t="s">
        <v>312</v>
      </c>
      <c r="B305">
        <f>HYPERLINK("https://www.suredividend.com/sure-analysis-BEP/","Brookfield Renewable Partners LP")</f>
        <v>0</v>
      </c>
      <c r="C305">
        <v>44.6</v>
      </c>
      <c r="D305">
        <v>14226.57094</v>
      </c>
      <c r="E305" t="s">
        <v>662</v>
      </c>
      <c r="F305" t="s">
        <v>632</v>
      </c>
      <c r="G305" t="s">
        <v>677</v>
      </c>
      <c r="H305" t="s">
        <v>702</v>
      </c>
      <c r="I305" t="s">
        <v>1007</v>
      </c>
      <c r="J305" t="s">
        <v>1314</v>
      </c>
      <c r="K305">
        <v>43971</v>
      </c>
      <c r="L305">
        <v>0.046487128779648</v>
      </c>
      <c r="M305">
        <v>-0.04193819081854466</v>
      </c>
      <c r="N305">
        <v>0.06</v>
      </c>
      <c r="O305">
        <v>0.06362079456740677</v>
      </c>
      <c r="P305" t="s">
        <v>381</v>
      </c>
      <c r="Q305" t="s">
        <v>636</v>
      </c>
      <c r="R305">
        <v>11</v>
      </c>
      <c r="S305">
        <v>0.8133459569946923</v>
      </c>
      <c r="T305">
        <v>36</v>
      </c>
      <c r="U305">
        <v>1.238888888888889</v>
      </c>
      <c r="V305">
        <v>-0.4637</v>
      </c>
      <c r="W305">
        <v>2.6</v>
      </c>
      <c r="X305">
        <v>2.1146994881862</v>
      </c>
      <c r="Y305">
        <v>0.580168</v>
      </c>
      <c r="Z305">
        <v>0.6533996683250415</v>
      </c>
      <c r="AA305">
        <v>0.9726247987117553</v>
      </c>
      <c r="AB305">
        <v>0.6430868167202572</v>
      </c>
      <c r="AC305">
        <v>0.3890675241157556</v>
      </c>
      <c r="AD305">
        <v>0.5112540192926045</v>
      </c>
    </row>
    <row r="306" spans="1:30">
      <c r="A306" s="1" t="s">
        <v>313</v>
      </c>
      <c r="B306">
        <f>HYPERLINK("https://www.suredividend.com/sure-analysis-JACK/","Jack in the Box, Inc.")</f>
        <v>0</v>
      </c>
      <c r="C306">
        <v>79.22</v>
      </c>
      <c r="D306">
        <v>1792.453312</v>
      </c>
      <c r="E306" t="s">
        <v>662</v>
      </c>
      <c r="F306" t="s">
        <v>631</v>
      </c>
      <c r="G306" t="s">
        <v>671</v>
      </c>
      <c r="H306" t="s">
        <v>701</v>
      </c>
      <c r="I306" t="s">
        <v>1008</v>
      </c>
      <c r="J306" t="s">
        <v>1313</v>
      </c>
      <c r="K306">
        <v>43983</v>
      </c>
      <c r="L306">
        <v>0.015182186234817</v>
      </c>
      <c r="M306">
        <v>-0.05092835276059482</v>
      </c>
      <c r="N306">
        <v>0.12</v>
      </c>
      <c r="O306">
        <v>0.0629602449081339</v>
      </c>
      <c r="P306" t="s">
        <v>381</v>
      </c>
      <c r="Q306" t="s">
        <v>596</v>
      </c>
      <c r="R306">
        <v>0</v>
      </c>
      <c r="S306">
        <v>0.3529411764705883</v>
      </c>
      <c r="T306">
        <v>61</v>
      </c>
      <c r="U306">
        <v>1.298688524590164</v>
      </c>
      <c r="V306">
        <v>3.1269</v>
      </c>
      <c r="W306">
        <v>3.4</v>
      </c>
      <c r="X306">
        <v>1.2</v>
      </c>
      <c r="Y306">
        <v>-0.056686</v>
      </c>
      <c r="Z306">
        <v>0.1509121061359867</v>
      </c>
      <c r="AA306">
        <v>0.5571658615136876</v>
      </c>
      <c r="AB306">
        <v>0.9485530546623794</v>
      </c>
      <c r="AC306">
        <v>0.3151125401929261</v>
      </c>
      <c r="AD306">
        <v>0.5048231511254019</v>
      </c>
    </row>
    <row r="307" spans="1:30">
      <c r="A307" s="1" t="s">
        <v>314</v>
      </c>
      <c r="B307">
        <f>HYPERLINK("https://www.suredividend.com/sure-analysis-VIAC/","ViacomCBS, Inc.")</f>
        <v>0</v>
      </c>
      <c r="C307">
        <v>26.505</v>
      </c>
      <c r="D307">
        <v>16190.479416</v>
      </c>
      <c r="E307" t="s">
        <v>668</v>
      </c>
      <c r="F307" t="s">
        <v>631</v>
      </c>
      <c r="G307" t="s">
        <v>671</v>
      </c>
      <c r="H307" t="s">
        <v>701</v>
      </c>
      <c r="I307" t="s">
        <v>1009</v>
      </c>
      <c r="J307" t="s">
        <v>1319</v>
      </c>
      <c r="K307">
        <v>43979</v>
      </c>
      <c r="L307">
        <v>0.034207525655644</v>
      </c>
      <c r="M307">
        <v>-0.003839979633273205</v>
      </c>
      <c r="N307">
        <v>0.03</v>
      </c>
      <c r="O307">
        <v>0.06151808595781949</v>
      </c>
      <c r="P307" t="s">
        <v>381</v>
      </c>
      <c r="Q307" t="s">
        <v>381</v>
      </c>
      <c r="R307">
        <v>1</v>
      </c>
      <c r="S307">
        <v>0.2393617021276596</v>
      </c>
      <c r="T307">
        <v>26</v>
      </c>
      <c r="U307">
        <v>1.019423076923077</v>
      </c>
      <c r="V307">
        <v>2.0559</v>
      </c>
      <c r="W307">
        <v>3.76</v>
      </c>
      <c r="X307">
        <v>0.9</v>
      </c>
      <c r="Y307">
        <v>-0.484258</v>
      </c>
      <c r="Z307">
        <v>0.4908789386401327</v>
      </c>
      <c r="AA307">
        <v>0.07568438003220612</v>
      </c>
      <c r="AB307">
        <v>0.2540192926045016</v>
      </c>
      <c r="AC307">
        <v>0.635048231511254</v>
      </c>
      <c r="AD307">
        <v>0.5016077170418006</v>
      </c>
    </row>
    <row r="308" spans="1:30">
      <c r="A308" s="1" t="s">
        <v>315</v>
      </c>
      <c r="B308">
        <f>HYPERLINK("https://www.suredividend.com/sure-analysis-GE/","General Electric Co.")</f>
        <v>0</v>
      </c>
      <c r="C308">
        <v>6.73</v>
      </c>
      <c r="D308">
        <v>58384.4443</v>
      </c>
      <c r="E308" t="s">
        <v>661</v>
      </c>
      <c r="F308" t="s">
        <v>631</v>
      </c>
      <c r="G308" t="s">
        <v>671</v>
      </c>
      <c r="H308" t="s">
        <v>702</v>
      </c>
      <c r="I308" t="s">
        <v>1010</v>
      </c>
      <c r="J308" t="s">
        <v>1315</v>
      </c>
      <c r="K308">
        <v>44042</v>
      </c>
      <c r="L308">
        <v>0.005997001499250001</v>
      </c>
      <c r="M308">
        <v>-0.03956157905242119</v>
      </c>
      <c r="N308">
        <v>0.1</v>
      </c>
      <c r="O308">
        <v>0.06121060290697589</v>
      </c>
      <c r="P308" t="s">
        <v>381</v>
      </c>
      <c r="Q308" t="s">
        <v>596</v>
      </c>
      <c r="R308">
        <v>0</v>
      </c>
      <c r="S308">
        <v>0.4</v>
      </c>
      <c r="T308">
        <v>5.5</v>
      </c>
      <c r="U308">
        <v>1.223636363636364</v>
      </c>
      <c r="V308">
        <v>0.4095</v>
      </c>
      <c r="W308">
        <v>0.1</v>
      </c>
      <c r="X308">
        <v>0.04</v>
      </c>
      <c r="Y308">
        <v>-0.325606</v>
      </c>
      <c r="Z308">
        <v>0.02653399668325042</v>
      </c>
      <c r="AA308">
        <v>0.2093397745571659</v>
      </c>
      <c r="AB308">
        <v>0.907556270096463</v>
      </c>
      <c r="AC308">
        <v>0.4051446945337621</v>
      </c>
      <c r="AD308">
        <v>0.4983922829581994</v>
      </c>
    </row>
    <row r="309" spans="1:30">
      <c r="A309" s="1" t="s">
        <v>316</v>
      </c>
      <c r="B309">
        <f>HYPERLINK("https://www.suredividend.com/sure-analysis-DEO/","Diageo Plc")</f>
        <v>0</v>
      </c>
      <c r="C309">
        <v>135.75</v>
      </c>
      <c r="D309">
        <v>78867.704</v>
      </c>
      <c r="E309" t="s">
        <v>665</v>
      </c>
      <c r="F309" t="s">
        <v>631</v>
      </c>
      <c r="G309" t="s">
        <v>676</v>
      </c>
      <c r="H309" t="s">
        <v>702</v>
      </c>
      <c r="I309" t="s">
        <v>1011</v>
      </c>
      <c r="J309" t="s">
        <v>1320</v>
      </c>
      <c r="K309">
        <v>44052</v>
      </c>
      <c r="L309">
        <v>0.026271866212816</v>
      </c>
      <c r="M309">
        <v>-0.04294404045689892</v>
      </c>
      <c r="N309">
        <v>0.08</v>
      </c>
      <c r="O309">
        <v>0.05893259817312857</v>
      </c>
      <c r="P309" t="s">
        <v>381</v>
      </c>
      <c r="Q309" t="s">
        <v>381</v>
      </c>
      <c r="R309">
        <v>7</v>
      </c>
      <c r="S309">
        <v>0.5967025210084034</v>
      </c>
      <c r="T309">
        <v>109</v>
      </c>
      <c r="U309">
        <v>1.245412844036697</v>
      </c>
      <c r="V309">
        <v>3.0022</v>
      </c>
      <c r="W309">
        <v>5.95</v>
      </c>
      <c r="X309">
        <v>3.55038</v>
      </c>
      <c r="Y309">
        <v>-0.172821</v>
      </c>
      <c r="Z309">
        <v>0.3681592039800995</v>
      </c>
      <c r="AA309">
        <v>0.3945249597423511</v>
      </c>
      <c r="AB309">
        <v>0.8135048231511255</v>
      </c>
      <c r="AC309">
        <v>0.3778135048231511</v>
      </c>
      <c r="AD309">
        <v>0.4790996784565916</v>
      </c>
    </row>
    <row r="310" spans="1:30">
      <c r="A310" s="1" t="s">
        <v>317</v>
      </c>
      <c r="B310">
        <f>HYPERLINK("https://www.suredividend.com/sure-analysis-WPC/","W.P. Carey, Inc.")</f>
        <v>0</v>
      </c>
      <c r="C310">
        <v>72.83</v>
      </c>
      <c r="D310">
        <v>12709.19664</v>
      </c>
      <c r="E310" t="s">
        <v>659</v>
      </c>
      <c r="F310" t="s">
        <v>633</v>
      </c>
      <c r="G310" t="s">
        <v>671</v>
      </c>
      <c r="H310" t="s">
        <v>702</v>
      </c>
      <c r="I310" t="s">
        <v>1012</v>
      </c>
      <c r="J310" t="s">
        <v>1322</v>
      </c>
      <c r="K310">
        <v>43964</v>
      </c>
      <c r="L310">
        <v>0.05686918445539101</v>
      </c>
      <c r="M310">
        <v>-0.02858222059176152</v>
      </c>
      <c r="N310">
        <v>0.035</v>
      </c>
      <c r="O310">
        <v>0.05876674566549545</v>
      </c>
      <c r="P310" t="s">
        <v>381</v>
      </c>
      <c r="Q310" t="s">
        <v>635</v>
      </c>
      <c r="R310">
        <v>22</v>
      </c>
      <c r="S310">
        <v>0.8229702970297029</v>
      </c>
      <c r="T310">
        <v>63</v>
      </c>
      <c r="U310">
        <v>1.156031746031746</v>
      </c>
      <c r="V310">
        <v>1.9756</v>
      </c>
      <c r="W310">
        <v>5.05</v>
      </c>
      <c r="X310">
        <v>4.156</v>
      </c>
      <c r="Y310">
        <v>-0.175163</v>
      </c>
      <c r="Z310">
        <v>0.7330016583747927</v>
      </c>
      <c r="AA310">
        <v>0.392914653784219</v>
      </c>
      <c r="AB310">
        <v>0.3183279742765273</v>
      </c>
      <c r="AC310">
        <v>0.4790996784565916</v>
      </c>
      <c r="AD310">
        <v>0.4774919614147909</v>
      </c>
    </row>
    <row r="311" spans="1:30">
      <c r="A311" s="1" t="s">
        <v>318</v>
      </c>
      <c r="B311">
        <f>HYPERLINK("https://www.suredividend.com/sure-analysis-SUUIF/","Superior Plus Corp.")</f>
        <v>0</v>
      </c>
      <c r="C311">
        <v>8.880000000000001</v>
      </c>
      <c r="D311">
        <v>1563.25296</v>
      </c>
      <c r="E311" t="s">
        <v>669</v>
      </c>
      <c r="F311" t="s">
        <v>631</v>
      </c>
      <c r="G311" t="s">
        <v>672</v>
      </c>
      <c r="H311" t="s">
        <v>700</v>
      </c>
      <c r="I311" t="s">
        <v>1013</v>
      </c>
      <c r="J311" t="s">
        <v>1314</v>
      </c>
      <c r="K311">
        <v>43985</v>
      </c>
      <c r="L311">
        <v>0.060926050337793</v>
      </c>
      <c r="M311">
        <v>0.002688210842791472</v>
      </c>
      <c r="N311">
        <v>0</v>
      </c>
      <c r="O311">
        <v>0.05670698744665148</v>
      </c>
      <c r="P311" t="s">
        <v>381</v>
      </c>
      <c r="Q311" t="s">
        <v>636</v>
      </c>
      <c r="R311">
        <v>0</v>
      </c>
      <c r="S311">
        <v>0.3783379909088182</v>
      </c>
      <c r="T311">
        <v>9</v>
      </c>
      <c r="U311">
        <v>0.9866666666666668</v>
      </c>
      <c r="V311">
        <v>-0.0104</v>
      </c>
      <c r="W311">
        <v>1.43</v>
      </c>
      <c r="X311">
        <v>0.54102332699961</v>
      </c>
      <c r="Y311">
        <v>-0.1188</v>
      </c>
      <c r="Z311">
        <v>0.7611940298507462</v>
      </c>
      <c r="AA311">
        <v>0.4557165861513688</v>
      </c>
      <c r="AB311">
        <v>0.04662379421221865</v>
      </c>
      <c r="AC311">
        <v>0.6688102893890675</v>
      </c>
      <c r="AD311">
        <v>0.4694533762057878</v>
      </c>
    </row>
    <row r="312" spans="1:30">
      <c r="A312" s="1" t="s">
        <v>319</v>
      </c>
      <c r="B312">
        <f>HYPERLINK("https://www.suredividend.com/sure-analysis-COR/","CoreSite Realty Corp.")</f>
        <v>0</v>
      </c>
      <c r="C312">
        <v>121.16</v>
      </c>
      <c r="D312">
        <v>5327.245725</v>
      </c>
      <c r="E312" t="s">
        <v>666</v>
      </c>
      <c r="F312" t="s">
        <v>633</v>
      </c>
      <c r="G312" t="s">
        <v>671</v>
      </c>
      <c r="H312" t="s">
        <v>702</v>
      </c>
      <c r="I312" t="s">
        <v>1014</v>
      </c>
      <c r="J312" t="s">
        <v>1322</v>
      </c>
      <c r="K312">
        <v>43971</v>
      </c>
      <c r="L312">
        <v>0.038962075848303</v>
      </c>
      <c r="M312">
        <v>-0.04154139192994122</v>
      </c>
      <c r="N312">
        <v>0.063</v>
      </c>
      <c r="O312">
        <v>0.05629645730466248</v>
      </c>
      <c r="P312" t="s">
        <v>381</v>
      </c>
      <c r="Q312" t="s">
        <v>381</v>
      </c>
      <c r="R312">
        <v>10</v>
      </c>
      <c r="S312">
        <v>0.9475728155339805</v>
      </c>
      <c r="T312">
        <v>98</v>
      </c>
      <c r="U312">
        <v>1.236326530612245</v>
      </c>
      <c r="V312">
        <v>1.9834</v>
      </c>
      <c r="W312">
        <v>5.15</v>
      </c>
      <c r="X312">
        <v>4.88</v>
      </c>
      <c r="Y312">
        <v>0.134216</v>
      </c>
      <c r="Z312">
        <v>0.5638474295190713</v>
      </c>
      <c r="AA312">
        <v>0.7761674718196457</v>
      </c>
      <c r="AB312">
        <v>0.6897106109324759</v>
      </c>
      <c r="AC312">
        <v>0.3938906752411575</v>
      </c>
      <c r="AD312">
        <v>0.4678456591639871</v>
      </c>
    </row>
    <row r="313" spans="1:30">
      <c r="A313" s="1" t="s">
        <v>320</v>
      </c>
      <c r="B313">
        <f>HYPERLINK("https://www.suredividend.com/sure-analysis-OSK/","Oshkosh Corp.")</f>
        <v>0</v>
      </c>
      <c r="C313">
        <v>83.63</v>
      </c>
      <c r="D313">
        <v>5644.650144</v>
      </c>
      <c r="E313" t="s">
        <v>661</v>
      </c>
      <c r="F313" t="s">
        <v>631</v>
      </c>
      <c r="G313" t="s">
        <v>671</v>
      </c>
      <c r="H313" t="s">
        <v>702</v>
      </c>
      <c r="I313" t="s">
        <v>1015</v>
      </c>
      <c r="J313" t="s">
        <v>1315</v>
      </c>
      <c r="K313">
        <v>44049</v>
      </c>
      <c r="L313">
        <v>0.014116795366795</v>
      </c>
      <c r="M313">
        <v>0.0008832881594009745</v>
      </c>
      <c r="N313">
        <v>0.04</v>
      </c>
      <c r="O313">
        <v>0.05552706878303781</v>
      </c>
      <c r="P313" t="s">
        <v>381</v>
      </c>
      <c r="Q313" t="s">
        <v>420</v>
      </c>
      <c r="R313">
        <v>7</v>
      </c>
      <c r="S313">
        <v>0.24375</v>
      </c>
      <c r="T313">
        <v>84</v>
      </c>
      <c r="U313">
        <v>0.9955952380952381</v>
      </c>
      <c r="V313">
        <v>5.4937</v>
      </c>
      <c r="W313">
        <v>4.8</v>
      </c>
      <c r="X313">
        <v>1.17</v>
      </c>
      <c r="Y313">
        <v>0.06929399999999999</v>
      </c>
      <c r="Z313">
        <v>0.1376451077943615</v>
      </c>
      <c r="AA313">
        <v>0.7101449275362319</v>
      </c>
      <c r="AB313">
        <v>0.3858520900321543</v>
      </c>
      <c r="AC313">
        <v>0.6591639871382636</v>
      </c>
      <c r="AD313">
        <v>0.454983922829582</v>
      </c>
    </row>
    <row r="314" spans="1:30">
      <c r="A314" s="1" t="s">
        <v>321</v>
      </c>
      <c r="B314">
        <f>HYPERLINK("https://www.suredividend.com/sure-analysis-SRCE/","1st Source Corp.")</f>
        <v>0</v>
      </c>
      <c r="C314">
        <v>37.02</v>
      </c>
      <c r="D314">
        <v>923.902464</v>
      </c>
      <c r="E314" t="s">
        <v>663</v>
      </c>
      <c r="F314" t="s">
        <v>631</v>
      </c>
      <c r="G314" t="s">
        <v>671</v>
      </c>
      <c r="H314" t="s">
        <v>701</v>
      </c>
      <c r="I314" t="s">
        <v>1016</v>
      </c>
      <c r="J314" t="s">
        <v>1312</v>
      </c>
      <c r="K314">
        <v>44038</v>
      </c>
      <c r="L314">
        <v>0.03125</v>
      </c>
      <c r="M314">
        <v>0.005239247623000765</v>
      </c>
      <c r="N314">
        <v>0.02</v>
      </c>
      <c r="O314">
        <v>0.05336659588137449</v>
      </c>
      <c r="P314" t="s">
        <v>381</v>
      </c>
      <c r="Q314" t="s">
        <v>381</v>
      </c>
      <c r="R314">
        <v>32</v>
      </c>
      <c r="S314">
        <v>0.452</v>
      </c>
      <c r="T314">
        <v>38</v>
      </c>
      <c r="U314">
        <v>0.9742105263157895</v>
      </c>
      <c r="V314">
        <v>3.168</v>
      </c>
      <c r="W314">
        <v>2.5</v>
      </c>
      <c r="X314">
        <v>1.13</v>
      </c>
      <c r="Y314">
        <v>-0.212162</v>
      </c>
      <c r="Z314">
        <v>0.4477611940298508</v>
      </c>
      <c r="AA314">
        <v>0.3365539452495974</v>
      </c>
      <c r="AB314">
        <v>0.157556270096463</v>
      </c>
      <c r="AC314">
        <v>0.6816720257234726</v>
      </c>
      <c r="AD314">
        <v>0.4469453376205788</v>
      </c>
    </row>
    <row r="315" spans="1:30">
      <c r="A315" s="1" t="s">
        <v>322</v>
      </c>
      <c r="B315">
        <f>HYPERLINK("https://www.suredividend.com/sure-analysis-TRSWF/","TransAlta Renewables, Inc.")</f>
        <v>0</v>
      </c>
      <c r="C315">
        <v>11.84</v>
      </c>
      <c r="D315">
        <v>3148.256</v>
      </c>
      <c r="E315" t="s">
        <v>666</v>
      </c>
      <c r="F315" t="s">
        <v>631</v>
      </c>
      <c r="G315" t="s">
        <v>672</v>
      </c>
      <c r="H315" t="s">
        <v>700</v>
      </c>
      <c r="J315" t="s">
        <v>1314</v>
      </c>
      <c r="K315">
        <v>44013</v>
      </c>
      <c r="L315">
        <v>0.059145474044337</v>
      </c>
      <c r="M315">
        <v>-0.03321554325357468</v>
      </c>
      <c r="N315">
        <v>0.032</v>
      </c>
      <c r="O315">
        <v>0.05323275430562657</v>
      </c>
      <c r="P315" t="s">
        <v>381</v>
      </c>
      <c r="Q315" t="s">
        <v>635</v>
      </c>
      <c r="R315">
        <v>0</v>
      </c>
      <c r="S315">
        <v>0.6366203751681382</v>
      </c>
      <c r="T315">
        <v>10</v>
      </c>
      <c r="U315">
        <v>1.184</v>
      </c>
      <c r="V315">
        <v>0.2953</v>
      </c>
      <c r="W315">
        <v>1.1</v>
      </c>
      <c r="X315">
        <v>0.7002824126849521</v>
      </c>
      <c r="Y315">
        <v>0.113809</v>
      </c>
      <c r="Z315">
        <v>0.747927031509121</v>
      </c>
      <c r="AA315">
        <v>0.7600644122383252</v>
      </c>
      <c r="AB315">
        <v>0.3078778135048232</v>
      </c>
      <c r="AC315">
        <v>0.4405144694533762</v>
      </c>
      <c r="AD315">
        <v>0.4453376205787782</v>
      </c>
    </row>
    <row r="316" spans="1:30">
      <c r="A316" s="1" t="s">
        <v>323</v>
      </c>
      <c r="B316">
        <f>HYPERLINK("https://www.suredividend.com/sure-analysis-WDC/","Western Digital Corp.")</f>
        <v>0</v>
      </c>
      <c r="C316">
        <v>36.96</v>
      </c>
      <c r="D316">
        <v>11196.82936</v>
      </c>
      <c r="E316" t="s">
        <v>659</v>
      </c>
      <c r="F316" t="s">
        <v>631</v>
      </c>
      <c r="G316" t="s">
        <v>671</v>
      </c>
      <c r="H316" t="s">
        <v>701</v>
      </c>
      <c r="I316" t="s">
        <v>1017</v>
      </c>
      <c r="J316" t="s">
        <v>1318</v>
      </c>
      <c r="K316">
        <v>44050</v>
      </c>
      <c r="L316">
        <v>0.040149892933618</v>
      </c>
      <c r="M316">
        <v>-0.01655655284834412</v>
      </c>
      <c r="N316">
        <v>0.07000000000000001</v>
      </c>
      <c r="O316">
        <v>0.05228448845227174</v>
      </c>
      <c r="P316" t="s">
        <v>381</v>
      </c>
      <c r="Q316" t="s">
        <v>381</v>
      </c>
      <c r="R316">
        <v>0</v>
      </c>
      <c r="S316">
        <v>0.4411764705882353</v>
      </c>
      <c r="T316">
        <v>34</v>
      </c>
      <c r="U316">
        <v>1.087058823529412</v>
      </c>
      <c r="V316">
        <v>-0.8487</v>
      </c>
      <c r="W316">
        <v>3.4</v>
      </c>
      <c r="X316">
        <v>1.5</v>
      </c>
      <c r="Y316">
        <v>-0.329801</v>
      </c>
      <c r="Z316">
        <v>0.5804311774461028</v>
      </c>
      <c r="AA316">
        <v>0.2028985507246377</v>
      </c>
      <c r="AB316">
        <v>0.7355305466237942</v>
      </c>
      <c r="AC316">
        <v>0.545016077170418</v>
      </c>
      <c r="AD316">
        <v>0.4421221864951769</v>
      </c>
    </row>
    <row r="317" spans="1:30">
      <c r="A317" s="1" t="s">
        <v>324</v>
      </c>
      <c r="B317">
        <f>HYPERLINK("https://www.suredividend.com/sure-analysis-GIS/","General Mills, Inc.")</f>
        <v>0</v>
      </c>
      <c r="C317">
        <v>62.14</v>
      </c>
      <c r="D317">
        <v>38879.14875</v>
      </c>
      <c r="E317" t="s">
        <v>662</v>
      </c>
      <c r="F317" t="s">
        <v>631</v>
      </c>
      <c r="G317" t="s">
        <v>671</v>
      </c>
      <c r="H317" t="s">
        <v>702</v>
      </c>
      <c r="I317" t="s">
        <v>1018</v>
      </c>
      <c r="J317" t="s">
        <v>1320</v>
      </c>
      <c r="K317">
        <v>44014</v>
      </c>
      <c r="L317">
        <v>0.030745098039215</v>
      </c>
      <c r="M317">
        <v>-0.00698456211771159</v>
      </c>
      <c r="N317">
        <v>0.03</v>
      </c>
      <c r="O317">
        <v>0.05107141813051053</v>
      </c>
      <c r="P317" t="s">
        <v>381</v>
      </c>
      <c r="Q317" t="s">
        <v>381</v>
      </c>
      <c r="R317">
        <v>0</v>
      </c>
      <c r="S317">
        <v>0.5521126760563381</v>
      </c>
      <c r="T317">
        <v>60</v>
      </c>
      <c r="U317">
        <v>1.035666666666667</v>
      </c>
      <c r="V317">
        <v>3.5865</v>
      </c>
      <c r="W317">
        <v>3.55</v>
      </c>
      <c r="X317">
        <v>1.96</v>
      </c>
      <c r="Y317">
        <v>0.191225</v>
      </c>
      <c r="Z317">
        <v>0.4411276948590381</v>
      </c>
      <c r="AA317">
        <v>0.819645732689211</v>
      </c>
      <c r="AB317">
        <v>0.2540192926045016</v>
      </c>
      <c r="AC317">
        <v>0.6189710610932476</v>
      </c>
      <c r="AD317">
        <v>0.4324758842443729</v>
      </c>
    </row>
    <row r="318" spans="1:30">
      <c r="A318" s="1" t="s">
        <v>325</v>
      </c>
      <c r="B318">
        <f>HYPERLINK("https://www.suredividend.com/sure-analysis-UMBF/","UMB Financial Corp.")</f>
        <v>0</v>
      </c>
      <c r="C318">
        <v>54.46</v>
      </c>
      <c r="D318">
        <v>2563.515782</v>
      </c>
      <c r="E318" t="s">
        <v>663</v>
      </c>
      <c r="F318" t="s">
        <v>631</v>
      </c>
      <c r="G318" t="s">
        <v>671</v>
      </c>
      <c r="H318" t="s">
        <v>701</v>
      </c>
      <c r="I318" t="s">
        <v>1019</v>
      </c>
      <c r="J318" t="s">
        <v>1312</v>
      </c>
      <c r="K318">
        <v>44041</v>
      </c>
      <c r="L318">
        <v>0.023042337954289</v>
      </c>
      <c r="M318">
        <v>-0.02903395179663637</v>
      </c>
      <c r="N318">
        <v>0.06</v>
      </c>
      <c r="O318">
        <v>0.05053829931704912</v>
      </c>
      <c r="P318" t="s">
        <v>381</v>
      </c>
      <c r="Q318" t="s">
        <v>420</v>
      </c>
      <c r="R318">
        <v>28</v>
      </c>
      <c r="S318">
        <v>0.3784615384615385</v>
      </c>
      <c r="T318">
        <v>47</v>
      </c>
      <c r="U318">
        <v>1.158723404255319</v>
      </c>
      <c r="V318">
        <v>3.8312</v>
      </c>
      <c r="W318">
        <v>3.25</v>
      </c>
      <c r="X318">
        <v>1.23</v>
      </c>
      <c r="Y318">
        <v>-0.201959</v>
      </c>
      <c r="Z318">
        <v>0.3117744610281923</v>
      </c>
      <c r="AA318">
        <v>0.3558776167471819</v>
      </c>
      <c r="AB318">
        <v>0.6430868167202572</v>
      </c>
      <c r="AC318">
        <v>0.4742765273311897</v>
      </c>
      <c r="AD318">
        <v>0.4244372990353698</v>
      </c>
    </row>
    <row r="319" spans="1:30">
      <c r="A319" s="1" t="s">
        <v>326</v>
      </c>
      <c r="B319">
        <f>HYPERLINK("https://www.suredividend.com/sure-analysis-LRCX/","Lam Research Corp.")</f>
        <v>0</v>
      </c>
      <c r="C319">
        <v>369.04</v>
      </c>
      <c r="D319">
        <v>54609.57656</v>
      </c>
      <c r="E319" t="s">
        <v>668</v>
      </c>
      <c r="F319" t="s">
        <v>631</v>
      </c>
      <c r="G319" t="s">
        <v>671</v>
      </c>
      <c r="H319" t="s">
        <v>701</v>
      </c>
      <c r="I319" t="s">
        <v>1020</v>
      </c>
      <c r="J319" t="s">
        <v>1318</v>
      </c>
      <c r="K319">
        <v>43958</v>
      </c>
      <c r="L319">
        <v>0.012241856504151</v>
      </c>
      <c r="M319">
        <v>-0.09261732446108806</v>
      </c>
      <c r="N319">
        <v>0.14</v>
      </c>
      <c r="O319">
        <v>0.04824806855996577</v>
      </c>
      <c r="P319" t="s">
        <v>381</v>
      </c>
      <c r="Q319" t="s">
        <v>596</v>
      </c>
      <c r="R319">
        <v>6</v>
      </c>
      <c r="S319">
        <v>0.3038309114927344</v>
      </c>
      <c r="T319">
        <v>227</v>
      </c>
      <c r="U319">
        <v>1.625726872246696</v>
      </c>
      <c r="V319">
        <v>15.5436</v>
      </c>
      <c r="W319">
        <v>15.14</v>
      </c>
      <c r="X319">
        <v>4.6</v>
      </c>
      <c r="Y319">
        <v>0.848521</v>
      </c>
      <c r="Z319">
        <v>0.1061359867330017</v>
      </c>
      <c r="AA319">
        <v>0.9871175523349436</v>
      </c>
      <c r="AB319">
        <v>0.9694533762057879</v>
      </c>
      <c r="AC319">
        <v>0.1286173633440514</v>
      </c>
      <c r="AD319">
        <v>0.4035369774919614</v>
      </c>
    </row>
    <row r="320" spans="1:30">
      <c r="A320" s="1" t="s">
        <v>327</v>
      </c>
      <c r="B320">
        <f>HYPERLINK("https://www.suredividend.com/sure-analysis-STZ/","Constellation Brands, Inc.")</f>
        <v>0</v>
      </c>
      <c r="C320">
        <v>172.87</v>
      </c>
      <c r="D320">
        <v>33088.088866</v>
      </c>
      <c r="E320" t="s">
        <v>661</v>
      </c>
      <c r="F320" t="s">
        <v>631</v>
      </c>
      <c r="G320" t="s">
        <v>671</v>
      </c>
      <c r="H320" t="s">
        <v>702</v>
      </c>
      <c r="I320" t="s">
        <v>1021</v>
      </c>
      <c r="J320" t="s">
        <v>1320</v>
      </c>
      <c r="K320">
        <v>44014</v>
      </c>
      <c r="L320">
        <v>0.017497812773403</v>
      </c>
      <c r="M320">
        <v>-0.01907454620286697</v>
      </c>
      <c r="N320">
        <v>0.05</v>
      </c>
      <c r="O320">
        <v>0.04727743244331251</v>
      </c>
      <c r="P320" t="s">
        <v>381</v>
      </c>
      <c r="Q320" t="s">
        <v>420</v>
      </c>
      <c r="R320">
        <v>4</v>
      </c>
      <c r="S320">
        <v>0.3448275862068966</v>
      </c>
      <c r="T320">
        <v>157</v>
      </c>
      <c r="U320">
        <v>1.101082802547771</v>
      </c>
      <c r="V320">
        <v>0.2977</v>
      </c>
      <c r="W320">
        <v>8.699999999999999</v>
      </c>
      <c r="X320">
        <v>3</v>
      </c>
      <c r="Y320">
        <v>-0.10861</v>
      </c>
      <c r="Z320">
        <v>0.2039800995024875</v>
      </c>
      <c r="AA320">
        <v>0.4669887278582931</v>
      </c>
      <c r="AB320">
        <v>0.5168810289389068</v>
      </c>
      <c r="AC320">
        <v>0.5353697749196141</v>
      </c>
      <c r="AD320">
        <v>0.3954983922829582</v>
      </c>
    </row>
    <row r="321" spans="1:30">
      <c r="A321" s="1" t="s">
        <v>328</v>
      </c>
      <c r="B321">
        <f>HYPERLINK("https://www.suredividend.com/sure-analysis-SAN/","Banco Santander SA")</f>
        <v>0</v>
      </c>
      <c r="C321">
        <v>2.32</v>
      </c>
      <c r="D321">
        <v>37039.563152</v>
      </c>
      <c r="E321" t="s">
        <v>663</v>
      </c>
      <c r="F321" t="s">
        <v>631</v>
      </c>
      <c r="G321" t="s">
        <v>680</v>
      </c>
      <c r="H321" t="s">
        <v>702</v>
      </c>
      <c r="I321" t="s">
        <v>1022</v>
      </c>
      <c r="J321" t="s">
        <v>1312</v>
      </c>
      <c r="K321">
        <v>44041</v>
      </c>
      <c r="L321">
        <v>0.049910313901345</v>
      </c>
      <c r="M321">
        <v>0.01096383488931774</v>
      </c>
      <c r="N321">
        <v>0</v>
      </c>
      <c r="O321">
        <v>0.04563955259127317</v>
      </c>
      <c r="P321" t="s">
        <v>381</v>
      </c>
      <c r="Q321" t="s">
        <v>636</v>
      </c>
      <c r="R321">
        <v>0</v>
      </c>
      <c r="S321">
        <v>0.4452</v>
      </c>
      <c r="T321">
        <v>2.45</v>
      </c>
      <c r="U321">
        <v>0.946938775510204</v>
      </c>
      <c r="V321">
        <v>-0.4969</v>
      </c>
      <c r="W321">
        <v>0.25</v>
      </c>
      <c r="X321">
        <v>0.1113</v>
      </c>
      <c r="Y321">
        <v>-0.460591</v>
      </c>
      <c r="Z321">
        <v>0.6898839137645107</v>
      </c>
      <c r="AA321">
        <v>0.08695652173913043</v>
      </c>
      <c r="AB321">
        <v>0.04662379421221865</v>
      </c>
      <c r="AC321">
        <v>0.7138263665594856</v>
      </c>
      <c r="AD321">
        <v>0.3778135048231511</v>
      </c>
    </row>
    <row r="322" spans="1:30">
      <c r="A322" s="1" t="s">
        <v>329</v>
      </c>
      <c r="B322">
        <f>HYPERLINK("https://www.suredividend.com/sure-analysis-PAYX/","Paychex, Inc.")</f>
        <v>0</v>
      </c>
      <c r="C322">
        <v>73.94</v>
      </c>
      <c r="D322">
        <v>26688.9003</v>
      </c>
      <c r="E322" t="s">
        <v>665</v>
      </c>
      <c r="F322" t="s">
        <v>631</v>
      </c>
      <c r="G322" t="s">
        <v>671</v>
      </c>
      <c r="H322" t="s">
        <v>701</v>
      </c>
      <c r="I322" t="s">
        <v>1023</v>
      </c>
      <c r="J322" t="s">
        <v>1315</v>
      </c>
      <c r="K322">
        <v>44019</v>
      </c>
      <c r="L322">
        <v>0.033337814222341</v>
      </c>
      <c r="M322">
        <v>-0.04740190327102345</v>
      </c>
      <c r="N322">
        <v>0.06</v>
      </c>
      <c r="O322">
        <v>0.04472020380680308</v>
      </c>
      <c r="P322" t="s">
        <v>381</v>
      </c>
      <c r="Q322" t="s">
        <v>381</v>
      </c>
      <c r="R322">
        <v>9</v>
      </c>
      <c r="S322">
        <v>0.8985507246376813</v>
      </c>
      <c r="T322">
        <v>58</v>
      </c>
      <c r="U322">
        <v>1.274827586206897</v>
      </c>
      <c r="V322">
        <v>3.0633</v>
      </c>
      <c r="W322">
        <v>2.76</v>
      </c>
      <c r="X322">
        <v>2.48</v>
      </c>
      <c r="Y322">
        <v>-0.129842</v>
      </c>
      <c r="Z322">
        <v>0.48424543946932</v>
      </c>
      <c r="AA322">
        <v>0.4444444444444444</v>
      </c>
      <c r="AB322">
        <v>0.6430868167202572</v>
      </c>
      <c r="AC322">
        <v>0.3424437299035369</v>
      </c>
      <c r="AD322">
        <v>0.3697749196141479</v>
      </c>
    </row>
    <row r="323" spans="1:30">
      <c r="A323" s="1" t="s">
        <v>330</v>
      </c>
      <c r="B323">
        <f>HYPERLINK("https://www.suredividend.com/sure-analysis-TXN/","Texas Instruments Incorporated")</f>
        <v>0</v>
      </c>
      <c r="C323">
        <v>136.08</v>
      </c>
      <c r="D323">
        <v>124027.97704</v>
      </c>
      <c r="E323" t="s">
        <v>659</v>
      </c>
      <c r="F323" t="s">
        <v>631</v>
      </c>
      <c r="G323" t="s">
        <v>671</v>
      </c>
      <c r="H323" t="s">
        <v>701</v>
      </c>
      <c r="I323" t="s">
        <v>1024</v>
      </c>
      <c r="J323" t="s">
        <v>1318</v>
      </c>
      <c r="K323">
        <v>44040</v>
      </c>
      <c r="L323">
        <v>0.02562587696625</v>
      </c>
      <c r="M323">
        <v>-0.06164282567290635</v>
      </c>
      <c r="N323">
        <v>0.08</v>
      </c>
      <c r="O323">
        <v>0.04422191714156387</v>
      </c>
      <c r="P323" t="s">
        <v>381</v>
      </c>
      <c r="Q323" t="s">
        <v>420</v>
      </c>
      <c r="R323">
        <v>16</v>
      </c>
      <c r="S323">
        <v>0.7081632653061224</v>
      </c>
      <c r="T323">
        <v>99</v>
      </c>
      <c r="U323">
        <v>1.374545454545455</v>
      </c>
      <c r="V323">
        <v>5.4149</v>
      </c>
      <c r="W323">
        <v>4.9</v>
      </c>
      <c r="X323">
        <v>3.47</v>
      </c>
      <c r="Y323">
        <v>0.07441099999999999</v>
      </c>
      <c r="Z323">
        <v>0.3499170812603649</v>
      </c>
      <c r="AA323">
        <v>0.7181964573268921</v>
      </c>
      <c r="AB323">
        <v>0.8135048231511255</v>
      </c>
      <c r="AC323">
        <v>0.2508038585209003</v>
      </c>
      <c r="AD323">
        <v>0.364951768488746</v>
      </c>
    </row>
    <row r="324" spans="1:30">
      <c r="A324" s="1" t="s">
        <v>331</v>
      </c>
      <c r="B324">
        <f>HYPERLINK("https://www.suredividend.com/sure-analysis-LAZ/","Lazard Ltd.")</f>
        <v>0</v>
      </c>
      <c r="C324">
        <v>32.3</v>
      </c>
      <c r="D324">
        <v>3620.91626</v>
      </c>
      <c r="E324" t="s">
        <v>660</v>
      </c>
      <c r="F324" t="s">
        <v>631</v>
      </c>
      <c r="G324" t="s">
        <v>671</v>
      </c>
      <c r="H324" t="s">
        <v>702</v>
      </c>
      <c r="I324" t="s">
        <v>1025</v>
      </c>
      <c r="J324" t="s">
        <v>1312</v>
      </c>
      <c r="K324">
        <v>43958</v>
      </c>
      <c r="L324">
        <v>0.058548738710682</v>
      </c>
      <c r="M324">
        <v>-0.06565973984350282</v>
      </c>
      <c r="N324">
        <v>0.05</v>
      </c>
      <c r="O324">
        <v>0.0434400767217924</v>
      </c>
      <c r="P324" t="s">
        <v>381</v>
      </c>
      <c r="Q324" t="s">
        <v>636</v>
      </c>
      <c r="R324">
        <v>12</v>
      </c>
      <c r="S324">
        <v>1.074285714285714</v>
      </c>
      <c r="T324">
        <v>23</v>
      </c>
      <c r="U324">
        <v>1.404347826086956</v>
      </c>
      <c r="V324">
        <v>2.4119</v>
      </c>
      <c r="W324">
        <v>1.75</v>
      </c>
      <c r="X324">
        <v>1.88</v>
      </c>
      <c r="Y324">
        <v>-0.09025000000000001</v>
      </c>
      <c r="Z324">
        <v>0.7429519071310117</v>
      </c>
      <c r="AA324">
        <v>0.500805152979066</v>
      </c>
      <c r="AB324">
        <v>0.5168810289389068</v>
      </c>
      <c r="AC324">
        <v>0.2307073954983923</v>
      </c>
      <c r="AD324">
        <v>0.3633440514469454</v>
      </c>
    </row>
    <row r="325" spans="1:30">
      <c r="A325" s="1" t="s">
        <v>332</v>
      </c>
      <c r="B325">
        <f>HYPERLINK("https://www.suredividend.com/sure-analysis-PDCO/","Patterson Cos., Inc.")</f>
        <v>0</v>
      </c>
      <c r="C325">
        <v>27.01</v>
      </c>
      <c r="D325">
        <v>2664.045464</v>
      </c>
      <c r="E325" t="s">
        <v>660</v>
      </c>
      <c r="F325" t="s">
        <v>631</v>
      </c>
      <c r="G325" t="s">
        <v>671</v>
      </c>
      <c r="H325" t="s">
        <v>701</v>
      </c>
      <c r="I325" t="s">
        <v>1026</v>
      </c>
      <c r="J325" t="s">
        <v>1316</v>
      </c>
      <c r="K325">
        <v>44042</v>
      </c>
      <c r="L325">
        <v>0.037585833032164</v>
      </c>
      <c r="M325">
        <v>-0.03163150779222634</v>
      </c>
      <c r="N325">
        <v>0.04</v>
      </c>
      <c r="O325">
        <v>0.04202528278222362</v>
      </c>
      <c r="P325" t="s">
        <v>381</v>
      </c>
      <c r="Q325" t="s">
        <v>381</v>
      </c>
      <c r="R325">
        <v>0</v>
      </c>
      <c r="S325">
        <v>0.6459627329192547</v>
      </c>
      <c r="T325">
        <v>23</v>
      </c>
      <c r="U325">
        <v>1.174347826086957</v>
      </c>
      <c r="V325">
        <v>-6.228</v>
      </c>
      <c r="W325">
        <v>1.61</v>
      </c>
      <c r="X325">
        <v>1.04</v>
      </c>
      <c r="Y325">
        <v>0.5120089999999999</v>
      </c>
      <c r="Z325">
        <v>0.5472636815920398</v>
      </c>
      <c r="AA325">
        <v>0.9565217391304348</v>
      </c>
      <c r="AB325">
        <v>0.3858520900321543</v>
      </c>
      <c r="AC325">
        <v>0.4533762057877814</v>
      </c>
      <c r="AD325">
        <v>0.3504823151125402</v>
      </c>
    </row>
    <row r="326" spans="1:30">
      <c r="A326" s="1" t="s">
        <v>333</v>
      </c>
      <c r="B326">
        <f>HYPERLINK("https://www.suredividend.com/sure-analysis-CCI/","Crown Castle International Corp.")</f>
        <v>0</v>
      </c>
      <c r="C326">
        <v>161.79</v>
      </c>
      <c r="D326">
        <v>72666.69186000001</v>
      </c>
      <c r="E326" t="s">
        <v>663</v>
      </c>
      <c r="F326" t="s">
        <v>633</v>
      </c>
      <c r="G326" t="s">
        <v>671</v>
      </c>
      <c r="H326" t="s">
        <v>702</v>
      </c>
      <c r="I326" t="s">
        <v>1027</v>
      </c>
      <c r="J326" t="s">
        <v>1322</v>
      </c>
      <c r="K326">
        <v>44044</v>
      </c>
      <c r="L326">
        <v>0.028433024431339</v>
      </c>
      <c r="M326">
        <v>-0.05028856403289428</v>
      </c>
      <c r="N326">
        <v>0.06</v>
      </c>
      <c r="O326">
        <v>0.03996357855510535</v>
      </c>
      <c r="P326" t="s">
        <v>381</v>
      </c>
      <c r="Q326" t="s">
        <v>420</v>
      </c>
      <c r="R326">
        <v>6</v>
      </c>
      <c r="S326">
        <v>0.8289473684210525</v>
      </c>
      <c r="T326">
        <v>125</v>
      </c>
      <c r="U326">
        <v>1.29432</v>
      </c>
      <c r="V326">
        <v>1.8091</v>
      </c>
      <c r="W326">
        <v>5.7</v>
      </c>
      <c r="X326">
        <v>4.725</v>
      </c>
      <c r="Y326">
        <v>0.193345</v>
      </c>
      <c r="Z326">
        <v>0.4046434494195688</v>
      </c>
      <c r="AA326">
        <v>0.821256038647343</v>
      </c>
      <c r="AB326">
        <v>0.6430868167202572</v>
      </c>
      <c r="AC326">
        <v>0.3199356913183279</v>
      </c>
      <c r="AD326">
        <v>0.3376205787781351</v>
      </c>
    </row>
    <row r="327" spans="1:30">
      <c r="A327" s="1" t="s">
        <v>334</v>
      </c>
      <c r="B327">
        <f>HYPERLINK("https://www.suredividend.com/sure-analysis-DOC/","Physicians Realty Trust")</f>
        <v>0</v>
      </c>
      <c r="C327">
        <v>18.23</v>
      </c>
      <c r="D327">
        <v>3747.3415</v>
      </c>
      <c r="E327" t="s">
        <v>665</v>
      </c>
      <c r="F327" t="s">
        <v>633</v>
      </c>
      <c r="G327" t="s">
        <v>671</v>
      </c>
      <c r="H327" t="s">
        <v>702</v>
      </c>
      <c r="I327" t="s">
        <v>1028</v>
      </c>
      <c r="J327" t="s">
        <v>1322</v>
      </c>
      <c r="K327">
        <v>44052</v>
      </c>
      <c r="L327">
        <v>0.04972972972972901</v>
      </c>
      <c r="M327">
        <v>-0.02575841604842233</v>
      </c>
      <c r="N327">
        <v>0.017</v>
      </c>
      <c r="O327">
        <v>0.03837677141030538</v>
      </c>
      <c r="P327" t="s">
        <v>381</v>
      </c>
      <c r="Q327" t="s">
        <v>636</v>
      </c>
      <c r="R327">
        <v>0</v>
      </c>
      <c r="S327">
        <v>0.8761904761904762</v>
      </c>
      <c r="T327">
        <v>16</v>
      </c>
      <c r="U327">
        <v>1.139375</v>
      </c>
      <c r="V327">
        <v>0.4545</v>
      </c>
      <c r="W327">
        <v>1.05</v>
      </c>
      <c r="X327">
        <v>0.92</v>
      </c>
      <c r="Y327">
        <v>0.047483</v>
      </c>
      <c r="Z327">
        <v>0.6865671641791045</v>
      </c>
      <c r="AA327">
        <v>0.6876006441223832</v>
      </c>
      <c r="AB327">
        <v>0.1165594855305466</v>
      </c>
      <c r="AC327">
        <v>0.4935691318327974</v>
      </c>
      <c r="AD327">
        <v>0.3327974276527331</v>
      </c>
    </row>
    <row r="328" spans="1:30">
      <c r="A328" s="1" t="s">
        <v>335</v>
      </c>
      <c r="B328">
        <f>HYPERLINK("https://www.suredividend.com/sure-analysis-MAR/","Marriott International, Inc.")</f>
        <v>0</v>
      </c>
      <c r="C328">
        <v>97.08</v>
      </c>
      <c r="D328">
        <v>31494.98528</v>
      </c>
      <c r="E328" t="s">
        <v>668</v>
      </c>
      <c r="F328" t="s">
        <v>631</v>
      </c>
      <c r="G328" t="s">
        <v>671</v>
      </c>
      <c r="H328" t="s">
        <v>701</v>
      </c>
      <c r="I328" t="s">
        <v>1029</v>
      </c>
      <c r="J328" t="s">
        <v>1313</v>
      </c>
      <c r="K328">
        <v>43993</v>
      </c>
      <c r="L328">
        <v>0.014825491609183</v>
      </c>
      <c r="M328">
        <v>-0.042821429444448</v>
      </c>
      <c r="N328">
        <v>0.08</v>
      </c>
      <c r="O328">
        <v>0.03804660721095088</v>
      </c>
      <c r="P328" t="s">
        <v>381</v>
      </c>
      <c r="Q328" t="s">
        <v>420</v>
      </c>
      <c r="R328">
        <v>9</v>
      </c>
      <c r="S328">
        <v>0.3310344827586207</v>
      </c>
      <c r="T328">
        <v>78</v>
      </c>
      <c r="U328">
        <v>1.244615384615385</v>
      </c>
      <c r="V328">
        <v>1.4011</v>
      </c>
      <c r="W328">
        <v>4.35</v>
      </c>
      <c r="X328">
        <v>1.44</v>
      </c>
      <c r="Y328">
        <v>-0.280497</v>
      </c>
      <c r="Z328">
        <v>0.1475953565505804</v>
      </c>
      <c r="AA328">
        <v>0.2640901771336554</v>
      </c>
      <c r="AB328">
        <v>0.8135048231511255</v>
      </c>
      <c r="AC328">
        <v>0.3810289389067524</v>
      </c>
      <c r="AD328">
        <v>0.3295819935691318</v>
      </c>
    </row>
    <row r="329" spans="1:30">
      <c r="A329" s="1" t="s">
        <v>336</v>
      </c>
      <c r="B329">
        <f>HYPERLINK("https://www.suredividend.com/sure-analysis-DEA/","Easterly Government Properties, Inc.")</f>
        <v>0</v>
      </c>
      <c r="C329">
        <v>24.67</v>
      </c>
      <c r="D329">
        <v>2250.521865</v>
      </c>
      <c r="E329" t="s">
        <v>666</v>
      </c>
      <c r="F329" t="s">
        <v>633</v>
      </c>
      <c r="G329" t="s">
        <v>671</v>
      </c>
      <c r="H329" t="s">
        <v>702</v>
      </c>
      <c r="I329" t="s">
        <v>1030</v>
      </c>
      <c r="J329" t="s">
        <v>1322</v>
      </c>
      <c r="K329">
        <v>44001</v>
      </c>
      <c r="L329">
        <v>0.04083235178641501</v>
      </c>
      <c r="M329">
        <v>-0.0411025377973645</v>
      </c>
      <c r="N329">
        <v>0.034</v>
      </c>
      <c r="O329">
        <v>0.03798957065295516</v>
      </c>
      <c r="P329" t="s">
        <v>381</v>
      </c>
      <c r="Q329" t="s">
        <v>381</v>
      </c>
      <c r="R329">
        <v>0</v>
      </c>
      <c r="S329">
        <v>0.8455284552845529</v>
      </c>
      <c r="T329">
        <v>20</v>
      </c>
      <c r="U329">
        <v>1.2335</v>
      </c>
      <c r="V329">
        <v>0.09530000000000001</v>
      </c>
      <c r="W329">
        <v>1.23</v>
      </c>
      <c r="X329">
        <v>1.04</v>
      </c>
      <c r="Y329">
        <v>0.286361</v>
      </c>
      <c r="Z329">
        <v>0.5903814262023217</v>
      </c>
      <c r="AA329">
        <v>0.8808373590982286</v>
      </c>
      <c r="AB329">
        <v>0.3110932475884244</v>
      </c>
      <c r="AC329">
        <v>0.3987138263665595</v>
      </c>
      <c r="AD329">
        <v>0.3279742765273312</v>
      </c>
    </row>
    <row r="330" spans="1:30">
      <c r="A330" s="1" t="s">
        <v>337</v>
      </c>
      <c r="B330">
        <f>HYPERLINK("https://www.suredividend.com/sure-analysis-UL/","Unilever Plc")</f>
        <v>0</v>
      </c>
      <c r="C330">
        <v>58.78</v>
      </c>
      <c r="D330">
        <v>69347.752486</v>
      </c>
      <c r="E330" t="s">
        <v>662</v>
      </c>
      <c r="F330" t="s">
        <v>631</v>
      </c>
      <c r="G330" t="s">
        <v>676</v>
      </c>
      <c r="H330" t="s">
        <v>702</v>
      </c>
      <c r="I330" t="s">
        <v>1031</v>
      </c>
      <c r="J330" t="s">
        <v>1320</v>
      </c>
      <c r="K330">
        <v>43949</v>
      </c>
      <c r="L330">
        <v>0.030169548430417</v>
      </c>
      <c r="M330">
        <v>-0.05202565017907568</v>
      </c>
      <c r="N330">
        <v>0.06</v>
      </c>
      <c r="O330">
        <v>0.03695617583786426</v>
      </c>
      <c r="P330" t="s">
        <v>381</v>
      </c>
      <c r="Q330" t="s">
        <v>381</v>
      </c>
      <c r="R330">
        <v>4</v>
      </c>
      <c r="S330">
        <v>0.7188800000000001</v>
      </c>
      <c r="T330">
        <v>45</v>
      </c>
      <c r="U330">
        <v>1.306222222222222</v>
      </c>
      <c r="V330">
        <v>2.4917</v>
      </c>
      <c r="W330">
        <v>2.5</v>
      </c>
      <c r="X330">
        <v>1.7972</v>
      </c>
      <c r="Y330">
        <v>0.010154</v>
      </c>
      <c r="Z330">
        <v>0.4311774461028193</v>
      </c>
      <c r="AA330">
        <v>0.6489533011272141</v>
      </c>
      <c r="AB330">
        <v>0.6430868167202572</v>
      </c>
      <c r="AC330">
        <v>0.3054662379421222</v>
      </c>
      <c r="AD330">
        <v>0.3167202572347267</v>
      </c>
    </row>
    <row r="331" spans="1:30">
      <c r="A331" s="1" t="s">
        <v>338</v>
      </c>
      <c r="B331">
        <f>HYPERLINK("https://www.suredividend.com/sure-analysis-MRVL/","Marvell Technology Group Ltd.")</f>
        <v>0</v>
      </c>
      <c r="C331">
        <v>34.7</v>
      </c>
      <c r="D331">
        <v>23518.355</v>
      </c>
      <c r="E331" t="s">
        <v>668</v>
      </c>
      <c r="F331" t="s">
        <v>631</v>
      </c>
      <c r="G331" t="s">
        <v>677</v>
      </c>
      <c r="H331" t="s">
        <v>701</v>
      </c>
      <c r="I331" t="s">
        <v>1032</v>
      </c>
      <c r="J331" t="s">
        <v>1318</v>
      </c>
      <c r="K331">
        <v>43993</v>
      </c>
      <c r="L331">
        <v>0.006789250353606001</v>
      </c>
      <c r="M331">
        <v>-0.1434393848273673</v>
      </c>
      <c r="N331">
        <v>0.2</v>
      </c>
      <c r="O331">
        <v>0.03399554308314334</v>
      </c>
      <c r="P331" t="s">
        <v>381</v>
      </c>
      <c r="Q331" t="s">
        <v>596</v>
      </c>
      <c r="R331">
        <v>0</v>
      </c>
      <c r="S331">
        <v>0.2580645161290323</v>
      </c>
      <c r="T331">
        <v>16</v>
      </c>
      <c r="U331">
        <v>2.16875</v>
      </c>
      <c r="V331">
        <v>2.2832</v>
      </c>
      <c r="W331">
        <v>0.93</v>
      </c>
      <c r="X331">
        <v>0.24</v>
      </c>
      <c r="Y331">
        <v>0.422713</v>
      </c>
      <c r="Z331">
        <v>0.03316749585406302</v>
      </c>
      <c r="AA331">
        <v>0.9339774557165862</v>
      </c>
      <c r="AB331">
        <v>0.9903536977491961</v>
      </c>
      <c r="AC331">
        <v>0.02411575562700964</v>
      </c>
      <c r="AD331">
        <v>0.2958199356913183</v>
      </c>
    </row>
    <row r="332" spans="1:30">
      <c r="A332" s="1" t="s">
        <v>339</v>
      </c>
      <c r="B332">
        <f>HYPERLINK("https://www.suredividend.com/sure-analysis-CAG/","Conagra Brands, Inc.")</f>
        <v>0</v>
      </c>
      <c r="C332">
        <v>37.25</v>
      </c>
      <c r="D332">
        <v>18388.58856</v>
      </c>
      <c r="E332" t="s">
        <v>661</v>
      </c>
      <c r="F332" t="s">
        <v>631</v>
      </c>
      <c r="G332" t="s">
        <v>671</v>
      </c>
      <c r="H332" t="s">
        <v>702</v>
      </c>
      <c r="I332" t="s">
        <v>1033</v>
      </c>
      <c r="J332" t="s">
        <v>1320</v>
      </c>
      <c r="K332">
        <v>44014</v>
      </c>
      <c r="L332">
        <v>0.022522522522522</v>
      </c>
      <c r="M332">
        <v>-0.02992627809148296</v>
      </c>
      <c r="N332">
        <v>0.04</v>
      </c>
      <c r="O332">
        <v>0.03236261505941407</v>
      </c>
      <c r="P332" t="s">
        <v>381</v>
      </c>
      <c r="Q332" t="s">
        <v>420</v>
      </c>
      <c r="R332">
        <v>0</v>
      </c>
      <c r="S332">
        <v>0.3728070175438597</v>
      </c>
      <c r="T332">
        <v>32</v>
      </c>
      <c r="U332">
        <v>1.1640625</v>
      </c>
      <c r="V332">
        <v>1.724</v>
      </c>
      <c r="W332">
        <v>2.28</v>
      </c>
      <c r="X332">
        <v>0.85</v>
      </c>
      <c r="Y332">
        <v>0.341844</v>
      </c>
      <c r="Z332">
        <v>0.3018242122719734</v>
      </c>
      <c r="AA332">
        <v>0.9090177133655395</v>
      </c>
      <c r="AB332">
        <v>0.3858520900321543</v>
      </c>
      <c r="AC332">
        <v>0.4694533762057878</v>
      </c>
      <c r="AD332">
        <v>0.2749196141479099</v>
      </c>
    </row>
    <row r="333" spans="1:30">
      <c r="A333" s="1" t="s">
        <v>340</v>
      </c>
      <c r="B333">
        <f>HYPERLINK("https://www.suredividend.com/sure-analysis-HPE/","Hewlett-Packard Enterprise Co.")</f>
        <v>0</v>
      </c>
      <c r="C333">
        <v>10.155</v>
      </c>
      <c r="D333">
        <v>13117.3996</v>
      </c>
      <c r="E333" t="s">
        <v>664</v>
      </c>
      <c r="F333" t="s">
        <v>631</v>
      </c>
      <c r="G333" t="s">
        <v>671</v>
      </c>
      <c r="H333" t="s">
        <v>702</v>
      </c>
      <c r="I333" t="s">
        <v>1034</v>
      </c>
      <c r="J333" t="s">
        <v>1318</v>
      </c>
      <c r="K333">
        <v>43993</v>
      </c>
      <c r="L333">
        <v>0.045543584720861</v>
      </c>
      <c r="M333">
        <v>-0.00790336181959117</v>
      </c>
      <c r="N333">
        <v>-0.01</v>
      </c>
      <c r="O333">
        <v>0.03150760141773379</v>
      </c>
      <c r="P333" t="s">
        <v>381</v>
      </c>
      <c r="Q333" t="s">
        <v>636</v>
      </c>
      <c r="R333">
        <v>4</v>
      </c>
      <c r="S333">
        <v>0.3811475409836066</v>
      </c>
      <c r="T333">
        <v>9.76</v>
      </c>
      <c r="U333">
        <v>1.04047131147541</v>
      </c>
      <c r="V333">
        <v>-0.0331</v>
      </c>
      <c r="W333">
        <v>1.22</v>
      </c>
      <c r="X333">
        <v>0.465</v>
      </c>
      <c r="Y333">
        <v>-0.255351</v>
      </c>
      <c r="Z333">
        <v>0.6434494195688225</v>
      </c>
      <c r="AA333">
        <v>0.2898550724637681</v>
      </c>
      <c r="AB333">
        <v>0.01929260450160772</v>
      </c>
      <c r="AC333">
        <v>0.6109324758842444</v>
      </c>
      <c r="AD333">
        <v>0.2700964630225081</v>
      </c>
    </row>
    <row r="334" spans="1:30">
      <c r="A334" s="1" t="s">
        <v>341</v>
      </c>
      <c r="B334">
        <f>HYPERLINK("https://www.suredividend.com/sure-analysis-SIEGY/","Siemens AG")</f>
        <v>0</v>
      </c>
      <c r="C334">
        <v>68.23</v>
      </c>
      <c r="D334">
        <v>110910.31473</v>
      </c>
      <c r="E334" t="s">
        <v>659</v>
      </c>
      <c r="F334" t="s">
        <v>631</v>
      </c>
      <c r="G334" t="s">
        <v>678</v>
      </c>
      <c r="H334" t="s">
        <v>700</v>
      </c>
      <c r="I334" t="s">
        <v>1035</v>
      </c>
      <c r="J334" t="s">
        <v>1315</v>
      </c>
      <c r="K334">
        <v>43974</v>
      </c>
      <c r="L334">
        <v>0.031058185548878</v>
      </c>
      <c r="M334">
        <v>-0.04926364818570927</v>
      </c>
      <c r="N334">
        <v>0.045</v>
      </c>
      <c r="O334">
        <v>0.02757493593299887</v>
      </c>
      <c r="P334" t="s">
        <v>381</v>
      </c>
      <c r="Q334" t="s">
        <v>420</v>
      </c>
      <c r="R334">
        <v>6</v>
      </c>
      <c r="S334">
        <v>0.8476399999999999</v>
      </c>
      <c r="T334">
        <v>53</v>
      </c>
      <c r="U334">
        <v>1.287358490566038</v>
      </c>
      <c r="V334">
        <v>2.453</v>
      </c>
      <c r="W334">
        <v>2.5</v>
      </c>
      <c r="X334">
        <v>2.1191</v>
      </c>
      <c r="Y334">
        <v>0.356832</v>
      </c>
      <c r="Z334">
        <v>0.4444444444444444</v>
      </c>
      <c r="AA334">
        <v>0.9178743961352658</v>
      </c>
      <c r="AB334">
        <v>0.4429260450160772</v>
      </c>
      <c r="AC334">
        <v>0.3311897106109325</v>
      </c>
      <c r="AD334">
        <v>0.2636655948553055</v>
      </c>
    </row>
    <row r="335" spans="1:30">
      <c r="A335" s="1" t="s">
        <v>342</v>
      </c>
      <c r="B335">
        <f>HYPERLINK("https://www.suredividend.com/sure-analysis-CME/","CME Group, Inc.")</f>
        <v>0</v>
      </c>
      <c r="C335">
        <v>168.1</v>
      </c>
      <c r="D335">
        <v>59294.89216</v>
      </c>
      <c r="E335" t="s">
        <v>666</v>
      </c>
      <c r="F335" t="s">
        <v>631</v>
      </c>
      <c r="G335" t="s">
        <v>671</v>
      </c>
      <c r="H335" t="s">
        <v>701</v>
      </c>
      <c r="I335" t="s">
        <v>1036</v>
      </c>
      <c r="J335" t="s">
        <v>1312</v>
      </c>
      <c r="K335">
        <v>44001</v>
      </c>
      <c r="L335">
        <v>0.0193540583041</v>
      </c>
      <c r="M335">
        <v>-0.03592223984258458</v>
      </c>
      <c r="N335">
        <v>0.043</v>
      </c>
      <c r="O335">
        <v>0.02708382653730435</v>
      </c>
      <c r="P335" t="s">
        <v>381</v>
      </c>
      <c r="Q335" t="s">
        <v>420</v>
      </c>
      <c r="R335">
        <v>16</v>
      </c>
      <c r="S335">
        <v>0.4571428571428572</v>
      </c>
      <c r="T335">
        <v>140</v>
      </c>
      <c r="U335">
        <v>1.200714285714286</v>
      </c>
      <c r="V335">
        <v>6.6449</v>
      </c>
      <c r="W335">
        <v>7</v>
      </c>
      <c r="X335">
        <v>3.2</v>
      </c>
      <c r="Y335">
        <v>-0.208243</v>
      </c>
      <c r="Z335">
        <v>0.2537313432835821</v>
      </c>
      <c r="AA335">
        <v>0.3510466988727858</v>
      </c>
      <c r="AB335">
        <v>0.4372990353697749</v>
      </c>
      <c r="AC335">
        <v>0.4244372990353698</v>
      </c>
      <c r="AD335">
        <v>0.2572347266881029</v>
      </c>
    </row>
    <row r="336" spans="1:30">
      <c r="A336" s="1" t="s">
        <v>343</v>
      </c>
      <c r="B336">
        <f>HYPERLINK("https://www.suredividend.com/sure-analysis-FLO/","Flowers Foods, Inc.")</f>
        <v>0</v>
      </c>
      <c r="C336">
        <v>24.27</v>
      </c>
      <c r="D336">
        <v>5093.28421</v>
      </c>
      <c r="E336" t="s">
        <v>661</v>
      </c>
      <c r="F336" t="s">
        <v>631</v>
      </c>
      <c r="G336" t="s">
        <v>671</v>
      </c>
      <c r="H336" t="s">
        <v>702</v>
      </c>
      <c r="I336" t="s">
        <v>1037</v>
      </c>
      <c r="J336" t="s">
        <v>1320</v>
      </c>
      <c r="K336">
        <v>43971</v>
      </c>
      <c r="L336">
        <v>0.031990029081844</v>
      </c>
      <c r="M336">
        <v>-0.0477811709088608</v>
      </c>
      <c r="N336">
        <v>0.04</v>
      </c>
      <c r="O336">
        <v>0.02357829526828215</v>
      </c>
      <c r="P336" t="s">
        <v>381</v>
      </c>
      <c r="Q336" t="s">
        <v>381</v>
      </c>
      <c r="R336">
        <v>18</v>
      </c>
      <c r="S336">
        <v>0.7403846153846154</v>
      </c>
      <c r="T336">
        <v>19</v>
      </c>
      <c r="U336">
        <v>1.277368421052631</v>
      </c>
      <c r="V336">
        <v>0.4615</v>
      </c>
      <c r="W336">
        <v>1.04</v>
      </c>
      <c r="X336">
        <v>0.77</v>
      </c>
      <c r="Y336">
        <v>0.036617</v>
      </c>
      <c r="Z336">
        <v>0.4543946932006634</v>
      </c>
      <c r="AA336">
        <v>0.6763285024154589</v>
      </c>
      <c r="AB336">
        <v>0.3858520900321543</v>
      </c>
      <c r="AC336">
        <v>0.3408360128617363</v>
      </c>
      <c r="AD336">
        <v>0.2331189710610932</v>
      </c>
    </row>
    <row r="337" spans="1:30">
      <c r="A337" s="1" t="s">
        <v>344</v>
      </c>
      <c r="B337">
        <f>HYPERLINK("https://www.suredividend.com/sure-analysis-CMI/","Cummins, Inc.")</f>
        <v>0</v>
      </c>
      <c r="C337">
        <v>212.04</v>
      </c>
      <c r="D337">
        <v>31037.06492</v>
      </c>
      <c r="E337" t="s">
        <v>665</v>
      </c>
      <c r="F337" t="s">
        <v>631</v>
      </c>
      <c r="G337" t="s">
        <v>671</v>
      </c>
      <c r="H337" t="s">
        <v>702</v>
      </c>
      <c r="I337" t="s">
        <v>1038</v>
      </c>
      <c r="J337" t="s">
        <v>1315</v>
      </c>
      <c r="K337">
        <v>44040</v>
      </c>
      <c r="L337">
        <v>0.024951229956701</v>
      </c>
      <c r="M337">
        <v>-0.07836223215747162</v>
      </c>
      <c r="N337">
        <v>0.08</v>
      </c>
      <c r="O337">
        <v>0.02300975479774392</v>
      </c>
      <c r="P337" t="s">
        <v>381</v>
      </c>
      <c r="Q337" t="s">
        <v>420</v>
      </c>
      <c r="R337">
        <v>14</v>
      </c>
      <c r="S337">
        <v>0.6927344782034346</v>
      </c>
      <c r="T337">
        <v>141</v>
      </c>
      <c r="U337">
        <v>1.503829787234042</v>
      </c>
      <c r="V337">
        <v>11.2625</v>
      </c>
      <c r="W337">
        <v>7.57</v>
      </c>
      <c r="X337">
        <v>5.244</v>
      </c>
      <c r="Y337">
        <v>0.296318</v>
      </c>
      <c r="Z337">
        <v>0.3432835820895522</v>
      </c>
      <c r="AA337">
        <v>0.8872785829307568</v>
      </c>
      <c r="AB337">
        <v>0.8135048231511255</v>
      </c>
      <c r="AC337">
        <v>0.1720257234726688</v>
      </c>
      <c r="AD337">
        <v>0.229903536977492</v>
      </c>
    </row>
    <row r="338" spans="1:30">
      <c r="A338" s="1" t="s">
        <v>345</v>
      </c>
      <c r="B338">
        <f>HYPERLINK("https://www.suredividend.com/sure-analysis-V/","Visa, Inc.")</f>
        <v>0</v>
      </c>
      <c r="C338">
        <v>197.77</v>
      </c>
      <c r="D338">
        <v>382241.579695</v>
      </c>
      <c r="E338" t="s">
        <v>661</v>
      </c>
      <c r="F338" t="s">
        <v>631</v>
      </c>
      <c r="G338" t="s">
        <v>671</v>
      </c>
      <c r="H338" t="s">
        <v>702</v>
      </c>
      <c r="I338" t="s">
        <v>1039</v>
      </c>
      <c r="J338" t="s">
        <v>1312</v>
      </c>
      <c r="K338">
        <v>44042</v>
      </c>
      <c r="L338">
        <v>0.005843792875654</v>
      </c>
      <c r="M338">
        <v>-0.1107037636268108</v>
      </c>
      <c r="N338">
        <v>0.14</v>
      </c>
      <c r="O338">
        <v>0.02233281227075956</v>
      </c>
      <c r="P338" t="s">
        <v>381</v>
      </c>
      <c r="Q338" t="s">
        <v>596</v>
      </c>
      <c r="R338">
        <v>12</v>
      </c>
      <c r="S338">
        <v>0.23</v>
      </c>
      <c r="T338">
        <v>110</v>
      </c>
      <c r="U338">
        <v>1.797909090909091</v>
      </c>
      <c r="V338">
        <v>5.269</v>
      </c>
      <c r="W338">
        <v>5</v>
      </c>
      <c r="X338">
        <v>1.15</v>
      </c>
      <c r="Y338">
        <v>0.09149499999999999</v>
      </c>
      <c r="Z338">
        <v>0.02487562189054726</v>
      </c>
      <c r="AA338">
        <v>0.7326892109500805</v>
      </c>
      <c r="AB338">
        <v>0.9694533762057879</v>
      </c>
      <c r="AC338">
        <v>0.07797427652733119</v>
      </c>
      <c r="AD338">
        <v>0.2282958199356913</v>
      </c>
    </row>
    <row r="339" spans="1:30">
      <c r="A339" s="1" t="s">
        <v>346</v>
      </c>
      <c r="B339">
        <f>HYPERLINK("https://www.suredividend.com/sure-analysis-NEM/","Newmont Corp.")</f>
        <v>0</v>
      </c>
      <c r="C339">
        <v>62.87</v>
      </c>
      <c r="D339">
        <v>54520.49019</v>
      </c>
      <c r="E339" t="s">
        <v>659</v>
      </c>
      <c r="F339" t="s">
        <v>631</v>
      </c>
      <c r="G339" t="s">
        <v>671</v>
      </c>
      <c r="H339" t="s">
        <v>702</v>
      </c>
      <c r="I339" t="s">
        <v>1040</v>
      </c>
      <c r="J339" t="s">
        <v>1321</v>
      </c>
      <c r="K339">
        <v>44050</v>
      </c>
      <c r="L339">
        <v>0.009868905582560001</v>
      </c>
      <c r="M339">
        <v>-0.04477581694282551</v>
      </c>
      <c r="N339">
        <v>0.05</v>
      </c>
      <c r="O339">
        <v>0.02012643315610196</v>
      </c>
      <c r="P339" t="s">
        <v>381</v>
      </c>
      <c r="Q339" t="s">
        <v>596</v>
      </c>
      <c r="R339">
        <v>5</v>
      </c>
      <c r="S339">
        <v>0.2791666666666667</v>
      </c>
      <c r="T339">
        <v>50</v>
      </c>
      <c r="U339">
        <v>1.2574</v>
      </c>
      <c r="V339">
        <v>4.7938</v>
      </c>
      <c r="W339">
        <v>2.4</v>
      </c>
      <c r="X339">
        <v>0.67</v>
      </c>
      <c r="Y339">
        <v>0.7538809999999999</v>
      </c>
      <c r="Z339">
        <v>0.07794361525704809</v>
      </c>
      <c r="AA339">
        <v>0.9806763285024155</v>
      </c>
      <c r="AB339">
        <v>0.5168810289389068</v>
      </c>
      <c r="AC339">
        <v>0.3633440514469454</v>
      </c>
      <c r="AD339">
        <v>0.2170418006430868</v>
      </c>
    </row>
    <row r="340" spans="1:30">
      <c r="A340" s="1" t="s">
        <v>347</v>
      </c>
      <c r="B340">
        <f>HYPERLINK("https://www.suredividend.com/sure-analysis-KSU/","Kansas City Southern")</f>
        <v>0</v>
      </c>
      <c r="C340">
        <v>184.48</v>
      </c>
      <c r="D340">
        <v>17406.502357</v>
      </c>
      <c r="E340" t="s">
        <v>659</v>
      </c>
      <c r="F340" t="s">
        <v>631</v>
      </c>
      <c r="G340" t="s">
        <v>671</v>
      </c>
      <c r="H340" t="s">
        <v>702</v>
      </c>
      <c r="I340" t="s">
        <v>1041</v>
      </c>
      <c r="J340" t="s">
        <v>1315</v>
      </c>
      <c r="K340">
        <v>44036</v>
      </c>
      <c r="L340">
        <v>0.008455742858691001</v>
      </c>
      <c r="M340">
        <v>-0.06617735527958279</v>
      </c>
      <c r="N340">
        <v>0.08</v>
      </c>
      <c r="O340">
        <v>0.01923129106897092</v>
      </c>
      <c r="P340" t="s">
        <v>381</v>
      </c>
      <c r="Q340" t="s">
        <v>596</v>
      </c>
      <c r="R340">
        <v>1</v>
      </c>
      <c r="S340">
        <v>0.3</v>
      </c>
      <c r="T340">
        <v>131</v>
      </c>
      <c r="U340">
        <v>1.40824427480916</v>
      </c>
      <c r="V340">
        <v>5.8658</v>
      </c>
      <c r="W340">
        <v>5.2</v>
      </c>
      <c r="X340">
        <v>1.56</v>
      </c>
      <c r="Y340">
        <v>0.569654</v>
      </c>
      <c r="Z340">
        <v>0.05970149253731344</v>
      </c>
      <c r="AA340">
        <v>0.9677938808373591</v>
      </c>
      <c r="AB340">
        <v>0.8135048231511255</v>
      </c>
      <c r="AC340">
        <v>0.2266881028938907</v>
      </c>
      <c r="AD340">
        <v>0.2106109324758842</v>
      </c>
    </row>
    <row r="341" spans="1:30">
      <c r="A341" s="1" t="s">
        <v>348</v>
      </c>
      <c r="B341">
        <f>HYPERLINK("https://www.suredividend.com/sure-analysis-NSRGY/","Nestlé SA")</f>
        <v>0</v>
      </c>
      <c r="C341">
        <v>118.3</v>
      </c>
      <c r="D341">
        <v>329471.348989</v>
      </c>
      <c r="E341" t="s">
        <v>662</v>
      </c>
      <c r="F341" t="s">
        <v>631</v>
      </c>
      <c r="G341" t="s">
        <v>675</v>
      </c>
      <c r="H341" t="s">
        <v>700</v>
      </c>
      <c r="I341" t="s">
        <v>1042</v>
      </c>
      <c r="J341" t="s">
        <v>1320</v>
      </c>
      <c r="K341">
        <v>43973</v>
      </c>
      <c r="L341">
        <v>0.023414201183431</v>
      </c>
      <c r="M341">
        <v>-0.0532145983964134</v>
      </c>
      <c r="N341">
        <v>0.05</v>
      </c>
      <c r="O341">
        <v>0.01897736004397621</v>
      </c>
      <c r="P341" t="s">
        <v>381</v>
      </c>
      <c r="Q341" t="s">
        <v>420</v>
      </c>
      <c r="R341">
        <v>3</v>
      </c>
      <c r="S341">
        <v>0.5539799999999999</v>
      </c>
      <c r="T341">
        <v>90</v>
      </c>
      <c r="U341">
        <v>1.314444444444444</v>
      </c>
      <c r="V341">
        <v>4.7834</v>
      </c>
      <c r="W341">
        <v>5</v>
      </c>
      <c r="X341">
        <v>2.7699</v>
      </c>
      <c r="Y341">
        <v>0.09088399999999999</v>
      </c>
      <c r="Z341">
        <v>0.3200663349917081</v>
      </c>
      <c r="AA341">
        <v>0.7310789049919485</v>
      </c>
      <c r="AB341">
        <v>0.5168810289389068</v>
      </c>
      <c r="AC341">
        <v>0.3022508038585209</v>
      </c>
      <c r="AD341">
        <v>0.2090032154340836</v>
      </c>
    </row>
    <row r="342" spans="1:30">
      <c r="A342" s="1" t="s">
        <v>349</v>
      </c>
      <c r="B342">
        <f>HYPERLINK("https://www.suredividend.com/sure-analysis-SKM/","SK Telecom Co., Ltd.")</f>
        <v>0</v>
      </c>
      <c r="C342">
        <v>22.02</v>
      </c>
      <c r="D342">
        <v>14737.870799</v>
      </c>
      <c r="E342" t="s">
        <v>667</v>
      </c>
      <c r="F342" t="s">
        <v>631</v>
      </c>
      <c r="G342" t="s">
        <v>689</v>
      </c>
      <c r="H342" t="s">
        <v>702</v>
      </c>
      <c r="I342" t="s">
        <v>1043</v>
      </c>
      <c r="J342" t="s">
        <v>1319</v>
      </c>
      <c r="K342">
        <v>44007</v>
      </c>
      <c r="L342">
        <v>0.036190263510495</v>
      </c>
      <c r="M342">
        <v>-0.07390660050654374</v>
      </c>
      <c r="N342">
        <v>0.05</v>
      </c>
      <c r="O342">
        <v>0.01858947745103823</v>
      </c>
      <c r="P342" t="s">
        <v>381</v>
      </c>
      <c r="Q342" t="s">
        <v>636</v>
      </c>
      <c r="R342">
        <v>0</v>
      </c>
      <c r="S342">
        <v>0.5402</v>
      </c>
      <c r="T342">
        <v>15</v>
      </c>
      <c r="U342">
        <v>1.468</v>
      </c>
      <c r="V342">
        <v>1.1813</v>
      </c>
      <c r="W342">
        <v>1.5</v>
      </c>
      <c r="X342">
        <v>0.8103</v>
      </c>
      <c r="Y342">
        <v>-0.021277</v>
      </c>
      <c r="Z342">
        <v>0.5290215588723052</v>
      </c>
      <c r="AA342">
        <v>0.6135265700483091</v>
      </c>
      <c r="AB342">
        <v>0.5168810289389068</v>
      </c>
      <c r="AC342">
        <v>0.1945337620578778</v>
      </c>
      <c r="AD342">
        <v>0.207395498392283</v>
      </c>
    </row>
    <row r="343" spans="1:30">
      <c r="A343" s="1" t="s">
        <v>350</v>
      </c>
      <c r="B343">
        <f>HYPERLINK("https://www.suredividend.com/sure-analysis-PKX/","POSCO")</f>
        <v>0</v>
      </c>
      <c r="C343">
        <v>43.08</v>
      </c>
      <c r="D343">
        <v>13574.788281</v>
      </c>
      <c r="E343" t="s">
        <v>670</v>
      </c>
      <c r="F343" t="s">
        <v>631</v>
      </c>
      <c r="G343" t="s">
        <v>689</v>
      </c>
      <c r="H343" t="s">
        <v>702</v>
      </c>
      <c r="I343" t="s">
        <v>1044</v>
      </c>
      <c r="J343" t="s">
        <v>1321</v>
      </c>
      <c r="K343">
        <v>44041</v>
      </c>
      <c r="L343">
        <v>0.036317280453257</v>
      </c>
      <c r="M343">
        <v>-0.04069110820854893</v>
      </c>
      <c r="N343">
        <v>0.02</v>
      </c>
      <c r="O343">
        <v>0.01710583603545102</v>
      </c>
      <c r="P343" t="s">
        <v>381</v>
      </c>
      <c r="Q343" t="s">
        <v>381</v>
      </c>
      <c r="R343">
        <v>0</v>
      </c>
      <c r="S343">
        <v>0.41024</v>
      </c>
      <c r="T343">
        <v>35</v>
      </c>
      <c r="U343">
        <v>1.230857142857143</v>
      </c>
      <c r="V343">
        <v>2.3742</v>
      </c>
      <c r="W343">
        <v>3.75</v>
      </c>
      <c r="X343">
        <v>1.5384</v>
      </c>
      <c r="Y343">
        <v>-0.046792</v>
      </c>
      <c r="Z343">
        <v>0.5306799336650083</v>
      </c>
      <c r="AA343">
        <v>0.5684380032206119</v>
      </c>
      <c r="AB343">
        <v>0.157556270096463</v>
      </c>
      <c r="AC343">
        <v>0.4019292604501608</v>
      </c>
      <c r="AD343">
        <v>0.1945337620578778</v>
      </c>
    </row>
    <row r="344" spans="1:30">
      <c r="A344" s="1" t="s">
        <v>351</v>
      </c>
      <c r="B344">
        <f>HYPERLINK("https://www.suredividend.com/sure-analysis-ERIC/","Telefonaktiebolaget LM Ericsson")</f>
        <v>0</v>
      </c>
      <c r="C344">
        <v>11.685</v>
      </c>
      <c r="D344">
        <v>35609.51435</v>
      </c>
      <c r="E344" t="s">
        <v>662</v>
      </c>
      <c r="F344" t="s">
        <v>631</v>
      </c>
      <c r="G344" t="s">
        <v>690</v>
      </c>
      <c r="H344" t="s">
        <v>701</v>
      </c>
      <c r="I344" t="s">
        <v>1045</v>
      </c>
      <c r="J344" t="s">
        <v>1318</v>
      </c>
      <c r="K344">
        <v>43955</v>
      </c>
      <c r="L344">
        <v>0.006423043852106</v>
      </c>
      <c r="M344">
        <v>-0.06612257934755306</v>
      </c>
      <c r="N344">
        <v>0.08</v>
      </c>
      <c r="O344">
        <v>0.01655358504485327</v>
      </c>
      <c r="P344" t="s">
        <v>381</v>
      </c>
      <c r="Q344" t="s">
        <v>596</v>
      </c>
      <c r="R344">
        <v>0</v>
      </c>
      <c r="S344">
        <v>0.1436538461538462</v>
      </c>
      <c r="T344">
        <v>8.300000000000001</v>
      </c>
      <c r="U344">
        <v>1.407831325301205</v>
      </c>
      <c r="V344">
        <v>0.08610000000000001</v>
      </c>
      <c r="W344">
        <v>0.52</v>
      </c>
      <c r="X344">
        <v>0.0747</v>
      </c>
      <c r="Y344">
        <v>0.333716</v>
      </c>
      <c r="Z344">
        <v>0.02985074626865672</v>
      </c>
      <c r="AA344">
        <v>0.9017713365539453</v>
      </c>
      <c r="AB344">
        <v>0.8135048231511255</v>
      </c>
      <c r="AC344">
        <v>0.2282958199356913</v>
      </c>
      <c r="AD344">
        <v>0.1897106109324759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151.63</v>
      </c>
      <c r="D345">
        <v>42471.45776</v>
      </c>
      <c r="E345" t="s">
        <v>661</v>
      </c>
      <c r="F345" t="s">
        <v>633</v>
      </c>
      <c r="G345" t="s">
        <v>671</v>
      </c>
      <c r="H345" t="s">
        <v>702</v>
      </c>
      <c r="I345" t="s">
        <v>1046</v>
      </c>
      <c r="J345" t="s">
        <v>1322</v>
      </c>
      <c r="K345">
        <v>44049</v>
      </c>
      <c r="L345">
        <v>0.027805864509605</v>
      </c>
      <c r="M345">
        <v>-0.09707588646086729</v>
      </c>
      <c r="N345">
        <v>0.08</v>
      </c>
      <c r="O345">
        <v>0.01142429001217549</v>
      </c>
      <c r="P345" t="s">
        <v>381</v>
      </c>
      <c r="Q345" t="s">
        <v>381</v>
      </c>
      <c r="R345">
        <v>16</v>
      </c>
      <c r="S345">
        <v>0.7272727272727274</v>
      </c>
      <c r="T345">
        <v>91</v>
      </c>
      <c r="U345">
        <v>1.666263736263736</v>
      </c>
      <c r="V345">
        <v>2.8644</v>
      </c>
      <c r="W345">
        <v>6.05</v>
      </c>
      <c r="X345">
        <v>4.4</v>
      </c>
      <c r="Y345">
        <v>0.32462</v>
      </c>
      <c r="Z345">
        <v>0.39469320066335</v>
      </c>
      <c r="AA345">
        <v>0.895330112721417</v>
      </c>
      <c r="AB345">
        <v>0.8135048231511255</v>
      </c>
      <c r="AC345">
        <v>0.1157556270096463</v>
      </c>
      <c r="AD345">
        <v>0.1736334405144694</v>
      </c>
    </row>
    <row r="346" spans="1:30">
      <c r="A346" s="1" t="s">
        <v>353</v>
      </c>
      <c r="B346">
        <f>HYPERLINK("https://www.suredividend.com/sure-analysis-TSM/","Taiwan Semiconductor Manufacturing Co., Ltd.")</f>
        <v>0</v>
      </c>
      <c r="C346">
        <v>77.94</v>
      </c>
      <c r="D346">
        <v>414212.2096</v>
      </c>
      <c r="E346" t="s">
        <v>662</v>
      </c>
      <c r="F346" t="s">
        <v>631</v>
      </c>
      <c r="G346" t="s">
        <v>691</v>
      </c>
      <c r="H346" t="s">
        <v>702</v>
      </c>
      <c r="I346" t="s">
        <v>1047</v>
      </c>
      <c r="J346" t="s">
        <v>1318</v>
      </c>
      <c r="K346">
        <v>44046</v>
      </c>
      <c r="L346">
        <v>0.01980468260924</v>
      </c>
      <c r="M346">
        <v>-0.1040362836999968</v>
      </c>
      <c r="N346">
        <v>0.09</v>
      </c>
      <c r="O346">
        <v>0.005268752306380575</v>
      </c>
      <c r="P346" t="s">
        <v>381</v>
      </c>
      <c r="Q346" t="s">
        <v>420</v>
      </c>
      <c r="R346">
        <v>5</v>
      </c>
      <c r="S346">
        <v>0.510258064516129</v>
      </c>
      <c r="T346">
        <v>45</v>
      </c>
      <c r="U346">
        <v>1.732</v>
      </c>
      <c r="W346">
        <v>3.1</v>
      </c>
      <c r="X346">
        <v>1.5818</v>
      </c>
      <c r="Y346">
        <v>0.9100239999999999</v>
      </c>
      <c r="Z346">
        <v>0.263681592039801</v>
      </c>
      <c r="AA346">
        <v>0.9887278582930757</v>
      </c>
      <c r="AB346">
        <v>0.8657556270096463</v>
      </c>
      <c r="AC346">
        <v>0.09807073954983922</v>
      </c>
      <c r="AD346">
        <v>0.1527331189710611</v>
      </c>
    </row>
    <row r="347" spans="1:30">
      <c r="A347" s="1" t="s">
        <v>354</v>
      </c>
      <c r="B347">
        <f>HYPERLINK("https://www.suredividend.com/sure-analysis-MA/","Mastercard, Inc.")</f>
        <v>0</v>
      </c>
      <c r="C347">
        <v>328.54</v>
      </c>
      <c r="D347">
        <v>323222.60926</v>
      </c>
      <c r="E347" t="s">
        <v>665</v>
      </c>
      <c r="F347" t="s">
        <v>631</v>
      </c>
      <c r="G347" t="s">
        <v>671</v>
      </c>
      <c r="H347" t="s">
        <v>702</v>
      </c>
      <c r="I347" t="s">
        <v>1048</v>
      </c>
      <c r="J347" t="s">
        <v>1312</v>
      </c>
      <c r="K347">
        <v>44042</v>
      </c>
      <c r="L347">
        <v>0.004738602576808</v>
      </c>
      <c r="M347">
        <v>-0.1351082105509102</v>
      </c>
      <c r="N347">
        <v>0.15</v>
      </c>
      <c r="O347">
        <v>0.00222806843900214</v>
      </c>
      <c r="P347" t="s">
        <v>381</v>
      </c>
      <c r="Q347" t="s">
        <v>596</v>
      </c>
      <c r="R347">
        <v>8</v>
      </c>
      <c r="S347">
        <v>0.2417061611374408</v>
      </c>
      <c r="T347">
        <v>159</v>
      </c>
      <c r="U347">
        <v>2.066289308176101</v>
      </c>
      <c r="V347">
        <v>7.2632</v>
      </c>
      <c r="W347">
        <v>6.33</v>
      </c>
      <c r="X347">
        <v>1.53</v>
      </c>
      <c r="Y347">
        <v>0.179758</v>
      </c>
      <c r="Z347">
        <v>0.01990049751243781</v>
      </c>
      <c r="AA347">
        <v>0.8067632850241546</v>
      </c>
      <c r="AB347">
        <v>0.9790996784565916</v>
      </c>
      <c r="AC347">
        <v>0.03215434083601286</v>
      </c>
      <c r="AD347">
        <v>0.1430868167202572</v>
      </c>
    </row>
    <row r="348" spans="1:30">
      <c r="A348" s="1" t="s">
        <v>355</v>
      </c>
      <c r="B348">
        <f>HYPERLINK("https://www.suredividend.com/sure-analysis-HBI/","Hanesbrands, Inc.")</f>
        <v>0</v>
      </c>
      <c r="C348">
        <v>15.95</v>
      </c>
      <c r="D348">
        <v>5493.98058</v>
      </c>
      <c r="E348" t="s">
        <v>662</v>
      </c>
      <c r="F348" t="s">
        <v>631</v>
      </c>
      <c r="G348" t="s">
        <v>671</v>
      </c>
      <c r="H348" t="s">
        <v>702</v>
      </c>
      <c r="I348" t="s">
        <v>1049</v>
      </c>
      <c r="J348" t="s">
        <v>1313</v>
      </c>
      <c r="K348">
        <v>43964</v>
      </c>
      <c r="L348">
        <v>0.038022813688212</v>
      </c>
      <c r="M348">
        <v>-0.1289043200816099</v>
      </c>
      <c r="N348">
        <v>0.1</v>
      </c>
      <c r="O348">
        <v>0.001032090870326519</v>
      </c>
      <c r="P348" t="s">
        <v>381</v>
      </c>
      <c r="Q348" t="s">
        <v>381</v>
      </c>
      <c r="R348">
        <v>0</v>
      </c>
      <c r="S348">
        <v>0.7500000000000001</v>
      </c>
      <c r="T348">
        <v>8</v>
      </c>
      <c r="U348">
        <v>1.99375</v>
      </c>
      <c r="V348">
        <v>1.4597</v>
      </c>
      <c r="W348">
        <v>0.8</v>
      </c>
      <c r="X348">
        <v>0.6000000000000001</v>
      </c>
      <c r="Y348">
        <v>0.003336</v>
      </c>
      <c r="Z348">
        <v>0.5522388059701493</v>
      </c>
      <c r="AA348">
        <v>0.6344605475040257</v>
      </c>
      <c r="AB348">
        <v>0.907556270096463</v>
      </c>
      <c r="AC348">
        <v>0.03376205787781351</v>
      </c>
      <c r="AD348">
        <v>0.1366559485530547</v>
      </c>
    </row>
    <row r="349" spans="1:30">
      <c r="A349" s="1" t="s">
        <v>356</v>
      </c>
      <c r="B349">
        <f>HYPERLINK("https://www.suredividend.com/sure-analysis-LM/","Legg Mason, Inc.")</f>
        <v>0</v>
      </c>
      <c r="C349">
        <v>49.99</v>
      </c>
      <c r="D349">
        <v>4446.540514</v>
      </c>
      <c r="E349" t="s">
        <v>661</v>
      </c>
      <c r="F349" t="s">
        <v>631</v>
      </c>
      <c r="G349" t="s">
        <v>671</v>
      </c>
      <c r="H349" t="s">
        <v>702</v>
      </c>
      <c r="I349" t="s">
        <v>1050</v>
      </c>
      <c r="J349" t="s">
        <v>1312</v>
      </c>
      <c r="K349">
        <v>44042</v>
      </c>
      <c r="L349">
        <v>0.032006401280256</v>
      </c>
      <c r="M349">
        <v>-0.08535330735042068</v>
      </c>
      <c r="N349">
        <v>0.05</v>
      </c>
      <c r="O349">
        <v>0.0005127571700831446</v>
      </c>
      <c r="P349" t="s">
        <v>381</v>
      </c>
      <c r="Q349" t="s">
        <v>420</v>
      </c>
      <c r="R349">
        <v>10</v>
      </c>
      <c r="S349">
        <v>0.5</v>
      </c>
      <c r="T349">
        <v>32</v>
      </c>
      <c r="U349">
        <v>1.5621875</v>
      </c>
      <c r="V349">
        <v>2.8324</v>
      </c>
      <c r="W349">
        <v>3.2</v>
      </c>
      <c r="X349">
        <v>1.6</v>
      </c>
      <c r="Y349">
        <v>0.348166</v>
      </c>
      <c r="Z349">
        <v>0.4560530679933665</v>
      </c>
      <c r="AA349">
        <v>0.9162640901771337</v>
      </c>
      <c r="AB349">
        <v>0.5168810289389068</v>
      </c>
      <c r="AC349">
        <v>0.1511254019292605</v>
      </c>
      <c r="AD349">
        <v>0.135048231511254</v>
      </c>
    </row>
    <row r="350" spans="1:30">
      <c r="A350" s="1" t="s">
        <v>357</v>
      </c>
      <c r="B350">
        <f>HYPERLINK("https://www.suredividend.com/sure-analysis-APTV/","Aptiv Plc")</f>
        <v>0</v>
      </c>
      <c r="C350">
        <v>88.84</v>
      </c>
      <c r="D350">
        <v>23340.961</v>
      </c>
      <c r="E350" t="s">
        <v>663</v>
      </c>
      <c r="F350" t="s">
        <v>631</v>
      </c>
      <c r="G350" t="s">
        <v>674</v>
      </c>
      <c r="H350" t="s">
        <v>702</v>
      </c>
      <c r="I350" t="s">
        <v>1051</v>
      </c>
      <c r="J350" t="s">
        <v>1313</v>
      </c>
      <c r="K350">
        <v>44054</v>
      </c>
      <c r="L350">
        <v>0.005090236001850001</v>
      </c>
      <c r="M350">
        <v>-0.06643104776813624</v>
      </c>
      <c r="N350">
        <v>0.07000000000000001</v>
      </c>
      <c r="O350">
        <v>-0.001081221111905672</v>
      </c>
      <c r="P350" t="s">
        <v>381</v>
      </c>
      <c r="Q350" t="s">
        <v>596</v>
      </c>
      <c r="R350">
        <v>0</v>
      </c>
      <c r="S350">
        <v>0.3666666666666667</v>
      </c>
      <c r="T350">
        <v>63</v>
      </c>
      <c r="U350">
        <v>1.41015873015873</v>
      </c>
      <c r="V350">
        <v>6.5846</v>
      </c>
      <c r="W350">
        <v>1.2</v>
      </c>
      <c r="X350">
        <v>0.44</v>
      </c>
      <c r="Y350">
        <v>-0.018722</v>
      </c>
      <c r="Z350">
        <v>0.02155887230514096</v>
      </c>
      <c r="AA350">
        <v>0.6167471819645732</v>
      </c>
      <c r="AB350">
        <v>0.7355305466237942</v>
      </c>
      <c r="AC350">
        <v>0.22508038585209</v>
      </c>
      <c r="AD350">
        <v>0.1270096463022508</v>
      </c>
    </row>
    <row r="351" spans="1:30">
      <c r="A351" s="1" t="s">
        <v>358</v>
      </c>
      <c r="B351">
        <f>HYPERLINK("https://www.suredividend.com/sure-analysis-PCAR/","PACCAR, Inc.")</f>
        <v>0</v>
      </c>
      <c r="C351">
        <v>90.36</v>
      </c>
      <c r="D351">
        <v>31101.48765</v>
      </c>
      <c r="E351" t="s">
        <v>661</v>
      </c>
      <c r="F351" t="s">
        <v>631</v>
      </c>
      <c r="G351" t="s">
        <v>671</v>
      </c>
      <c r="H351" t="s">
        <v>701</v>
      </c>
      <c r="I351" t="s">
        <v>1052</v>
      </c>
      <c r="J351" t="s">
        <v>1315</v>
      </c>
      <c r="K351">
        <v>44035</v>
      </c>
      <c r="L351">
        <v>0.014245965498052</v>
      </c>
      <c r="M351">
        <v>-0.1152023274489772</v>
      </c>
      <c r="N351">
        <v>0.1</v>
      </c>
      <c r="O351">
        <v>-0.002014272041063525</v>
      </c>
      <c r="P351" t="s">
        <v>381</v>
      </c>
      <c r="Q351" t="s">
        <v>596</v>
      </c>
      <c r="R351">
        <v>10</v>
      </c>
      <c r="S351">
        <v>0.3657142857142857</v>
      </c>
      <c r="T351">
        <v>49</v>
      </c>
      <c r="U351">
        <v>1.844081632653061</v>
      </c>
      <c r="V351">
        <v>4.7488</v>
      </c>
      <c r="W351">
        <v>3.5</v>
      </c>
      <c r="X351">
        <v>1.28</v>
      </c>
      <c r="Y351">
        <v>0.332331</v>
      </c>
      <c r="Z351">
        <v>0.1393034825870647</v>
      </c>
      <c r="AA351">
        <v>0.9001610305958132</v>
      </c>
      <c r="AB351">
        <v>0.907556270096463</v>
      </c>
      <c r="AC351">
        <v>0.06430868167202572</v>
      </c>
      <c r="AD351">
        <v>0.1221864951768489</v>
      </c>
    </row>
    <row r="352" spans="1:30">
      <c r="A352" s="1" t="s">
        <v>359</v>
      </c>
      <c r="B352">
        <f>HYPERLINK("https://www.suredividend.com/sure-analysis-HNI/","HNI Corp.")</f>
        <v>0</v>
      </c>
      <c r="C352">
        <v>32.3</v>
      </c>
      <c r="D352">
        <v>1372.017325</v>
      </c>
      <c r="E352" t="s">
        <v>665</v>
      </c>
      <c r="F352" t="s">
        <v>631</v>
      </c>
      <c r="G352" t="s">
        <v>671</v>
      </c>
      <c r="H352" t="s">
        <v>702</v>
      </c>
      <c r="I352" t="s">
        <v>1053</v>
      </c>
      <c r="J352" t="s">
        <v>1315</v>
      </c>
      <c r="K352">
        <v>44034</v>
      </c>
      <c r="L352">
        <v>0.037947122861586</v>
      </c>
      <c r="M352">
        <v>-0.1006883577224251</v>
      </c>
      <c r="N352">
        <v>0.055</v>
      </c>
      <c r="O352">
        <v>-0.003434555216869417</v>
      </c>
      <c r="P352" t="s">
        <v>381</v>
      </c>
      <c r="Q352" t="s">
        <v>381</v>
      </c>
      <c r="R352">
        <v>9</v>
      </c>
      <c r="S352">
        <v>0.9037037037037037</v>
      </c>
      <c r="T352">
        <v>19</v>
      </c>
      <c r="U352">
        <v>1.7</v>
      </c>
      <c r="V352">
        <v>1.9212</v>
      </c>
      <c r="W352">
        <v>1.35</v>
      </c>
      <c r="X352">
        <v>1.22</v>
      </c>
      <c r="Y352">
        <v>-0.033769</v>
      </c>
      <c r="Z352">
        <v>0.5489220563847429</v>
      </c>
      <c r="AA352">
        <v>0.5861513687600644</v>
      </c>
      <c r="AB352">
        <v>0.5884244372990354</v>
      </c>
      <c r="AC352">
        <v>0.1077170418006431</v>
      </c>
      <c r="AD352">
        <v>0.1173633440514469</v>
      </c>
    </row>
    <row r="353" spans="1:30">
      <c r="A353" s="1" t="s">
        <v>360</v>
      </c>
      <c r="B353">
        <f>HYPERLINK("https://www.suredividend.com/sure-analysis-TT/","Trane Technologies Plc")</f>
        <v>0</v>
      </c>
      <c r="C353">
        <v>119.82</v>
      </c>
      <c r="D353">
        <v>28447.2229</v>
      </c>
      <c r="E353" t="s">
        <v>661</v>
      </c>
      <c r="F353" t="s">
        <v>631</v>
      </c>
      <c r="G353" t="s">
        <v>674</v>
      </c>
      <c r="H353" t="s">
        <v>702</v>
      </c>
      <c r="I353" t="s">
        <v>1054</v>
      </c>
      <c r="J353" t="s">
        <v>1315</v>
      </c>
      <c r="K353">
        <v>44049</v>
      </c>
      <c r="L353">
        <v>0.017837610433319</v>
      </c>
      <c r="M353">
        <v>-0.1178749973519302</v>
      </c>
      <c r="N353">
        <v>0.1</v>
      </c>
      <c r="O353">
        <v>-0.005665473310053959</v>
      </c>
      <c r="P353" t="s">
        <v>381</v>
      </c>
      <c r="Q353" t="s">
        <v>596</v>
      </c>
      <c r="R353">
        <v>9</v>
      </c>
      <c r="S353">
        <v>0.53</v>
      </c>
      <c r="T353">
        <v>64</v>
      </c>
      <c r="U353">
        <v>1.8721875</v>
      </c>
      <c r="V353">
        <v>4.0138</v>
      </c>
      <c r="W353">
        <v>4</v>
      </c>
      <c r="X353">
        <v>2.12</v>
      </c>
      <c r="Y353">
        <v>0.245336</v>
      </c>
      <c r="Z353">
        <v>0.2205638474295191</v>
      </c>
      <c r="AA353">
        <v>0.8566827697262479</v>
      </c>
      <c r="AB353">
        <v>0.907556270096463</v>
      </c>
      <c r="AC353">
        <v>0.05627009646302251</v>
      </c>
      <c r="AD353">
        <v>0.1109324758842444</v>
      </c>
    </row>
    <row r="354" spans="1:30">
      <c r="A354" s="1" t="s">
        <v>361</v>
      </c>
      <c r="B354">
        <f>HYPERLINK("https://www.suredividend.com/sure-analysis-TIF/","Tiffany &amp; Co.")</f>
        <v>0</v>
      </c>
      <c r="C354">
        <v>124.98</v>
      </c>
      <c r="D354">
        <v>15190.21746</v>
      </c>
      <c r="E354" t="s">
        <v>661</v>
      </c>
      <c r="F354" t="s">
        <v>631</v>
      </c>
      <c r="G354" t="s">
        <v>671</v>
      </c>
      <c r="H354" t="s">
        <v>702</v>
      </c>
      <c r="I354" t="s">
        <v>1055</v>
      </c>
      <c r="J354" t="s">
        <v>1313</v>
      </c>
      <c r="K354">
        <v>43993</v>
      </c>
      <c r="L354">
        <v>0.018533312030675</v>
      </c>
      <c r="M354">
        <v>-0.08536062581201198</v>
      </c>
      <c r="N354">
        <v>0.06</v>
      </c>
      <c r="O354">
        <v>-0.007902706108669277</v>
      </c>
      <c r="P354" t="s">
        <v>381</v>
      </c>
      <c r="Q354" t="s">
        <v>420</v>
      </c>
      <c r="R354">
        <v>17</v>
      </c>
      <c r="S354">
        <v>0.9279999999999999</v>
      </c>
      <c r="T354">
        <v>80</v>
      </c>
      <c r="U354">
        <v>1.56225</v>
      </c>
      <c r="V354">
        <v>2.9153</v>
      </c>
      <c r="W354">
        <v>2.5</v>
      </c>
      <c r="X354">
        <v>2.32</v>
      </c>
      <c r="Y354">
        <v>0.369241</v>
      </c>
      <c r="Z354">
        <v>0.2321724709784411</v>
      </c>
      <c r="AA354">
        <v>0.9227053140096618</v>
      </c>
      <c r="AB354">
        <v>0.6430868167202572</v>
      </c>
      <c r="AC354">
        <v>0.1495176848874598</v>
      </c>
      <c r="AD354">
        <v>0.1061093247588424</v>
      </c>
    </row>
    <row r="355" spans="1:30">
      <c r="A355" s="1" t="s">
        <v>362</v>
      </c>
      <c r="B355">
        <f>HYPERLINK("https://www.suredividend.com/sure-analysis-ACN/","Accenture Plc")</f>
        <v>0</v>
      </c>
      <c r="C355">
        <v>228.57</v>
      </c>
      <c r="D355">
        <v>146541.61698</v>
      </c>
      <c r="E355" t="s">
        <v>659</v>
      </c>
      <c r="F355" t="s">
        <v>631</v>
      </c>
      <c r="G355" t="s">
        <v>674</v>
      </c>
      <c r="H355" t="s">
        <v>702</v>
      </c>
      <c r="I355" t="s">
        <v>1056</v>
      </c>
      <c r="J355" t="s">
        <v>1318</v>
      </c>
      <c r="K355">
        <v>44015</v>
      </c>
      <c r="L355">
        <v>0.016757836242076</v>
      </c>
      <c r="M355">
        <v>-0.09599262894306948</v>
      </c>
      <c r="N355">
        <v>0.075</v>
      </c>
      <c r="O355">
        <v>-0.00907353644340958</v>
      </c>
      <c r="P355" t="s">
        <v>381</v>
      </c>
      <c r="Q355" t="s">
        <v>596</v>
      </c>
      <c r="R355">
        <v>9</v>
      </c>
      <c r="S355">
        <v>0.5052356020942408</v>
      </c>
      <c r="T355">
        <v>138</v>
      </c>
      <c r="U355">
        <v>1.656304347826087</v>
      </c>
      <c r="V355">
        <v>7.7766</v>
      </c>
      <c r="W355">
        <v>7.64</v>
      </c>
      <c r="X355">
        <v>3.86</v>
      </c>
      <c r="Y355">
        <v>0.22</v>
      </c>
      <c r="Z355">
        <v>0.1824212271973466</v>
      </c>
      <c r="AA355">
        <v>0.8341384863123993</v>
      </c>
      <c r="AB355">
        <v>0.7757234726688103</v>
      </c>
      <c r="AC355">
        <v>0.1173633440514469</v>
      </c>
      <c r="AD355">
        <v>0.1045016077170418</v>
      </c>
    </row>
    <row r="356" spans="1:30">
      <c r="A356" s="1" t="s">
        <v>363</v>
      </c>
      <c r="B356">
        <f>HYPERLINK("https://www.suredividend.com/sure-analysis-DE/","Deere &amp; Co.")</f>
        <v>0</v>
      </c>
      <c r="C356">
        <v>193.22</v>
      </c>
      <c r="D356">
        <v>59415.05269</v>
      </c>
      <c r="E356" t="s">
        <v>661</v>
      </c>
      <c r="F356" t="s">
        <v>631</v>
      </c>
      <c r="G356" t="s">
        <v>671</v>
      </c>
      <c r="H356" t="s">
        <v>702</v>
      </c>
      <c r="I356" t="s">
        <v>1057</v>
      </c>
      <c r="J356" t="s">
        <v>1315</v>
      </c>
      <c r="K356">
        <v>43979</v>
      </c>
      <c r="L356">
        <v>0.016007582539097</v>
      </c>
      <c r="M356">
        <v>-0.1033288660432328</v>
      </c>
      <c r="N356">
        <v>0.08</v>
      </c>
      <c r="O356">
        <v>-0.01106667032680297</v>
      </c>
      <c r="P356" t="s">
        <v>381</v>
      </c>
      <c r="Q356" t="s">
        <v>420</v>
      </c>
      <c r="R356">
        <v>3</v>
      </c>
      <c r="S356">
        <v>0.5428571428571429</v>
      </c>
      <c r="T356">
        <v>112</v>
      </c>
      <c r="U356">
        <v>1.725178571428571</v>
      </c>
      <c r="V356">
        <v>8.9125</v>
      </c>
      <c r="W356">
        <v>5.6</v>
      </c>
      <c r="X356">
        <v>3.04</v>
      </c>
      <c r="Y356">
        <v>0.183413</v>
      </c>
      <c r="Z356">
        <v>0.1592039800995025</v>
      </c>
      <c r="AA356">
        <v>0.8115942028985508</v>
      </c>
      <c r="AB356">
        <v>0.8135048231511255</v>
      </c>
      <c r="AC356">
        <v>0.1012861736334405</v>
      </c>
      <c r="AD356">
        <v>0.09646302250803858</v>
      </c>
    </row>
    <row r="357" spans="1:30">
      <c r="A357" s="1" t="s">
        <v>364</v>
      </c>
      <c r="B357">
        <f>HYPERLINK("https://www.suredividend.com/sure-analysis-GPS/","Gap, Inc.")</f>
        <v>0</v>
      </c>
      <c r="C357">
        <v>15.02</v>
      </c>
      <c r="D357">
        <v>5467.61544</v>
      </c>
      <c r="E357" t="s">
        <v>668</v>
      </c>
      <c r="F357" t="s">
        <v>631</v>
      </c>
      <c r="G357" t="s">
        <v>671</v>
      </c>
      <c r="H357" t="s">
        <v>702</v>
      </c>
      <c r="I357" t="s">
        <v>1058</v>
      </c>
      <c r="J357" t="s">
        <v>1313</v>
      </c>
      <c r="K357">
        <v>43993</v>
      </c>
      <c r="L357">
        <v>0.033128415300546</v>
      </c>
      <c r="M357">
        <v>-0.04390232372064917</v>
      </c>
      <c r="N357">
        <v>0.01</v>
      </c>
      <c r="O357">
        <v>-0.03434134695785573</v>
      </c>
      <c r="P357" t="s">
        <v>381</v>
      </c>
      <c r="Q357" t="s">
        <v>420</v>
      </c>
      <c r="R357">
        <v>0</v>
      </c>
      <c r="S357">
        <v>0.373076923076923</v>
      </c>
      <c r="T357">
        <v>12</v>
      </c>
      <c r="U357">
        <v>1.251666666666667</v>
      </c>
      <c r="V357">
        <v>-2.1809</v>
      </c>
      <c r="W357">
        <v>1.3</v>
      </c>
      <c r="X357">
        <v>0.485</v>
      </c>
      <c r="Y357">
        <v>-0.226374</v>
      </c>
      <c r="Z357">
        <v>0.4776119402985075</v>
      </c>
      <c r="AA357">
        <v>0.3140096618357488</v>
      </c>
      <c r="AB357">
        <v>0.08601286173633441</v>
      </c>
      <c r="AC357">
        <v>0.3713826366559486</v>
      </c>
      <c r="AD357">
        <v>0.06109324758842444</v>
      </c>
    </row>
    <row r="358" spans="1:30">
      <c r="A358" s="1" t="s">
        <v>365</v>
      </c>
      <c r="B358">
        <f>HYPERLINK("https://www.suredividend.com/sure-analysis-LOGI/","Logitech International SA")</f>
        <v>0</v>
      </c>
      <c r="C358">
        <v>71.78</v>
      </c>
      <c r="D358">
        <v>12137.88526</v>
      </c>
      <c r="E358" t="s">
        <v>665</v>
      </c>
      <c r="F358" t="s">
        <v>631</v>
      </c>
      <c r="G358" t="s">
        <v>675</v>
      </c>
      <c r="H358" t="s">
        <v>701</v>
      </c>
      <c r="I358" t="s">
        <v>1059</v>
      </c>
      <c r="J358" t="s">
        <v>1318</v>
      </c>
      <c r="K358">
        <v>44033</v>
      </c>
      <c r="L358">
        <v>0.010129041209934</v>
      </c>
      <c r="M358">
        <v>-0.1148594631828753</v>
      </c>
      <c r="N358">
        <v>0.07000000000000001</v>
      </c>
      <c r="O358">
        <v>-0.03480862175254618</v>
      </c>
      <c r="P358" t="s">
        <v>381</v>
      </c>
      <c r="Q358" t="s">
        <v>596</v>
      </c>
      <c r="R358">
        <v>7</v>
      </c>
      <c r="S358">
        <v>0.3379629629629629</v>
      </c>
      <c r="T358">
        <v>39</v>
      </c>
      <c r="U358">
        <v>1.840512820512821</v>
      </c>
      <c r="V358">
        <v>2.8498</v>
      </c>
      <c r="W358">
        <v>2.16</v>
      </c>
      <c r="X358">
        <v>0.73</v>
      </c>
      <c r="Y358">
        <v>0.8441919999999999</v>
      </c>
      <c r="Z358">
        <v>0.08291873963515756</v>
      </c>
      <c r="AA358">
        <v>0.9855072463768115</v>
      </c>
      <c r="AB358">
        <v>0.7355305466237942</v>
      </c>
      <c r="AC358">
        <v>0.06591639871382637</v>
      </c>
      <c r="AD358">
        <v>0.05948553054662379</v>
      </c>
    </row>
    <row r="359" spans="1:30">
      <c r="A359" s="1" t="s">
        <v>366</v>
      </c>
      <c r="B359">
        <f>HYPERLINK("https://www.suredividend.com/sure-analysis-SNE/","Sony Corp.")</f>
        <v>0</v>
      </c>
      <c r="C359">
        <v>79.33</v>
      </c>
      <c r="D359">
        <v>97673.900778</v>
      </c>
      <c r="E359" t="s">
        <v>665</v>
      </c>
      <c r="F359" t="s">
        <v>631</v>
      </c>
      <c r="G359" t="s">
        <v>692</v>
      </c>
      <c r="H359" t="s">
        <v>702</v>
      </c>
      <c r="I359" t="s">
        <v>1060</v>
      </c>
      <c r="J359" t="s">
        <v>1318</v>
      </c>
      <c r="K359">
        <v>44047</v>
      </c>
      <c r="L359">
        <v>0.005139287945034</v>
      </c>
      <c r="M359">
        <v>-0.06728252296562098</v>
      </c>
      <c r="N359">
        <v>0.017</v>
      </c>
      <c r="O359">
        <v>-0.04546365707027045</v>
      </c>
      <c r="P359" t="s">
        <v>381</v>
      </c>
      <c r="Q359" t="s">
        <v>596</v>
      </c>
      <c r="R359">
        <v>2</v>
      </c>
      <c r="S359">
        <v>0.09545243619489562</v>
      </c>
      <c r="T359">
        <v>56</v>
      </c>
      <c r="U359">
        <v>1.416607142857143</v>
      </c>
      <c r="V359">
        <v>5.0073</v>
      </c>
      <c r="W359">
        <v>4.31</v>
      </c>
      <c r="X359">
        <v>0.4114</v>
      </c>
      <c r="Y359">
        <v>0.422756</v>
      </c>
      <c r="Z359">
        <v>0.02321724709784411</v>
      </c>
      <c r="AA359">
        <v>0.9355877616747182</v>
      </c>
      <c r="AB359">
        <v>0.1165594855305466</v>
      </c>
      <c r="AC359">
        <v>0.2218649517684887</v>
      </c>
      <c r="AD359">
        <v>0.04340836012861736</v>
      </c>
    </row>
    <row r="360" spans="1:30">
      <c r="A360" s="1" t="s">
        <v>367</v>
      </c>
      <c r="B360">
        <f>HYPERLINK("https://www.suredividend.com/sure-analysis-NVDA/","NVIDIA Corp.")</f>
        <v>0</v>
      </c>
      <c r="C360">
        <v>433.66</v>
      </c>
      <c r="D360">
        <v>274659</v>
      </c>
      <c r="E360" t="s">
        <v>659</v>
      </c>
      <c r="F360" t="s">
        <v>631</v>
      </c>
      <c r="G360" t="s">
        <v>671</v>
      </c>
      <c r="H360" t="s">
        <v>701</v>
      </c>
      <c r="I360" t="s">
        <v>1061</v>
      </c>
      <c r="J360" t="s">
        <v>1318</v>
      </c>
      <c r="K360">
        <v>43976</v>
      </c>
      <c r="L360">
        <v>0.001433049708911</v>
      </c>
      <c r="M360">
        <v>-0.1737462926803307</v>
      </c>
      <c r="N360">
        <v>0.15</v>
      </c>
      <c r="O360">
        <v>-0.04800465052188641</v>
      </c>
      <c r="P360" t="s">
        <v>381</v>
      </c>
      <c r="Q360" t="s">
        <v>596</v>
      </c>
      <c r="R360">
        <v>7</v>
      </c>
      <c r="S360">
        <v>0.08421052631578949</v>
      </c>
      <c r="T360">
        <v>167</v>
      </c>
      <c r="U360">
        <v>2.596766467065868</v>
      </c>
      <c r="V360">
        <v>5.4259</v>
      </c>
      <c r="W360">
        <v>7.6</v>
      </c>
      <c r="X360">
        <v>0.64</v>
      </c>
      <c r="Y360">
        <v>1.830658</v>
      </c>
      <c r="Z360">
        <v>0.004975124378109453</v>
      </c>
      <c r="AA360">
        <v>0.9983896940418679</v>
      </c>
      <c r="AB360">
        <v>0.9790996784565916</v>
      </c>
      <c r="AC360">
        <v>0.01446945337620579</v>
      </c>
      <c r="AD360">
        <v>0.03376205787781351</v>
      </c>
    </row>
    <row r="361" spans="1:30">
      <c r="A361" s="1" t="s">
        <v>368</v>
      </c>
      <c r="B361">
        <f>HYPERLINK("https://www.suredividend.com/sure-analysis-TRI/","Thomson Reuters Corp.")</f>
        <v>0</v>
      </c>
      <c r="C361">
        <v>74.52</v>
      </c>
      <c r="D361">
        <v>36806.336</v>
      </c>
      <c r="E361" t="s">
        <v>667</v>
      </c>
      <c r="F361" t="s">
        <v>631</v>
      </c>
      <c r="G361" t="s">
        <v>672</v>
      </c>
      <c r="H361" t="s">
        <v>702</v>
      </c>
      <c r="I361" t="s">
        <v>1062</v>
      </c>
      <c r="J361" t="s">
        <v>1315</v>
      </c>
      <c r="K361">
        <v>44000</v>
      </c>
      <c r="L361">
        <v>0.019989033194672</v>
      </c>
      <c r="M361">
        <v>-0.1214664481843309</v>
      </c>
      <c r="N361">
        <v>0.05</v>
      </c>
      <c r="O361">
        <v>-0.0490038903773794</v>
      </c>
      <c r="P361" t="s">
        <v>381</v>
      </c>
      <c r="Q361" t="s">
        <v>420</v>
      </c>
      <c r="R361">
        <v>27</v>
      </c>
      <c r="S361">
        <v>0.8479918996414114</v>
      </c>
      <c r="T361">
        <v>39</v>
      </c>
      <c r="U361">
        <v>1.910769230769231</v>
      </c>
      <c r="V361">
        <v>3.2034</v>
      </c>
      <c r="W361">
        <v>1.75</v>
      </c>
      <c r="X361">
        <v>1.48398582437247</v>
      </c>
      <c r="Y361">
        <v>0.109514</v>
      </c>
      <c r="Z361">
        <v>0.2669983416252073</v>
      </c>
      <c r="AA361">
        <v>0.753623188405797</v>
      </c>
      <c r="AB361">
        <v>0.5168810289389068</v>
      </c>
      <c r="AC361">
        <v>0.05144694533762058</v>
      </c>
      <c r="AD361">
        <v>0.03215434083601286</v>
      </c>
    </row>
    <row r="362" spans="1:30">
      <c r="A362" s="1" t="s">
        <v>369</v>
      </c>
      <c r="B362">
        <f>HYPERLINK("https://www.suredividend.com/sure-analysis-RACE/","Ferrari NV")</f>
        <v>0</v>
      </c>
      <c r="C362">
        <v>185.49</v>
      </c>
      <c r="D362">
        <v>32350.238577</v>
      </c>
      <c r="E362" t="s">
        <v>665</v>
      </c>
      <c r="F362" t="s">
        <v>631</v>
      </c>
      <c r="G362" t="s">
        <v>693</v>
      </c>
      <c r="H362" t="s">
        <v>702</v>
      </c>
      <c r="I362" t="s">
        <v>1063</v>
      </c>
      <c r="J362" t="s">
        <v>1313</v>
      </c>
      <c r="K362">
        <v>44047</v>
      </c>
      <c r="L362">
        <v>0.006132971506105001</v>
      </c>
      <c r="M362">
        <v>-0.1424971147262859</v>
      </c>
      <c r="N362">
        <v>0.075</v>
      </c>
      <c r="O362">
        <v>-0.06708572957852688</v>
      </c>
      <c r="P362" t="s">
        <v>381</v>
      </c>
      <c r="Q362" t="s">
        <v>596</v>
      </c>
      <c r="R362">
        <v>3</v>
      </c>
      <c r="S362">
        <v>0.3304093567251462</v>
      </c>
      <c r="T362">
        <v>86</v>
      </c>
      <c r="U362">
        <v>2.156860465116279</v>
      </c>
      <c r="V362">
        <v>3.0428</v>
      </c>
      <c r="W362">
        <v>3.42</v>
      </c>
      <c r="X362">
        <v>1.13</v>
      </c>
      <c r="Y362">
        <v>0.161462</v>
      </c>
      <c r="Z362">
        <v>0.02819237147595357</v>
      </c>
      <c r="AA362">
        <v>0.7890499194847022</v>
      </c>
      <c r="AB362">
        <v>0.7757234726688103</v>
      </c>
      <c r="AC362">
        <v>0.02733118971061093</v>
      </c>
      <c r="AD362">
        <v>0.02572347266881029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49.21</v>
      </c>
      <c r="D363">
        <v>23650.568</v>
      </c>
      <c r="E363" t="s">
        <v>663</v>
      </c>
      <c r="F363" t="s">
        <v>631</v>
      </c>
      <c r="G363" t="s">
        <v>672</v>
      </c>
      <c r="H363" t="s">
        <v>702</v>
      </c>
      <c r="I363" t="s">
        <v>1064</v>
      </c>
      <c r="J363" t="s">
        <v>1321</v>
      </c>
      <c r="K363">
        <v>43977</v>
      </c>
      <c r="L363">
        <v>0.007175372439863</v>
      </c>
      <c r="M363">
        <v>-0.1266721119763248</v>
      </c>
      <c r="N363">
        <v>0</v>
      </c>
      <c r="O363">
        <v>-0.1110377721237039</v>
      </c>
      <c r="P363" t="s">
        <v>381</v>
      </c>
      <c r="Q363" t="s">
        <v>596</v>
      </c>
      <c r="R363">
        <v>1</v>
      </c>
      <c r="S363">
        <v>0.4205565513364567</v>
      </c>
      <c r="T363">
        <v>25</v>
      </c>
      <c r="U363">
        <v>1.9684</v>
      </c>
      <c r="V363">
        <v>0.2754</v>
      </c>
      <c r="W363">
        <v>0.9</v>
      </c>
      <c r="X363">
        <v>0.378500896202811</v>
      </c>
      <c r="Y363">
        <v>0.918723</v>
      </c>
      <c r="Z363">
        <v>0.03980099502487562</v>
      </c>
      <c r="AA363">
        <v>0.9919484702093397</v>
      </c>
      <c r="AB363">
        <v>0.04662379421221865</v>
      </c>
      <c r="AC363">
        <v>0.04019292604501608</v>
      </c>
      <c r="AD363">
        <v>0.0112540192926045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4.24</v>
      </c>
      <c r="D364">
        <v>1422.29225</v>
      </c>
      <c r="E364" t="s">
        <v>665</v>
      </c>
      <c r="F364" t="s">
        <v>631</v>
      </c>
      <c r="G364" t="s">
        <v>676</v>
      </c>
      <c r="H364" t="s">
        <v>702</v>
      </c>
      <c r="I364" t="s">
        <v>1065</v>
      </c>
      <c r="J364" t="s">
        <v>1318</v>
      </c>
      <c r="K364">
        <v>43979</v>
      </c>
      <c r="L364">
        <v>0.272211764705882</v>
      </c>
      <c r="M364">
        <v>0.2100557110162122</v>
      </c>
      <c r="N364">
        <v>0.03</v>
      </c>
      <c r="O364">
        <v>0.2463573823466987</v>
      </c>
      <c r="P364" t="s">
        <v>420</v>
      </c>
      <c r="Q364" t="s">
        <v>636</v>
      </c>
      <c r="R364">
        <v>0</v>
      </c>
      <c r="S364">
        <v>0.9640833333333334</v>
      </c>
      <c r="T364">
        <v>11</v>
      </c>
      <c r="U364">
        <v>0.3854545454545455</v>
      </c>
      <c r="V364">
        <v>-3.0086</v>
      </c>
      <c r="W364">
        <v>1.2</v>
      </c>
      <c r="X364">
        <v>1.1569</v>
      </c>
      <c r="Y364">
        <v>-0.794922</v>
      </c>
      <c r="Z364">
        <v>0.9933665008291874</v>
      </c>
      <c r="AA364">
        <v>0.001610305958132045</v>
      </c>
      <c r="AB364">
        <v>0.2540192926045016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HYPERLINK("https://www.suredividend.com/sure-analysis-BPY/","Brookfield Property Partners LP")</f>
        <v>0</v>
      </c>
      <c r="C365">
        <v>11.995</v>
      </c>
      <c r="D365">
        <v>11166.476392</v>
      </c>
      <c r="E365" t="s">
        <v>669</v>
      </c>
      <c r="F365" t="s">
        <v>633</v>
      </c>
      <c r="G365" t="s">
        <v>677</v>
      </c>
      <c r="H365" t="s">
        <v>701</v>
      </c>
      <c r="I365" t="s">
        <v>1066</v>
      </c>
      <c r="J365" t="s">
        <v>1322</v>
      </c>
      <c r="K365">
        <v>43964</v>
      </c>
      <c r="L365">
        <v>0.110693400167084</v>
      </c>
      <c r="M365">
        <v>0.1185201402707208</v>
      </c>
      <c r="N365">
        <v>0.05</v>
      </c>
      <c r="O365">
        <v>0.2338329429927666</v>
      </c>
      <c r="P365" t="s">
        <v>420</v>
      </c>
      <c r="Q365" t="s">
        <v>636</v>
      </c>
      <c r="R365">
        <v>13</v>
      </c>
      <c r="S365">
        <v>1.193693693693693</v>
      </c>
      <c r="T365">
        <v>21</v>
      </c>
      <c r="U365">
        <v>0.5711904761904761</v>
      </c>
      <c r="V365">
        <v>-2.0375</v>
      </c>
      <c r="W365">
        <v>1.11</v>
      </c>
      <c r="X365">
        <v>1.325</v>
      </c>
      <c r="Y365">
        <v>-0.399284</v>
      </c>
      <c r="Z365">
        <v>0.9203980099502488</v>
      </c>
      <c r="AA365">
        <v>0.1352657004830918</v>
      </c>
      <c r="AB365">
        <v>0.5168810289389068</v>
      </c>
      <c r="AC365">
        <v>0.9951768488745981</v>
      </c>
      <c r="AD365">
        <v>0.9967845659163987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113.94</v>
      </c>
      <c r="D366">
        <v>2537.644776</v>
      </c>
      <c r="E366" t="s">
        <v>664</v>
      </c>
      <c r="F366" t="s">
        <v>633</v>
      </c>
      <c r="G366" t="s">
        <v>671</v>
      </c>
      <c r="H366" t="s">
        <v>702</v>
      </c>
      <c r="I366" t="s">
        <v>1067</v>
      </c>
      <c r="J366" t="s">
        <v>1322</v>
      </c>
      <c r="K366">
        <v>44052</v>
      </c>
      <c r="L366">
        <v>0.03283735248845501</v>
      </c>
      <c r="M366">
        <v>-0.05914951268690194</v>
      </c>
      <c r="N366">
        <v>0.25</v>
      </c>
      <c r="O366">
        <v>0.2090630074637492</v>
      </c>
      <c r="P366" t="s">
        <v>420</v>
      </c>
      <c r="Q366" t="s">
        <v>420</v>
      </c>
      <c r="R366">
        <v>4</v>
      </c>
      <c r="S366">
        <v>0.8240343347639485</v>
      </c>
      <c r="T366">
        <v>84</v>
      </c>
      <c r="U366">
        <v>1.356428571428571</v>
      </c>
      <c r="V366">
        <v>2.8043</v>
      </c>
      <c r="W366">
        <v>4.66</v>
      </c>
      <c r="X366">
        <v>3.84</v>
      </c>
      <c r="Y366">
        <v>0.102212</v>
      </c>
      <c r="Z366">
        <v>0.4676616915422885</v>
      </c>
      <c r="AA366">
        <v>0.748792270531401</v>
      </c>
      <c r="AB366">
        <v>0.997588424437299</v>
      </c>
      <c r="AC366">
        <v>0.2733118971061093</v>
      </c>
      <c r="AD366">
        <v>0.9935691318327975</v>
      </c>
    </row>
    <row r="367" spans="1:30">
      <c r="A367" s="1" t="s">
        <v>374</v>
      </c>
      <c r="B367">
        <f>HYPERLINK("https://www.suredividend.com/sure-analysis-SPH/","Suburban Propane Partners LP")</f>
        <v>0</v>
      </c>
      <c r="C367">
        <v>13.72</v>
      </c>
      <c r="D367">
        <v>889.314984</v>
      </c>
      <c r="E367" t="s">
        <v>663</v>
      </c>
      <c r="F367" t="s">
        <v>632</v>
      </c>
      <c r="G367" t="s">
        <v>671</v>
      </c>
      <c r="H367" t="s">
        <v>702</v>
      </c>
      <c r="I367" t="s">
        <v>1068</v>
      </c>
      <c r="J367" t="s">
        <v>1314</v>
      </c>
      <c r="K367">
        <v>43964</v>
      </c>
      <c r="L367">
        <v>0.146750524109014</v>
      </c>
      <c r="M367">
        <v>0.05580491340088578</v>
      </c>
      <c r="N367">
        <v>0.04</v>
      </c>
      <c r="O367">
        <v>0.1983080658012486</v>
      </c>
      <c r="P367" t="s">
        <v>420</v>
      </c>
      <c r="Q367" t="s">
        <v>636</v>
      </c>
      <c r="R367">
        <v>0</v>
      </c>
      <c r="S367">
        <v>0.7636363636363637</v>
      </c>
      <c r="T367">
        <v>18</v>
      </c>
      <c r="U367">
        <v>0.7622222222222222</v>
      </c>
      <c r="V367">
        <v>0.8151</v>
      </c>
      <c r="W367">
        <v>2.75</v>
      </c>
      <c r="X367">
        <v>2.1</v>
      </c>
      <c r="Y367">
        <v>-0.373828</v>
      </c>
      <c r="Z367">
        <v>0.9568822553897181</v>
      </c>
      <c r="AA367">
        <v>0.1545893719806763</v>
      </c>
      <c r="AB367">
        <v>0.3858520900321543</v>
      </c>
      <c r="AC367">
        <v>0.9244372990353698</v>
      </c>
      <c r="AD367">
        <v>0.9903536977491961</v>
      </c>
    </row>
    <row r="368" spans="1:30">
      <c r="A368" s="1" t="s">
        <v>375</v>
      </c>
      <c r="B368">
        <f>HYPERLINK("https://www.suredividend.com/sure-analysis-USAC/","USA Compression Partners LP")</f>
        <v>0</v>
      </c>
      <c r="C368">
        <v>12.12</v>
      </c>
      <c r="D368">
        <v>1169.077267</v>
      </c>
      <c r="E368" t="s">
        <v>667</v>
      </c>
      <c r="F368" t="s">
        <v>632</v>
      </c>
      <c r="G368" t="s">
        <v>671</v>
      </c>
      <c r="H368" t="s">
        <v>702</v>
      </c>
      <c r="I368" t="s">
        <v>1069</v>
      </c>
      <c r="J368" t="s">
        <v>1317</v>
      </c>
      <c r="K368">
        <v>43993</v>
      </c>
      <c r="L368">
        <v>0.173985086992543</v>
      </c>
      <c r="M368">
        <v>0.04076293965528421</v>
      </c>
      <c r="N368">
        <v>0.01</v>
      </c>
      <c r="O368">
        <v>0.1654067271193667</v>
      </c>
      <c r="P368" t="s">
        <v>420</v>
      </c>
      <c r="Q368" t="s">
        <v>636</v>
      </c>
      <c r="R368">
        <v>0</v>
      </c>
      <c r="S368">
        <v>0.9952606635071091</v>
      </c>
      <c r="T368">
        <v>14.8</v>
      </c>
      <c r="U368">
        <v>0.8189189189189189</v>
      </c>
      <c r="V368">
        <v>-6.4724</v>
      </c>
      <c r="W368">
        <v>2.11</v>
      </c>
      <c r="X368">
        <v>2.1</v>
      </c>
      <c r="Y368">
        <v>-0.253385</v>
      </c>
      <c r="Z368">
        <v>0.976782752902156</v>
      </c>
      <c r="AA368">
        <v>0.2930756843800322</v>
      </c>
      <c r="AB368">
        <v>0.08601286173633441</v>
      </c>
      <c r="AC368">
        <v>0.860128617363344</v>
      </c>
      <c r="AD368">
        <v>0.982315112540193</v>
      </c>
    </row>
    <row r="369" spans="1:30">
      <c r="A369" s="1" t="s">
        <v>376</v>
      </c>
      <c r="B369">
        <f>HYPERLINK("https://www.suredividend.com/sure-analysis-TEF/","Telefónica SA")</f>
        <v>0</v>
      </c>
      <c r="C369">
        <v>4.28</v>
      </c>
      <c r="D369">
        <v>22424.407966</v>
      </c>
      <c r="E369" t="s">
        <v>659</v>
      </c>
      <c r="F369" t="s">
        <v>631</v>
      </c>
      <c r="G369" t="s">
        <v>680</v>
      </c>
      <c r="H369" t="s">
        <v>702</v>
      </c>
      <c r="I369" t="s">
        <v>1070</v>
      </c>
      <c r="J369" t="s">
        <v>1319</v>
      </c>
      <c r="K369">
        <v>43973</v>
      </c>
      <c r="L369">
        <v>0.07635059101654801</v>
      </c>
      <c r="M369">
        <v>0.08038701564114148</v>
      </c>
      <c r="N369">
        <v>0.02</v>
      </c>
      <c r="O369">
        <v>0.1642591048717585</v>
      </c>
      <c r="P369" t="s">
        <v>420</v>
      </c>
      <c r="Q369" t="s">
        <v>636</v>
      </c>
      <c r="R369">
        <v>0</v>
      </c>
      <c r="S369">
        <v>0.4613757142857143</v>
      </c>
      <c r="T369">
        <v>6.3</v>
      </c>
      <c r="U369">
        <v>0.6793650793650794</v>
      </c>
      <c r="V369">
        <v>0.2067</v>
      </c>
      <c r="W369">
        <v>0.7</v>
      </c>
      <c r="X369">
        <v>0.322963</v>
      </c>
      <c r="Y369">
        <v>-0.423024</v>
      </c>
      <c r="Z369">
        <v>0.8374792703150912</v>
      </c>
      <c r="AA369">
        <v>0.1223832528180354</v>
      </c>
      <c r="AB369">
        <v>0.157556270096463</v>
      </c>
      <c r="AC369">
        <v>0.9758842443729904</v>
      </c>
      <c r="AD369">
        <v>0.9790996784565916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16.57</v>
      </c>
      <c r="D370">
        <v>15681.98056</v>
      </c>
      <c r="E370" t="s">
        <v>665</v>
      </c>
      <c r="F370" t="s">
        <v>631</v>
      </c>
      <c r="G370" t="s">
        <v>676</v>
      </c>
      <c r="H370" t="s">
        <v>700</v>
      </c>
      <c r="I370" t="s">
        <v>1071</v>
      </c>
      <c r="J370" t="s">
        <v>1320</v>
      </c>
      <c r="K370">
        <v>43972</v>
      </c>
      <c r="L370">
        <v>0.14204152082076</v>
      </c>
      <c r="M370">
        <v>0.0677782382593437</v>
      </c>
      <c r="N370">
        <v>0.03</v>
      </c>
      <c r="O370">
        <v>0.1617323017671657</v>
      </c>
      <c r="P370" t="s">
        <v>420</v>
      </c>
      <c r="Q370" t="s">
        <v>635</v>
      </c>
      <c r="R370">
        <v>0</v>
      </c>
      <c r="S370">
        <v>0.6556066852367688</v>
      </c>
      <c r="T370">
        <v>23</v>
      </c>
      <c r="U370">
        <v>0.7204347826086956</v>
      </c>
      <c r="V370">
        <v>1.1502</v>
      </c>
      <c r="W370">
        <v>3.59</v>
      </c>
      <c r="X370">
        <v>2.353628</v>
      </c>
      <c r="Y370">
        <v>-0.3654</v>
      </c>
      <c r="Z370">
        <v>0.9535655058043118</v>
      </c>
      <c r="AA370">
        <v>0.1658615136876006</v>
      </c>
      <c r="AB370">
        <v>0.2540192926045016</v>
      </c>
      <c r="AC370">
        <v>0.9549839228295819</v>
      </c>
      <c r="AD370">
        <v>0.9758842443729904</v>
      </c>
    </row>
    <row r="371" spans="1:30">
      <c r="A371" s="1" t="s">
        <v>378</v>
      </c>
      <c r="B371">
        <f>HYPERLINK("https://www.suredividend.com/sure-analysis-DFS/","Discover Financial Services")</f>
        <v>0</v>
      </c>
      <c r="C371">
        <v>55.76</v>
      </c>
      <c r="D371">
        <v>16476.25717</v>
      </c>
      <c r="E371" t="s">
        <v>659</v>
      </c>
      <c r="F371" t="s">
        <v>631</v>
      </c>
      <c r="G371" t="s">
        <v>671</v>
      </c>
      <c r="H371" t="s">
        <v>702</v>
      </c>
      <c r="I371" t="s">
        <v>1072</v>
      </c>
      <c r="J371" t="s">
        <v>1312</v>
      </c>
      <c r="K371">
        <v>44042</v>
      </c>
      <c r="L371">
        <v>0.032732006695183</v>
      </c>
      <c r="M371">
        <v>0.06389352430151884</v>
      </c>
      <c r="N371">
        <v>0.07000000000000001</v>
      </c>
      <c r="O371">
        <v>0.160017000140376</v>
      </c>
      <c r="P371" t="s">
        <v>420</v>
      </c>
      <c r="Q371" t="s">
        <v>420</v>
      </c>
      <c r="R371">
        <v>9</v>
      </c>
      <c r="S371">
        <v>0.5866666666666667</v>
      </c>
      <c r="T371">
        <v>76</v>
      </c>
      <c r="U371">
        <v>0.7336842105263157</v>
      </c>
      <c r="V371">
        <v>3.1633</v>
      </c>
      <c r="W371">
        <v>3</v>
      </c>
      <c r="X371">
        <v>1.76</v>
      </c>
      <c r="Y371">
        <v>-0.392769</v>
      </c>
      <c r="Z371">
        <v>0.4643449419568823</v>
      </c>
      <c r="AA371">
        <v>0.1368760064412238</v>
      </c>
      <c r="AB371">
        <v>0.7355305466237942</v>
      </c>
      <c r="AC371">
        <v>0.9453376205787781</v>
      </c>
      <c r="AD371">
        <v>0.9710610932475885</v>
      </c>
    </row>
    <row r="372" spans="1:30">
      <c r="A372" s="1" t="s">
        <v>379</v>
      </c>
      <c r="B372">
        <f>HYPERLINK("https://www.suredividend.com/sure-analysis-CHL/","China Mobile Ltd.")</f>
        <v>0</v>
      </c>
      <c r="C372">
        <v>36.2</v>
      </c>
      <c r="D372">
        <v>144884.638</v>
      </c>
      <c r="E372" t="s">
        <v>667</v>
      </c>
      <c r="F372" t="s">
        <v>631</v>
      </c>
      <c r="G372" t="s">
        <v>694</v>
      </c>
      <c r="H372" t="s">
        <v>702</v>
      </c>
      <c r="J372" t="s">
        <v>1319</v>
      </c>
      <c r="K372">
        <v>44007</v>
      </c>
      <c r="L372">
        <v>0.053048925946862</v>
      </c>
      <c r="M372">
        <v>0.06672454149717999</v>
      </c>
      <c r="N372">
        <v>0.042</v>
      </c>
      <c r="O372">
        <v>0.1499768745074583</v>
      </c>
      <c r="P372" t="s">
        <v>420</v>
      </c>
      <c r="Q372" t="s">
        <v>636</v>
      </c>
      <c r="R372">
        <v>0</v>
      </c>
      <c r="S372">
        <v>0.46921775</v>
      </c>
      <c r="T372">
        <v>50</v>
      </c>
      <c r="U372">
        <v>0.7240000000000001</v>
      </c>
      <c r="V372">
        <v>3.7744</v>
      </c>
      <c r="W372">
        <v>4</v>
      </c>
      <c r="X372">
        <v>1.876871</v>
      </c>
      <c r="Y372">
        <v>-0.137991</v>
      </c>
      <c r="Z372">
        <v>0.713101160862355</v>
      </c>
      <c r="AA372">
        <v>0.4331723027375201</v>
      </c>
      <c r="AB372">
        <v>0.4356913183279743</v>
      </c>
      <c r="AC372">
        <v>0.9517684887459806</v>
      </c>
      <c r="AD372">
        <v>0.9517684887459806</v>
      </c>
    </row>
    <row r="373" spans="1:30">
      <c r="A373" s="1" t="s">
        <v>380</v>
      </c>
      <c r="B373">
        <f>HYPERLINK("https://www.suredividend.com/sure-analysis-GEO/","The GEO Group, Inc.")</f>
        <v>0</v>
      </c>
      <c r="C373">
        <v>11.09</v>
      </c>
      <c r="D373">
        <v>1321.63218</v>
      </c>
      <c r="E373" t="s">
        <v>664</v>
      </c>
      <c r="F373" t="s">
        <v>633</v>
      </c>
      <c r="G373" t="s">
        <v>671</v>
      </c>
      <c r="H373" t="s">
        <v>702</v>
      </c>
      <c r="I373" t="s">
        <v>1073</v>
      </c>
      <c r="J373" t="s">
        <v>1322</v>
      </c>
      <c r="K373">
        <v>44051</v>
      </c>
      <c r="L373">
        <v>0.176308539944903</v>
      </c>
      <c r="M373">
        <v>0.01589761321664618</v>
      </c>
      <c r="N373">
        <v>0.03</v>
      </c>
      <c r="O373">
        <v>0.1421915334632653</v>
      </c>
      <c r="P373" t="s">
        <v>420</v>
      </c>
      <c r="Q373" t="s">
        <v>636</v>
      </c>
      <c r="R373">
        <v>0</v>
      </c>
      <c r="S373">
        <v>0.8347826086956522</v>
      </c>
      <c r="T373">
        <v>12</v>
      </c>
      <c r="U373">
        <v>0.9241666666666667</v>
      </c>
      <c r="V373">
        <v>1.2219</v>
      </c>
      <c r="W373">
        <v>2.3</v>
      </c>
      <c r="X373">
        <v>1.92</v>
      </c>
      <c r="Y373">
        <v>-0.412445</v>
      </c>
      <c r="Z373">
        <v>0.978441127694859</v>
      </c>
      <c r="AA373">
        <v>0.1256038647342995</v>
      </c>
      <c r="AB373">
        <v>0.2540192926045016</v>
      </c>
      <c r="AC373">
        <v>0.7459807073954984</v>
      </c>
      <c r="AD373">
        <v>0.9421221864951768</v>
      </c>
    </row>
    <row r="374" spans="1:30">
      <c r="A374" s="1" t="s">
        <v>381</v>
      </c>
      <c r="B374">
        <f>HYPERLINK("https://www.suredividend.com/sure-analysis-C/","Citigroup, Inc.")</f>
        <v>0</v>
      </c>
      <c r="C374">
        <v>53.76</v>
      </c>
      <c r="D374">
        <v>110047.1196</v>
      </c>
      <c r="E374" t="s">
        <v>663</v>
      </c>
      <c r="F374" t="s">
        <v>631</v>
      </c>
      <c r="G374" t="s">
        <v>671</v>
      </c>
      <c r="H374" t="s">
        <v>702</v>
      </c>
      <c r="I374" t="s">
        <v>1074</v>
      </c>
      <c r="J374" t="s">
        <v>1312</v>
      </c>
      <c r="K374">
        <v>44027</v>
      </c>
      <c r="L374">
        <v>0.038592508513053</v>
      </c>
      <c r="M374">
        <v>0.04811739923144209</v>
      </c>
      <c r="N374">
        <v>0.06</v>
      </c>
      <c r="O374">
        <v>0.1409265638624975</v>
      </c>
      <c r="P374" t="s">
        <v>420</v>
      </c>
      <c r="Q374" t="s">
        <v>420</v>
      </c>
      <c r="R374">
        <v>6</v>
      </c>
      <c r="S374">
        <v>0.6181818181818183</v>
      </c>
      <c r="T374">
        <v>68</v>
      </c>
      <c r="U374">
        <v>0.7905882352941176</v>
      </c>
      <c r="V374">
        <v>5.8074</v>
      </c>
      <c r="W374">
        <v>3.3</v>
      </c>
      <c r="X374">
        <v>2.04</v>
      </c>
      <c r="Y374">
        <v>-0.219059</v>
      </c>
      <c r="Z374">
        <v>0.5588723051409619</v>
      </c>
      <c r="AA374">
        <v>0.3285024154589372</v>
      </c>
      <c r="AB374">
        <v>0.6430868167202572</v>
      </c>
      <c r="AC374">
        <v>0.892282958199357</v>
      </c>
      <c r="AD374">
        <v>0.9372990353697749</v>
      </c>
    </row>
    <row r="375" spans="1:30">
      <c r="A375" s="1" t="s">
        <v>382</v>
      </c>
      <c r="B375">
        <f>HYPERLINK("https://www.suredividend.com/sure-analysis-IVZ/","Invesco Ltd.")</f>
        <v>0</v>
      </c>
      <c r="C375">
        <v>10.94</v>
      </c>
      <c r="D375">
        <v>4954.40114</v>
      </c>
      <c r="E375" t="s">
        <v>659</v>
      </c>
      <c r="F375" t="s">
        <v>631</v>
      </c>
      <c r="G375" t="s">
        <v>671</v>
      </c>
      <c r="H375" t="s">
        <v>702</v>
      </c>
      <c r="I375" t="s">
        <v>1075</v>
      </c>
      <c r="J375" t="s">
        <v>1312</v>
      </c>
      <c r="K375">
        <v>44047</v>
      </c>
      <c r="L375">
        <v>0.100556070435588</v>
      </c>
      <c r="M375">
        <v>0.07899773277865574</v>
      </c>
      <c r="N375">
        <v>0.02</v>
      </c>
      <c r="O375">
        <v>0.1393213282974972</v>
      </c>
      <c r="P375" t="s">
        <v>420</v>
      </c>
      <c r="Q375" t="s">
        <v>636</v>
      </c>
      <c r="R375">
        <v>0</v>
      </c>
      <c r="S375">
        <v>0.7233333333333333</v>
      </c>
      <c r="T375">
        <v>16</v>
      </c>
      <c r="U375">
        <v>0.68375</v>
      </c>
      <c r="V375">
        <v>1.0239</v>
      </c>
      <c r="W375">
        <v>1.5</v>
      </c>
      <c r="X375">
        <v>1.085</v>
      </c>
      <c r="Y375">
        <v>-0.368483</v>
      </c>
      <c r="Z375">
        <v>0.8988391376451078</v>
      </c>
      <c r="AA375">
        <v>0.1610305958132045</v>
      </c>
      <c r="AB375">
        <v>0.157556270096463</v>
      </c>
      <c r="AC375">
        <v>0.9710610932475885</v>
      </c>
      <c r="AD375">
        <v>0.9340836012861736</v>
      </c>
    </row>
    <row r="376" spans="1:30">
      <c r="A376" s="1" t="s">
        <v>383</v>
      </c>
      <c r="B376">
        <f>HYPERLINK("https://www.suredividend.com/sure-analysis-KEY/","KeyCorp")</f>
        <v>0</v>
      </c>
      <c r="C376">
        <v>13.08</v>
      </c>
      <c r="D376">
        <v>12404.96</v>
      </c>
      <c r="E376" t="s">
        <v>661</v>
      </c>
      <c r="F376" t="s">
        <v>631</v>
      </c>
      <c r="G376" t="s">
        <v>671</v>
      </c>
      <c r="H376" t="s">
        <v>702</v>
      </c>
      <c r="I376" t="s">
        <v>1076</v>
      </c>
      <c r="J376" t="s">
        <v>1312</v>
      </c>
      <c r="K376">
        <v>44035</v>
      </c>
      <c r="L376">
        <v>0.05822187254130601</v>
      </c>
      <c r="M376">
        <v>0.05382436499375887</v>
      </c>
      <c r="N376">
        <v>0.04</v>
      </c>
      <c r="O376">
        <v>0.1369614955685801</v>
      </c>
      <c r="P376" t="s">
        <v>420</v>
      </c>
      <c r="Q376" t="s">
        <v>381</v>
      </c>
      <c r="R376">
        <v>9</v>
      </c>
      <c r="S376">
        <v>1.057142857142857</v>
      </c>
      <c r="T376">
        <v>17</v>
      </c>
      <c r="U376">
        <v>0.7694117647058824</v>
      </c>
      <c r="V376">
        <v>1.1341</v>
      </c>
      <c r="W376">
        <v>0.7</v>
      </c>
      <c r="X376">
        <v>0.74</v>
      </c>
      <c r="Y376">
        <v>-0.241525</v>
      </c>
      <c r="Z376">
        <v>0.7396351575456053</v>
      </c>
      <c r="AA376">
        <v>0.3011272141706924</v>
      </c>
      <c r="AB376">
        <v>0.3858520900321543</v>
      </c>
      <c r="AC376">
        <v>0.9147909967845659</v>
      </c>
      <c r="AD376">
        <v>0.927652733118971</v>
      </c>
    </row>
    <row r="377" spans="1:30">
      <c r="A377" s="1" t="s">
        <v>384</v>
      </c>
      <c r="B377">
        <f>HYPERLINK("https://www.suredividend.com/sure-analysis-BRX/","Brixmor Property Group, Inc.")</f>
        <v>0</v>
      </c>
      <c r="C377">
        <v>12.71</v>
      </c>
      <c r="D377">
        <v>3667.46997</v>
      </c>
      <c r="E377" t="s">
        <v>669</v>
      </c>
      <c r="F377" t="s">
        <v>633</v>
      </c>
      <c r="G377" t="s">
        <v>671</v>
      </c>
      <c r="H377" t="s">
        <v>702</v>
      </c>
      <c r="I377" t="s">
        <v>1077</v>
      </c>
      <c r="J377" t="s">
        <v>1322</v>
      </c>
      <c r="K377">
        <v>43971</v>
      </c>
      <c r="L377">
        <v>0.068714632174616</v>
      </c>
      <c r="M377">
        <v>0.08373128345275549</v>
      </c>
      <c r="N377">
        <v>0</v>
      </c>
      <c r="O377">
        <v>0.1293740486958095</v>
      </c>
      <c r="P377" t="s">
        <v>420</v>
      </c>
      <c r="Q377" t="s">
        <v>381</v>
      </c>
      <c r="R377">
        <v>0</v>
      </c>
      <c r="S377">
        <v>0.8854166666666666</v>
      </c>
      <c r="T377">
        <v>19</v>
      </c>
      <c r="U377">
        <v>0.6689473684210526</v>
      </c>
      <c r="V377">
        <v>0.7087</v>
      </c>
      <c r="W377">
        <v>0.96</v>
      </c>
      <c r="X377">
        <v>0.85</v>
      </c>
      <c r="Y377">
        <v>-0.362304</v>
      </c>
      <c r="Z377">
        <v>0.8043117744610282</v>
      </c>
      <c r="AA377">
        <v>0.1690821256038647</v>
      </c>
      <c r="AB377">
        <v>0.04662379421221865</v>
      </c>
      <c r="AC377">
        <v>0.9790996784565916</v>
      </c>
      <c r="AD377">
        <v>0.9067524115755627</v>
      </c>
    </row>
    <row r="378" spans="1:30">
      <c r="A378" s="1" t="s">
        <v>385</v>
      </c>
      <c r="B378">
        <f>HYPERLINK("https://www.suredividend.com/sure-analysis-FE/","FirstEnergy Corp.")</f>
        <v>0</v>
      </c>
      <c r="C378">
        <v>29.905</v>
      </c>
      <c r="D378">
        <v>16285.12524</v>
      </c>
      <c r="E378" t="s">
        <v>664</v>
      </c>
      <c r="F378" t="s">
        <v>631</v>
      </c>
      <c r="G378" t="s">
        <v>671</v>
      </c>
      <c r="H378" t="s">
        <v>702</v>
      </c>
      <c r="I378" t="s">
        <v>1078</v>
      </c>
      <c r="J378" t="s">
        <v>1314</v>
      </c>
      <c r="K378">
        <v>44036</v>
      </c>
      <c r="L378">
        <v>0.05123087159015301</v>
      </c>
      <c r="M378">
        <v>0.04907843082085317</v>
      </c>
      <c r="N378">
        <v>0.04</v>
      </c>
      <c r="O378">
        <v>0.1265880482716109</v>
      </c>
      <c r="P378" t="s">
        <v>420</v>
      </c>
      <c r="Q378" t="s">
        <v>381</v>
      </c>
      <c r="R378">
        <v>3</v>
      </c>
      <c r="S378">
        <v>0.616</v>
      </c>
      <c r="T378">
        <v>38</v>
      </c>
      <c r="U378">
        <v>0.7869736842105264</v>
      </c>
      <c r="V378">
        <v>0.9599000000000001</v>
      </c>
      <c r="W378">
        <v>2.5</v>
      </c>
      <c r="X378">
        <v>1.54</v>
      </c>
      <c r="Y378">
        <v>-0.334689</v>
      </c>
      <c r="Z378">
        <v>0.6998341625207297</v>
      </c>
      <c r="AA378">
        <v>0.1916264090177134</v>
      </c>
      <c r="AB378">
        <v>0.3858520900321543</v>
      </c>
      <c r="AC378">
        <v>0.8971061093247589</v>
      </c>
      <c r="AD378">
        <v>0.8938906752411576</v>
      </c>
    </row>
    <row r="379" spans="1:30">
      <c r="A379" s="1" t="s">
        <v>386</v>
      </c>
      <c r="B379">
        <f>HYPERLINK("https://www.suredividend.com/sure-analysis-SPG/","Simon Property Group, Inc.")</f>
        <v>0</v>
      </c>
      <c r="C379">
        <v>67.15000000000001</v>
      </c>
      <c r="D379">
        <v>43081.840696</v>
      </c>
      <c r="E379" t="s">
        <v>666</v>
      </c>
      <c r="F379" t="s">
        <v>633</v>
      </c>
      <c r="G379" t="s">
        <v>671</v>
      </c>
      <c r="H379" t="s">
        <v>702</v>
      </c>
      <c r="I379" t="s">
        <v>1079</v>
      </c>
      <c r="J379" t="s">
        <v>1322</v>
      </c>
      <c r="K379">
        <v>44012</v>
      </c>
      <c r="L379">
        <v>0.127539330991293</v>
      </c>
      <c r="M379">
        <v>0.04827343874993084</v>
      </c>
      <c r="N379">
        <v>0.019</v>
      </c>
      <c r="O379">
        <v>0.1263642408522303</v>
      </c>
      <c r="P379" t="s">
        <v>420</v>
      </c>
      <c r="Q379" t="s">
        <v>636</v>
      </c>
      <c r="R379">
        <v>10</v>
      </c>
      <c r="S379">
        <v>0.835</v>
      </c>
      <c r="T379">
        <v>85</v>
      </c>
      <c r="U379">
        <v>0.79</v>
      </c>
      <c r="V379">
        <v>6.4145</v>
      </c>
      <c r="W379">
        <v>10</v>
      </c>
      <c r="X379">
        <v>8.35</v>
      </c>
      <c r="Y379">
        <v>-0.599162</v>
      </c>
      <c r="Z379">
        <v>0.9402985074626865</v>
      </c>
      <c r="AA379">
        <v>0.03220611916264091</v>
      </c>
      <c r="AB379">
        <v>0.1229903536977492</v>
      </c>
      <c r="AC379">
        <v>0.8938906752411576</v>
      </c>
      <c r="AD379">
        <v>0.892282958199357</v>
      </c>
    </row>
    <row r="380" spans="1:30">
      <c r="A380" s="1" t="s">
        <v>387</v>
      </c>
      <c r="B380">
        <f>HYPERLINK("https://www.suredividend.com/sure-analysis-CTL/","CenturyLink, Inc.")</f>
        <v>0</v>
      </c>
      <c r="C380">
        <v>11.04</v>
      </c>
      <c r="D380">
        <v>11919.2844</v>
      </c>
      <c r="E380" t="s">
        <v>667</v>
      </c>
      <c r="F380" t="s">
        <v>631</v>
      </c>
      <c r="G380" t="s">
        <v>671</v>
      </c>
      <c r="H380" t="s">
        <v>702</v>
      </c>
      <c r="I380" t="s">
        <v>1080</v>
      </c>
      <c r="J380" t="s">
        <v>1319</v>
      </c>
      <c r="K380">
        <v>43993</v>
      </c>
      <c r="L380">
        <v>0.09208103130755001</v>
      </c>
      <c r="M380">
        <v>0.03163039043320404</v>
      </c>
      <c r="N380">
        <v>0.03</v>
      </c>
      <c r="O380">
        <v>0.1256799880288502</v>
      </c>
      <c r="P380" t="s">
        <v>420</v>
      </c>
      <c r="Q380" t="s">
        <v>636</v>
      </c>
      <c r="R380">
        <v>0</v>
      </c>
      <c r="S380">
        <v>0.7751937984496123</v>
      </c>
      <c r="T380">
        <v>12.9</v>
      </c>
      <c r="U380">
        <v>0.855813953488372</v>
      </c>
      <c r="V380">
        <v>1.1306</v>
      </c>
      <c r="W380">
        <v>1.29</v>
      </c>
      <c r="X380">
        <v>1</v>
      </c>
      <c r="Y380">
        <v>-0.019626</v>
      </c>
      <c r="Z380">
        <v>0.8756218905472637</v>
      </c>
      <c r="AA380">
        <v>0.6151368760064413</v>
      </c>
      <c r="AB380">
        <v>0.2540192926045016</v>
      </c>
      <c r="AC380">
        <v>0.8215434083601286</v>
      </c>
      <c r="AD380">
        <v>0.887459807073955</v>
      </c>
    </row>
    <row r="381" spans="1:30">
      <c r="A381" s="1" t="s">
        <v>388</v>
      </c>
      <c r="B381">
        <f>HYPERLINK("https://www.suredividend.com/sure-analysis-NRZ/","New Residential Investment Corp.")</f>
        <v>0</v>
      </c>
      <c r="C381">
        <v>8.359999999999999</v>
      </c>
      <c r="D381">
        <v>3488.10055</v>
      </c>
      <c r="E381" t="s">
        <v>659</v>
      </c>
      <c r="F381" t="s">
        <v>633</v>
      </c>
      <c r="G381" t="s">
        <v>671</v>
      </c>
      <c r="H381" t="s">
        <v>702</v>
      </c>
      <c r="I381" t="s">
        <v>1081</v>
      </c>
      <c r="J381" t="s">
        <v>1322</v>
      </c>
      <c r="K381">
        <v>44041</v>
      </c>
      <c r="L381">
        <v>0.137067938021454</v>
      </c>
      <c r="M381">
        <v>0.05642162229904302</v>
      </c>
      <c r="N381">
        <v>0.024</v>
      </c>
      <c r="O381">
        <v>0.1233156758137486</v>
      </c>
      <c r="P381" t="s">
        <v>420</v>
      </c>
      <c r="Q381" t="s">
        <v>636</v>
      </c>
      <c r="R381">
        <v>0</v>
      </c>
      <c r="S381">
        <v>0.8214285714285714</v>
      </c>
      <c r="T381">
        <v>11</v>
      </c>
      <c r="U381">
        <v>0.7599999999999999</v>
      </c>
      <c r="V381">
        <v>-2.8267</v>
      </c>
      <c r="W381">
        <v>1.4</v>
      </c>
      <c r="X381">
        <v>1.15</v>
      </c>
      <c r="Y381">
        <v>-0.472168</v>
      </c>
      <c r="Z381">
        <v>0.9485903814262023</v>
      </c>
      <c r="AA381">
        <v>0.08373590982286634</v>
      </c>
      <c r="AB381">
        <v>0.1945337620578778</v>
      </c>
      <c r="AC381">
        <v>0.927652733118971</v>
      </c>
      <c r="AD381">
        <v>0.8778135048231512</v>
      </c>
    </row>
    <row r="382" spans="1:30">
      <c r="A382" s="1" t="s">
        <v>389</v>
      </c>
      <c r="B382">
        <f>HYPERLINK("https://www.suredividend.com/sure-analysis-IPPLF/","Inter Pipeline Ltd.")</f>
        <v>0</v>
      </c>
      <c r="C382">
        <v>10.5</v>
      </c>
      <c r="D382">
        <v>4506.6</v>
      </c>
      <c r="E382" t="s">
        <v>669</v>
      </c>
      <c r="F382" t="s">
        <v>631</v>
      </c>
      <c r="G382" t="s">
        <v>672</v>
      </c>
      <c r="H382" t="s">
        <v>700</v>
      </c>
      <c r="I382" t="s">
        <v>1082</v>
      </c>
      <c r="J382" t="s">
        <v>1317</v>
      </c>
      <c r="K382">
        <v>43979</v>
      </c>
      <c r="L382">
        <v>0.100192480334588</v>
      </c>
      <c r="M382">
        <v>0.05922384104881218</v>
      </c>
      <c r="N382">
        <v>0.03</v>
      </c>
      <c r="O382">
        <v>0.1171432793768563</v>
      </c>
      <c r="P382" t="s">
        <v>420</v>
      </c>
      <c r="Q382" t="s">
        <v>636</v>
      </c>
      <c r="R382">
        <v>0</v>
      </c>
      <c r="S382">
        <v>0.8218914402446719</v>
      </c>
      <c r="T382">
        <v>14</v>
      </c>
      <c r="U382">
        <v>0.75</v>
      </c>
      <c r="V382">
        <v>0.5897</v>
      </c>
      <c r="W382">
        <v>1.28</v>
      </c>
      <c r="X382">
        <v>1.05202104351318</v>
      </c>
      <c r="Y382">
        <v>-0.440822</v>
      </c>
      <c r="Z382">
        <v>0.8938640132669984</v>
      </c>
      <c r="AA382">
        <v>0.106280193236715</v>
      </c>
      <c r="AB382">
        <v>0.2540192926045016</v>
      </c>
      <c r="AC382">
        <v>0.9389067524115755</v>
      </c>
      <c r="AD382">
        <v>0.8569131832797428</v>
      </c>
    </row>
    <row r="383" spans="1:30">
      <c r="A383" s="1" t="s">
        <v>390</v>
      </c>
      <c r="B383">
        <f>HYPERLINK("https://www.suredividend.com/sure-analysis-HAS/","Hasbro, Inc.")</f>
        <v>0</v>
      </c>
      <c r="C383">
        <v>78.715</v>
      </c>
      <c r="D383">
        <v>10820.70631</v>
      </c>
      <c r="E383" t="s">
        <v>663</v>
      </c>
      <c r="F383" t="s">
        <v>631</v>
      </c>
      <c r="G383" t="s">
        <v>671</v>
      </c>
      <c r="H383" t="s">
        <v>701</v>
      </c>
      <c r="I383" t="s">
        <v>1083</v>
      </c>
      <c r="J383" t="s">
        <v>1313</v>
      </c>
      <c r="K383">
        <v>44045</v>
      </c>
      <c r="L383">
        <v>0.03444345954159801</v>
      </c>
      <c r="M383">
        <v>0.005739492173412852</v>
      </c>
      <c r="N383">
        <v>0.08</v>
      </c>
      <c r="O383">
        <v>0.1127834584634333</v>
      </c>
      <c r="P383" t="s">
        <v>420</v>
      </c>
      <c r="Q383" t="s">
        <v>420</v>
      </c>
      <c r="R383">
        <v>16</v>
      </c>
      <c r="S383">
        <v>0.8119402985074626</v>
      </c>
      <c r="T383">
        <v>81</v>
      </c>
      <c r="U383">
        <v>0.9717901234567902</v>
      </c>
      <c r="V383">
        <v>2.9466</v>
      </c>
      <c r="W383">
        <v>3.35</v>
      </c>
      <c r="X383">
        <v>2.72</v>
      </c>
      <c r="Y383">
        <v>-0.341992</v>
      </c>
      <c r="Z383">
        <v>0.494195688225539</v>
      </c>
      <c r="AA383">
        <v>0.180354267310789</v>
      </c>
      <c r="AB383">
        <v>0.8135048231511255</v>
      </c>
      <c r="AC383">
        <v>0.6848874598070739</v>
      </c>
      <c r="AD383">
        <v>0.8456591639871383</v>
      </c>
    </row>
    <row r="384" spans="1:30">
      <c r="A384" s="1" t="s">
        <v>391</v>
      </c>
      <c r="B384">
        <f>HYPERLINK("https://www.suredividend.com/sure-analysis-MGP/","MGM Growth Properties LLC")</f>
        <v>0</v>
      </c>
      <c r="C384">
        <v>28.58</v>
      </c>
      <c r="D384">
        <v>3766.185779</v>
      </c>
      <c r="E384" t="s">
        <v>668</v>
      </c>
      <c r="F384" t="s">
        <v>633</v>
      </c>
      <c r="G384" t="s">
        <v>671</v>
      </c>
      <c r="H384" t="s">
        <v>702</v>
      </c>
      <c r="I384" t="s">
        <v>1084</v>
      </c>
      <c r="J384" t="s">
        <v>1322</v>
      </c>
      <c r="K384">
        <v>43993</v>
      </c>
      <c r="L384">
        <v>0.06640488656195401</v>
      </c>
      <c r="M384">
        <v>0.04136065253873911</v>
      </c>
      <c r="N384">
        <v>0.02</v>
      </c>
      <c r="O384">
        <v>0.1126419583858742</v>
      </c>
      <c r="P384" t="s">
        <v>420</v>
      </c>
      <c r="Q384" t="s">
        <v>381</v>
      </c>
      <c r="R384">
        <v>3</v>
      </c>
      <c r="S384">
        <v>0.8130341880341881</v>
      </c>
      <c r="T384">
        <v>35</v>
      </c>
      <c r="U384">
        <v>0.8165714285714285</v>
      </c>
      <c r="V384">
        <v>0.3999</v>
      </c>
      <c r="W384">
        <v>2.34</v>
      </c>
      <c r="X384">
        <v>1.9025</v>
      </c>
      <c r="Y384">
        <v>-0.040136</v>
      </c>
      <c r="Z384">
        <v>0.7927031509121062</v>
      </c>
      <c r="AA384">
        <v>0.5764895330112721</v>
      </c>
      <c r="AB384">
        <v>0.157556270096463</v>
      </c>
      <c r="AC384">
        <v>0.8649517684887459</v>
      </c>
      <c r="AD384">
        <v>0.8440514469453376</v>
      </c>
    </row>
    <row r="385" spans="1:30">
      <c r="A385" s="1" t="s">
        <v>392</v>
      </c>
      <c r="B385">
        <f>HYPERLINK("https://www.suredividend.com/sure-analysis-TAP/","Molson Coors Beverage Co.")</f>
        <v>0</v>
      </c>
      <c r="C385">
        <v>38.21</v>
      </c>
      <c r="D385">
        <v>8210.226592999999</v>
      </c>
      <c r="E385" t="s">
        <v>661</v>
      </c>
      <c r="F385" t="s">
        <v>631</v>
      </c>
      <c r="G385" t="s">
        <v>671</v>
      </c>
      <c r="H385" t="s">
        <v>702</v>
      </c>
      <c r="I385" t="s">
        <v>1085</v>
      </c>
      <c r="J385" t="s">
        <v>1320</v>
      </c>
      <c r="K385">
        <v>44049</v>
      </c>
      <c r="L385">
        <v>0.045118733509234</v>
      </c>
      <c r="M385">
        <v>0.03780595600790826</v>
      </c>
      <c r="N385">
        <v>0.05</v>
      </c>
      <c r="O385">
        <v>0.1111110470945216</v>
      </c>
      <c r="P385" t="s">
        <v>420</v>
      </c>
      <c r="Q385" t="s">
        <v>381</v>
      </c>
      <c r="R385">
        <v>0</v>
      </c>
      <c r="S385">
        <v>0.5181818181818182</v>
      </c>
      <c r="T385">
        <v>46</v>
      </c>
      <c r="U385">
        <v>0.8306521739130435</v>
      </c>
      <c r="V385">
        <v>-0.7451</v>
      </c>
      <c r="W385">
        <v>3.3</v>
      </c>
      <c r="X385">
        <v>1.71</v>
      </c>
      <c r="Y385">
        <v>-0.293058</v>
      </c>
      <c r="Z385">
        <v>0.6384742951907131</v>
      </c>
      <c r="AA385">
        <v>0.2431561996779388</v>
      </c>
      <c r="AB385">
        <v>0.5168810289389068</v>
      </c>
      <c r="AC385">
        <v>0.8472668810289389</v>
      </c>
      <c r="AD385">
        <v>0.8360128617363344</v>
      </c>
    </row>
    <row r="386" spans="1:30">
      <c r="A386" s="1" t="s">
        <v>393</v>
      </c>
      <c r="B386">
        <f>HYPERLINK("https://www.suredividend.com/sure-analysis-MDP/","Meredith Corp.")</f>
        <v>0</v>
      </c>
      <c r="C386">
        <v>16.68</v>
      </c>
      <c r="D386">
        <v>729.859301</v>
      </c>
      <c r="E386" t="s">
        <v>665</v>
      </c>
      <c r="F386" t="s">
        <v>631</v>
      </c>
      <c r="G386" t="s">
        <v>671</v>
      </c>
      <c r="H386" t="s">
        <v>702</v>
      </c>
      <c r="I386" t="s">
        <v>1086</v>
      </c>
      <c r="J386" t="s">
        <v>1319</v>
      </c>
      <c r="K386">
        <v>43968</v>
      </c>
      <c r="L386">
        <v>0.144278606965174</v>
      </c>
      <c r="M386">
        <v>0.06636616784214366</v>
      </c>
      <c r="N386">
        <v>0.015</v>
      </c>
      <c r="O386">
        <v>0.1076258264975549</v>
      </c>
      <c r="P386" t="s">
        <v>420</v>
      </c>
      <c r="Q386" t="s">
        <v>635</v>
      </c>
      <c r="R386">
        <v>0</v>
      </c>
      <c r="S386">
        <v>0.6186666666666666</v>
      </c>
      <c r="T386">
        <v>23</v>
      </c>
      <c r="U386">
        <v>0.7252173913043478</v>
      </c>
      <c r="V386">
        <v>-7.5414</v>
      </c>
      <c r="W386">
        <v>3.75</v>
      </c>
      <c r="X386">
        <v>2.32</v>
      </c>
      <c r="Y386">
        <v>-0.68579</v>
      </c>
      <c r="Z386">
        <v>0.955223880597015</v>
      </c>
      <c r="AA386">
        <v>0.0177133655394525</v>
      </c>
      <c r="AB386">
        <v>0.1101286173633441</v>
      </c>
      <c r="AC386">
        <v>0.9485530546623794</v>
      </c>
      <c r="AD386">
        <v>0.8183279742765274</v>
      </c>
    </row>
    <row r="387" spans="1:30">
      <c r="A387" s="1" t="s">
        <v>394</v>
      </c>
      <c r="B387">
        <f>HYPERLINK("https://www.suredividend.com/sure-analysis-BXP/","Boston Properties, Inc.")</f>
        <v>0</v>
      </c>
      <c r="C387">
        <v>89.95999999999999</v>
      </c>
      <c r="D387">
        <v>14153.8209</v>
      </c>
      <c r="E387" t="s">
        <v>666</v>
      </c>
      <c r="F387" t="s">
        <v>633</v>
      </c>
      <c r="G387" t="s">
        <v>671</v>
      </c>
      <c r="H387" t="s">
        <v>702</v>
      </c>
      <c r="I387" t="s">
        <v>1087</v>
      </c>
      <c r="J387" t="s">
        <v>1322</v>
      </c>
      <c r="K387">
        <v>43958</v>
      </c>
      <c r="L387">
        <v>0.042770753161077</v>
      </c>
      <c r="M387">
        <v>0.0448013261662823</v>
      </c>
      <c r="N387">
        <v>0.027</v>
      </c>
      <c r="O387">
        <v>0.1049262247620892</v>
      </c>
      <c r="P387" t="s">
        <v>420</v>
      </c>
      <c r="Q387" t="s">
        <v>381</v>
      </c>
      <c r="R387">
        <v>9</v>
      </c>
      <c r="S387">
        <v>0.5557142857142857</v>
      </c>
      <c r="T387">
        <v>112</v>
      </c>
      <c r="U387">
        <v>0.8032142857142857</v>
      </c>
      <c r="V387">
        <v>6.5265</v>
      </c>
      <c r="W387">
        <v>7</v>
      </c>
      <c r="X387">
        <v>3.89</v>
      </c>
      <c r="Y387">
        <v>-0.312147</v>
      </c>
      <c r="Z387">
        <v>0.6169154228855721</v>
      </c>
      <c r="AA387">
        <v>0.2254428341384863</v>
      </c>
      <c r="AB387">
        <v>0.2017684887459807</v>
      </c>
      <c r="AC387">
        <v>0.8745980707395498</v>
      </c>
      <c r="AD387">
        <v>0.8070739549839229</v>
      </c>
    </row>
    <row r="388" spans="1:30">
      <c r="A388" s="1" t="s">
        <v>395</v>
      </c>
      <c r="B388">
        <f>HYPERLINK("https://www.suredividend.com/sure-analysis-IRM/","Iron Mountain, Inc.")</f>
        <v>0</v>
      </c>
      <c r="C388">
        <v>29.56</v>
      </c>
      <c r="D388">
        <v>8572.403</v>
      </c>
      <c r="E388" t="s">
        <v>659</v>
      </c>
      <c r="F388" t="s">
        <v>633</v>
      </c>
      <c r="G388" t="s">
        <v>671</v>
      </c>
      <c r="H388" t="s">
        <v>702</v>
      </c>
      <c r="I388" t="s">
        <v>1088</v>
      </c>
      <c r="J388" t="s">
        <v>1322</v>
      </c>
      <c r="K388">
        <v>43962</v>
      </c>
      <c r="L388">
        <v>0.08290756302521</v>
      </c>
      <c r="M388">
        <v>0.009558414297915929</v>
      </c>
      <c r="N388">
        <v>0.03</v>
      </c>
      <c r="O388">
        <v>0.104892438080781</v>
      </c>
      <c r="P388" t="s">
        <v>420</v>
      </c>
      <c r="Q388" t="s">
        <v>636</v>
      </c>
      <c r="R388">
        <v>10</v>
      </c>
      <c r="S388">
        <v>0.8361016949152542</v>
      </c>
      <c r="T388">
        <v>31</v>
      </c>
      <c r="U388">
        <v>0.9535483870967741</v>
      </c>
      <c r="V388">
        <v>0.7039000000000001</v>
      </c>
      <c r="W388">
        <v>2.95</v>
      </c>
      <c r="X388">
        <v>2.4665</v>
      </c>
      <c r="Y388">
        <v>-0.05669399999999999</v>
      </c>
      <c r="Z388">
        <v>0.8606965174129353</v>
      </c>
      <c r="AA388">
        <v>0.5555555555555556</v>
      </c>
      <c r="AB388">
        <v>0.2540192926045016</v>
      </c>
      <c r="AC388">
        <v>0.7073954983922829</v>
      </c>
      <c r="AD388">
        <v>0.8054662379421222</v>
      </c>
    </row>
    <row r="389" spans="1:30">
      <c r="A389" s="1" t="s">
        <v>396</v>
      </c>
      <c r="B389">
        <f>HYPERLINK("https://www.suredividend.com/sure-analysis-OHI/","Omega Healthcare Investors, Inc.")</f>
        <v>0</v>
      </c>
      <c r="C389">
        <v>32.61</v>
      </c>
      <c r="D389">
        <v>7571.71974</v>
      </c>
      <c r="E389" t="s">
        <v>663</v>
      </c>
      <c r="F389" t="s">
        <v>633</v>
      </c>
      <c r="G389" t="s">
        <v>671</v>
      </c>
      <c r="H389" t="s">
        <v>702</v>
      </c>
      <c r="I389" t="s">
        <v>1089</v>
      </c>
      <c r="J389" t="s">
        <v>1322</v>
      </c>
      <c r="K389">
        <v>44052</v>
      </c>
      <c r="L389">
        <v>0.08031165717710501</v>
      </c>
      <c r="M389">
        <v>0.01997690994484502</v>
      </c>
      <c r="N389">
        <v>0.02</v>
      </c>
      <c r="O389">
        <v>0.1043444013281791</v>
      </c>
      <c r="P389" t="s">
        <v>420</v>
      </c>
      <c r="Q389" t="s">
        <v>636</v>
      </c>
      <c r="R389">
        <v>17</v>
      </c>
      <c r="S389">
        <v>0.8933333333333334</v>
      </c>
      <c r="T389">
        <v>36</v>
      </c>
      <c r="U389">
        <v>0.9058333333333333</v>
      </c>
      <c r="V389">
        <v>1.7403</v>
      </c>
      <c r="W389">
        <v>3</v>
      </c>
      <c r="X389">
        <v>2.68</v>
      </c>
      <c r="Y389">
        <v>-0.13434</v>
      </c>
      <c r="Z389">
        <v>0.8490878938640133</v>
      </c>
      <c r="AA389">
        <v>0.4363929146537842</v>
      </c>
      <c r="AB389">
        <v>0.157556270096463</v>
      </c>
      <c r="AC389">
        <v>0.7604501607717041</v>
      </c>
      <c r="AD389">
        <v>0.8038585209003216</v>
      </c>
    </row>
    <row r="390" spans="1:30">
      <c r="A390" s="1" t="s">
        <v>397</v>
      </c>
      <c r="B390">
        <f>HYPERLINK("https://www.suredividend.com/sure-analysis-LTC/","LTC Properties, Inc.")</f>
        <v>0</v>
      </c>
      <c r="C390">
        <v>38.24</v>
      </c>
      <c r="D390">
        <v>1519.084917</v>
      </c>
      <c r="E390" t="s">
        <v>662</v>
      </c>
      <c r="F390" t="s">
        <v>633</v>
      </c>
      <c r="G390" t="s">
        <v>671</v>
      </c>
      <c r="H390" t="s">
        <v>702</v>
      </c>
      <c r="I390" t="s">
        <v>1090</v>
      </c>
      <c r="J390" t="s">
        <v>1322</v>
      </c>
      <c r="K390">
        <v>43973</v>
      </c>
      <c r="L390">
        <v>0.058899509170756</v>
      </c>
      <c r="M390">
        <v>0.02845894210820799</v>
      </c>
      <c r="N390">
        <v>0.03</v>
      </c>
      <c r="O390">
        <v>0.1041822373646804</v>
      </c>
      <c r="P390" t="s">
        <v>420</v>
      </c>
      <c r="Q390" t="s">
        <v>381</v>
      </c>
      <c r="R390">
        <v>0</v>
      </c>
      <c r="S390">
        <v>0.7862068965517243</v>
      </c>
      <c r="T390">
        <v>44</v>
      </c>
      <c r="U390">
        <v>0.8690909090909091</v>
      </c>
      <c r="V390">
        <v>2.6467</v>
      </c>
      <c r="W390">
        <v>2.9</v>
      </c>
      <c r="X390">
        <v>2.28</v>
      </c>
      <c r="Y390">
        <v>-0.181509</v>
      </c>
      <c r="Z390">
        <v>0.746268656716418</v>
      </c>
      <c r="AA390">
        <v>0.3784219001610306</v>
      </c>
      <c r="AB390">
        <v>0.2540192926045016</v>
      </c>
      <c r="AC390">
        <v>0.8038585209003216</v>
      </c>
      <c r="AD390">
        <v>0.802250803858521</v>
      </c>
    </row>
    <row r="391" spans="1:30">
      <c r="A391" s="1" t="s">
        <v>398</v>
      </c>
      <c r="B391">
        <f>HYPERLINK("https://www.suredividend.com/sure-analysis-STWD/","Starwood Property Trust, Inc.")</f>
        <v>0</v>
      </c>
      <c r="C391">
        <v>16.4</v>
      </c>
      <c r="D391">
        <v>4551.312</v>
      </c>
      <c r="E391" t="s">
        <v>666</v>
      </c>
      <c r="F391" t="s">
        <v>633</v>
      </c>
      <c r="G391" t="s">
        <v>671</v>
      </c>
      <c r="H391" t="s">
        <v>702</v>
      </c>
      <c r="I391" t="s">
        <v>1091</v>
      </c>
      <c r="J391" t="s">
        <v>1322</v>
      </c>
      <c r="K391">
        <v>44013</v>
      </c>
      <c r="L391">
        <v>0.12</v>
      </c>
      <c r="M391">
        <v>-0.00492634806525849</v>
      </c>
      <c r="N391">
        <v>0.014</v>
      </c>
      <c r="O391">
        <v>0.1028129038164523</v>
      </c>
      <c r="P391" t="s">
        <v>420</v>
      </c>
      <c r="Q391" t="s">
        <v>636</v>
      </c>
      <c r="R391">
        <v>0</v>
      </c>
      <c r="S391">
        <v>1.054945054945055</v>
      </c>
      <c r="T391">
        <v>16</v>
      </c>
      <c r="U391">
        <v>1.025</v>
      </c>
      <c r="V391">
        <v>1.3524</v>
      </c>
      <c r="W391">
        <v>1.82</v>
      </c>
      <c r="X391">
        <v>1.92</v>
      </c>
      <c r="Y391">
        <v>-0.339789</v>
      </c>
      <c r="Z391">
        <v>0.9303482587064678</v>
      </c>
      <c r="AA391">
        <v>0.1851851851851852</v>
      </c>
      <c r="AB391">
        <v>0.1045016077170418</v>
      </c>
      <c r="AC391">
        <v>0.6302250803858521</v>
      </c>
      <c r="AD391">
        <v>0.7958199356913184</v>
      </c>
    </row>
    <row r="392" spans="1:30">
      <c r="A392" s="1" t="s">
        <v>399</v>
      </c>
      <c r="B392">
        <f>HYPERLINK("https://www.suredividend.com/sure-analysis-PSEC/","Prospect Capital Corp.")</f>
        <v>0</v>
      </c>
      <c r="C392">
        <v>5.165</v>
      </c>
      <c r="D392">
        <v>1925.05815</v>
      </c>
      <c r="E392" t="s">
        <v>663</v>
      </c>
      <c r="F392" t="s">
        <v>634</v>
      </c>
      <c r="G392" t="s">
        <v>671</v>
      </c>
      <c r="H392" t="s">
        <v>701</v>
      </c>
      <c r="I392" t="s">
        <v>1092</v>
      </c>
      <c r="J392" t="s">
        <v>1312</v>
      </c>
      <c r="K392">
        <v>43963</v>
      </c>
      <c r="L392">
        <v>0.140350877192982</v>
      </c>
      <c r="M392">
        <v>-0.014550933800071</v>
      </c>
      <c r="N392">
        <v>0</v>
      </c>
      <c r="O392">
        <v>0.1021527587238342</v>
      </c>
      <c r="P392" t="s">
        <v>420</v>
      </c>
      <c r="Q392" t="s">
        <v>636</v>
      </c>
      <c r="R392">
        <v>0</v>
      </c>
      <c r="S392">
        <v>1.058823529411764</v>
      </c>
      <c r="T392">
        <v>4.8</v>
      </c>
      <c r="U392">
        <v>1.076041666666667</v>
      </c>
      <c r="V392">
        <v>-0.3804</v>
      </c>
      <c r="W392">
        <v>0.68</v>
      </c>
      <c r="X392">
        <v>0.72</v>
      </c>
      <c r="Y392">
        <v>-0.231818</v>
      </c>
      <c r="Z392">
        <v>0.9510779436152571</v>
      </c>
      <c r="AA392">
        <v>0.3075684380032206</v>
      </c>
      <c r="AB392">
        <v>0.04662379421221865</v>
      </c>
      <c r="AC392">
        <v>0.5594855305466238</v>
      </c>
      <c r="AD392">
        <v>0.7909967845659164</v>
      </c>
    </row>
    <row r="393" spans="1:30">
      <c r="A393" s="1" t="s">
        <v>400</v>
      </c>
      <c r="B393">
        <f>HYPERLINK("https://www.suredividend.com/sure-analysis-TS/","Tenaris SA")</f>
        <v>0</v>
      </c>
      <c r="C393">
        <v>12.36</v>
      </c>
      <c r="D393">
        <v>7183.5859</v>
      </c>
      <c r="E393" t="s">
        <v>663</v>
      </c>
      <c r="F393" t="s">
        <v>631</v>
      </c>
      <c r="G393" t="s">
        <v>695</v>
      </c>
      <c r="H393" t="s">
        <v>702</v>
      </c>
      <c r="I393" t="s">
        <v>1093</v>
      </c>
      <c r="J393" t="s">
        <v>1317</v>
      </c>
      <c r="K393">
        <v>43951</v>
      </c>
      <c r="L393">
        <v>0.021364009860312</v>
      </c>
      <c r="M393">
        <v>0.02523143312346732</v>
      </c>
      <c r="N393">
        <v>0.06</v>
      </c>
      <c r="O393">
        <v>0.1003231306169137</v>
      </c>
      <c r="P393" t="s">
        <v>420</v>
      </c>
      <c r="Q393" t="s">
        <v>596</v>
      </c>
      <c r="R393">
        <v>0</v>
      </c>
      <c r="S393">
        <v>0.65</v>
      </c>
      <c r="T393">
        <v>14</v>
      </c>
      <c r="U393">
        <v>0.8828571428571428</v>
      </c>
      <c r="V393">
        <v>-0.7624000000000001</v>
      </c>
      <c r="W393">
        <v>0.4</v>
      </c>
      <c r="X393">
        <v>0.26</v>
      </c>
      <c r="Y393">
        <v>-0.479741</v>
      </c>
      <c r="Z393">
        <v>0.2918739635157546</v>
      </c>
      <c r="AA393">
        <v>0.07729468599033816</v>
      </c>
      <c r="AB393">
        <v>0.6430868167202572</v>
      </c>
      <c r="AC393">
        <v>0.7893890675241156</v>
      </c>
      <c r="AD393">
        <v>0.7829581993569131</v>
      </c>
    </row>
    <row r="394" spans="1:30">
      <c r="A394" s="1" t="s">
        <v>401</v>
      </c>
      <c r="B394">
        <f>HYPERLINK("https://www.suredividend.com/sure-analysis-STX/","Seagate Technology Plc")</f>
        <v>0</v>
      </c>
      <c r="C394">
        <v>45.805</v>
      </c>
      <c r="D394">
        <v>11822.71375</v>
      </c>
      <c r="E394" t="s">
        <v>659</v>
      </c>
      <c r="F394" t="s">
        <v>631</v>
      </c>
      <c r="G394" t="s">
        <v>674</v>
      </c>
      <c r="H394" t="s">
        <v>701</v>
      </c>
      <c r="I394" t="s">
        <v>1094</v>
      </c>
      <c r="J394" t="s">
        <v>1318</v>
      </c>
      <c r="K394">
        <v>44052</v>
      </c>
      <c r="L394">
        <v>0.05600173648795301</v>
      </c>
      <c r="M394">
        <v>0.01357674676628462</v>
      </c>
      <c r="N394">
        <v>0.04</v>
      </c>
      <c r="O394">
        <v>0.09955191315849166</v>
      </c>
      <c r="P394" t="s">
        <v>420</v>
      </c>
      <c r="Q394" t="s">
        <v>636</v>
      </c>
      <c r="R394">
        <v>1</v>
      </c>
      <c r="S394">
        <v>0.5265306122448979</v>
      </c>
      <c r="T394">
        <v>49</v>
      </c>
      <c r="U394">
        <v>0.9347959183673469</v>
      </c>
      <c r="V394">
        <v>3.8376</v>
      </c>
      <c r="W394">
        <v>4.9</v>
      </c>
      <c r="X394">
        <v>2.58</v>
      </c>
      <c r="Y394">
        <v>0.003766</v>
      </c>
      <c r="Z394">
        <v>0.724709784411277</v>
      </c>
      <c r="AA394">
        <v>0.6376811594202898</v>
      </c>
      <c r="AB394">
        <v>0.3858520900321543</v>
      </c>
      <c r="AC394">
        <v>0.7266881028938907</v>
      </c>
      <c r="AD394">
        <v>0.7813504823151125</v>
      </c>
    </row>
    <row r="395" spans="1:30">
      <c r="A395" s="1" t="s">
        <v>402</v>
      </c>
      <c r="B395">
        <f>HYPERLINK("https://www.suredividend.com/sure-analysis-WMB/","The Williams Cos., Inc.")</f>
        <v>0</v>
      </c>
      <c r="C395">
        <v>21.42</v>
      </c>
      <c r="D395">
        <v>26132.328</v>
      </c>
      <c r="E395" t="s">
        <v>662</v>
      </c>
      <c r="F395" t="s">
        <v>631</v>
      </c>
      <c r="G395" t="s">
        <v>671</v>
      </c>
      <c r="H395" t="s">
        <v>702</v>
      </c>
      <c r="I395" t="s">
        <v>1095</v>
      </c>
      <c r="J395" t="s">
        <v>1317</v>
      </c>
      <c r="K395">
        <v>43966</v>
      </c>
      <c r="L395">
        <v>0.07242339832869001</v>
      </c>
      <c r="M395">
        <v>-0.01362488770335446</v>
      </c>
      <c r="N395">
        <v>0.05</v>
      </c>
      <c r="O395">
        <v>0.09941199011802393</v>
      </c>
      <c r="P395" t="s">
        <v>420</v>
      </c>
      <c r="Q395" t="s">
        <v>636</v>
      </c>
      <c r="R395">
        <v>3</v>
      </c>
      <c r="S395">
        <v>0.5842696629213483</v>
      </c>
      <c r="T395">
        <v>20</v>
      </c>
      <c r="U395">
        <v>1.071</v>
      </c>
      <c r="V395">
        <v>0.1056</v>
      </c>
      <c r="W395">
        <v>2.67</v>
      </c>
      <c r="X395">
        <v>1.56</v>
      </c>
      <c r="Y395">
        <v>-0.132335</v>
      </c>
      <c r="Z395">
        <v>0.8258706467661692</v>
      </c>
      <c r="AA395">
        <v>0.4396135265700483</v>
      </c>
      <c r="AB395">
        <v>0.5168810289389068</v>
      </c>
      <c r="AC395">
        <v>0.5691318327974276</v>
      </c>
      <c r="AD395">
        <v>0.7797427652733119</v>
      </c>
    </row>
    <row r="396" spans="1:30">
      <c r="A396" s="1" t="s">
        <v>403</v>
      </c>
      <c r="B396">
        <f>HYPERLINK("https://www.suredividend.com/sure-analysis-GLAD/","Gladstone Capital Corp.")</f>
        <v>0</v>
      </c>
      <c r="C396">
        <v>7.56</v>
      </c>
      <c r="D396">
        <v>237.999538</v>
      </c>
      <c r="E396" t="s">
        <v>663</v>
      </c>
      <c r="F396" t="s">
        <v>631</v>
      </c>
      <c r="G396" t="s">
        <v>671</v>
      </c>
      <c r="H396" t="s">
        <v>701</v>
      </c>
      <c r="I396" t="s">
        <v>1096</v>
      </c>
      <c r="J396" t="s">
        <v>1312</v>
      </c>
      <c r="K396">
        <v>44052</v>
      </c>
      <c r="L396">
        <v>0.107470511140235</v>
      </c>
      <c r="M396">
        <v>0.01638538463073425</v>
      </c>
      <c r="N396">
        <v>0</v>
      </c>
      <c r="O396">
        <v>0.09863318981801528</v>
      </c>
      <c r="P396" t="s">
        <v>420</v>
      </c>
      <c r="Q396" t="s">
        <v>636</v>
      </c>
      <c r="R396">
        <v>0</v>
      </c>
      <c r="S396">
        <v>1</v>
      </c>
      <c r="T396">
        <v>8.199999999999999</v>
      </c>
      <c r="U396">
        <v>0.9219512195121953</v>
      </c>
      <c r="V396">
        <v>-0.2118</v>
      </c>
      <c r="W396">
        <v>0.82</v>
      </c>
      <c r="X396">
        <v>0.8200000000000001</v>
      </c>
      <c r="Y396">
        <v>-0.187234</v>
      </c>
      <c r="Z396">
        <v>0.9154228855721394</v>
      </c>
      <c r="AA396">
        <v>0.3735909822866345</v>
      </c>
      <c r="AB396">
        <v>0.04662379421221865</v>
      </c>
      <c r="AC396">
        <v>0.7491961414790996</v>
      </c>
      <c r="AD396">
        <v>0.7733118971061093</v>
      </c>
    </row>
    <row r="397" spans="1:30">
      <c r="A397" s="1" t="s">
        <v>404</v>
      </c>
      <c r="B397">
        <f>HYPERLINK("https://www.suredividend.com/sure-analysis-USB/","U.S. Bancorp")</f>
        <v>0</v>
      </c>
      <c r="C397">
        <v>38.27</v>
      </c>
      <c r="D397">
        <v>56440.6863</v>
      </c>
      <c r="E397" t="s">
        <v>663</v>
      </c>
      <c r="F397" t="s">
        <v>631</v>
      </c>
      <c r="G397" t="s">
        <v>671</v>
      </c>
      <c r="H397" t="s">
        <v>702</v>
      </c>
      <c r="I397" t="s">
        <v>1097</v>
      </c>
      <c r="J397" t="s">
        <v>1312</v>
      </c>
      <c r="K397">
        <v>44028</v>
      </c>
      <c r="L397">
        <v>0.044835868694955</v>
      </c>
      <c r="M397">
        <v>0.008881842488741132</v>
      </c>
      <c r="N397">
        <v>0.05</v>
      </c>
      <c r="O397">
        <v>0.0980676353469867</v>
      </c>
      <c r="P397" t="s">
        <v>420</v>
      </c>
      <c r="Q397" t="s">
        <v>381</v>
      </c>
      <c r="R397">
        <v>10</v>
      </c>
      <c r="S397">
        <v>0.7000000000000001</v>
      </c>
      <c r="T397">
        <v>40</v>
      </c>
      <c r="U397">
        <v>0.9567500000000001</v>
      </c>
      <c r="V397">
        <v>3.1855</v>
      </c>
      <c r="W397">
        <v>2.4</v>
      </c>
      <c r="X397">
        <v>1.68</v>
      </c>
      <c r="Y397">
        <v>-0.292674</v>
      </c>
      <c r="Z397">
        <v>0.6368159203980099</v>
      </c>
      <c r="AA397">
        <v>0.2447665056360708</v>
      </c>
      <c r="AB397">
        <v>0.5168810289389068</v>
      </c>
      <c r="AC397">
        <v>0.7041800643086816</v>
      </c>
      <c r="AD397">
        <v>0.7684887459807074</v>
      </c>
    </row>
    <row r="398" spans="1:30">
      <c r="A398" s="1" t="s">
        <v>405</v>
      </c>
      <c r="B398">
        <f>HYPERLINK("https://www.suredividend.com/sure-analysis-STOR/","STORE Capital Corp.")</f>
        <v>0</v>
      </c>
      <c r="C398">
        <v>25.57</v>
      </c>
      <c r="D398">
        <v>6478.02864</v>
      </c>
      <c r="E398" t="s">
        <v>666</v>
      </c>
      <c r="F398" t="s">
        <v>633</v>
      </c>
      <c r="G398" t="s">
        <v>671</v>
      </c>
      <c r="H398" t="s">
        <v>702</v>
      </c>
      <c r="I398" t="s">
        <v>1098</v>
      </c>
      <c r="J398" t="s">
        <v>1322</v>
      </c>
      <c r="K398">
        <v>44012</v>
      </c>
      <c r="L398">
        <v>0.05477308294209701</v>
      </c>
      <c r="M398">
        <v>0.0183227836776334</v>
      </c>
      <c r="N398">
        <v>0.035</v>
      </c>
      <c r="O398">
        <v>0.09785582616888555</v>
      </c>
      <c r="P398" t="s">
        <v>420</v>
      </c>
      <c r="Q398" t="s">
        <v>381</v>
      </c>
      <c r="R398">
        <v>5</v>
      </c>
      <c r="S398">
        <v>0.7567567567567567</v>
      </c>
      <c r="T398">
        <v>28</v>
      </c>
      <c r="U398">
        <v>0.9132142857142858</v>
      </c>
      <c r="V398">
        <v>1.1525</v>
      </c>
      <c r="W398">
        <v>1.85</v>
      </c>
      <c r="X398">
        <v>1.4</v>
      </c>
      <c r="Y398">
        <v>-0.279076</v>
      </c>
      <c r="Z398">
        <v>0.7197346600331674</v>
      </c>
      <c r="AA398">
        <v>0.2673107890499195</v>
      </c>
      <c r="AB398">
        <v>0.3183279742765273</v>
      </c>
      <c r="AC398">
        <v>0.7556270096463023</v>
      </c>
      <c r="AD398">
        <v>0.7652733118971061</v>
      </c>
    </row>
    <row r="399" spans="1:30">
      <c r="A399" s="1" t="s">
        <v>406</v>
      </c>
      <c r="B399">
        <f>HYPERLINK("https://www.suredividend.com/sure-analysis-OUT/","OUTFRONT Media, Inc.")</f>
        <v>0</v>
      </c>
      <c r="C399">
        <v>15.95</v>
      </c>
      <c r="D399">
        <v>2218.1376</v>
      </c>
      <c r="E399" t="s">
        <v>659</v>
      </c>
      <c r="F399" t="s">
        <v>631</v>
      </c>
      <c r="G399" t="s">
        <v>671</v>
      </c>
      <c r="H399" t="s">
        <v>702</v>
      </c>
      <c r="I399" t="s">
        <v>1099</v>
      </c>
      <c r="J399" t="s">
        <v>1322</v>
      </c>
      <c r="K399">
        <v>44029</v>
      </c>
      <c r="L399">
        <v>0.07161458333333301</v>
      </c>
      <c r="M399">
        <v>0.04629430548564639</v>
      </c>
      <c r="N399">
        <v>0.01</v>
      </c>
      <c r="O399">
        <v>0.09700819930862004</v>
      </c>
      <c r="P399" t="s">
        <v>420</v>
      </c>
      <c r="Q399" t="s">
        <v>636</v>
      </c>
      <c r="R399">
        <v>0</v>
      </c>
      <c r="S399">
        <v>0.5789473684210527</v>
      </c>
      <c r="T399">
        <v>20</v>
      </c>
      <c r="U399">
        <v>0.7975</v>
      </c>
      <c r="V399">
        <v>0.1782</v>
      </c>
      <c r="W399">
        <v>1.9</v>
      </c>
      <c r="X399">
        <v>1.1</v>
      </c>
      <c r="Y399">
        <v>-0.456545</v>
      </c>
      <c r="Z399">
        <v>0.8225538971807629</v>
      </c>
      <c r="AA399">
        <v>0.09178743961352658</v>
      </c>
      <c r="AB399">
        <v>0.08601286173633441</v>
      </c>
      <c r="AC399">
        <v>0.8842443729903537</v>
      </c>
      <c r="AD399">
        <v>0.7604501607717041</v>
      </c>
    </row>
    <row r="400" spans="1:30">
      <c r="A400" s="1" t="s">
        <v>407</v>
      </c>
      <c r="B400">
        <f>HYPERLINK("https://www.suredividend.com/sure-analysis-UBS/","UBS Group AG")</f>
        <v>0</v>
      </c>
      <c r="C400">
        <v>12.32</v>
      </c>
      <c r="D400">
        <v>44050.615271</v>
      </c>
      <c r="E400" t="s">
        <v>662</v>
      </c>
      <c r="F400" t="s">
        <v>631</v>
      </c>
      <c r="G400" t="s">
        <v>675</v>
      </c>
      <c r="H400" t="s">
        <v>702</v>
      </c>
      <c r="I400" t="s">
        <v>1100</v>
      </c>
      <c r="J400" t="s">
        <v>1312</v>
      </c>
      <c r="K400">
        <v>43976</v>
      </c>
      <c r="L400">
        <v>0.04405537459283301</v>
      </c>
      <c r="M400">
        <v>0.04015032772751037</v>
      </c>
      <c r="N400">
        <v>0.01</v>
      </c>
      <c r="O400">
        <v>0.09657266787674046</v>
      </c>
      <c r="P400" t="s">
        <v>420</v>
      </c>
      <c r="Q400" t="s">
        <v>381</v>
      </c>
      <c r="R400">
        <v>3</v>
      </c>
      <c r="S400">
        <v>0.4918181818181818</v>
      </c>
      <c r="T400">
        <v>15</v>
      </c>
      <c r="U400">
        <v>0.8213333333333334</v>
      </c>
      <c r="V400">
        <v>1.2753</v>
      </c>
      <c r="W400">
        <v>1.1</v>
      </c>
      <c r="X400">
        <v>0.541</v>
      </c>
      <c r="Y400">
        <v>0.121435</v>
      </c>
      <c r="Z400">
        <v>0.6285240464344942</v>
      </c>
      <c r="AA400">
        <v>0.7681159420289855</v>
      </c>
      <c r="AB400">
        <v>0.08601286173633441</v>
      </c>
      <c r="AC400">
        <v>0.8553054662379421</v>
      </c>
      <c r="AD400">
        <v>0.7572347266881029</v>
      </c>
    </row>
    <row r="401" spans="1:30">
      <c r="A401" s="1" t="s">
        <v>408</v>
      </c>
      <c r="B401">
        <f>HYPERLINK("https://www.suredividend.com/sure-analysis-NLY/","Annaly Capital Management, Inc.")</f>
        <v>0</v>
      </c>
      <c r="C401">
        <v>7.58</v>
      </c>
      <c r="D401">
        <v>10605.4704</v>
      </c>
      <c r="E401" t="s">
        <v>666</v>
      </c>
      <c r="F401" t="s">
        <v>633</v>
      </c>
      <c r="G401" t="s">
        <v>671</v>
      </c>
      <c r="H401" t="s">
        <v>702</v>
      </c>
      <c r="I401" t="s">
        <v>1101</v>
      </c>
      <c r="J401" t="s">
        <v>1322</v>
      </c>
      <c r="K401">
        <v>44012</v>
      </c>
      <c r="L401">
        <v>0.128306878306878</v>
      </c>
      <c r="M401">
        <v>-0.03327677218797276</v>
      </c>
      <c r="N401">
        <v>0.019</v>
      </c>
      <c r="O401">
        <v>0.09344334570374802</v>
      </c>
      <c r="P401" t="s">
        <v>420</v>
      </c>
      <c r="Q401" t="s">
        <v>636</v>
      </c>
      <c r="R401">
        <v>0</v>
      </c>
      <c r="S401">
        <v>1.065934065934066</v>
      </c>
      <c r="T401">
        <v>6.4</v>
      </c>
      <c r="U401">
        <v>1.184375</v>
      </c>
      <c r="V401">
        <v>-1.7107</v>
      </c>
      <c r="W401">
        <v>0.91</v>
      </c>
      <c r="X401">
        <v>0.97</v>
      </c>
      <c r="Y401">
        <v>-0.225603</v>
      </c>
      <c r="Z401">
        <v>0.9419568822553898</v>
      </c>
      <c r="AA401">
        <v>0.3188405797101449</v>
      </c>
      <c r="AB401">
        <v>0.1229903536977492</v>
      </c>
      <c r="AC401">
        <v>0.4389067524115756</v>
      </c>
      <c r="AD401">
        <v>0.7411575562700965</v>
      </c>
    </row>
    <row r="402" spans="1:30">
      <c r="A402" s="1" t="s">
        <v>409</v>
      </c>
      <c r="B402">
        <f>HYPERLINK("https://www.suredividend.com/sure-analysis-GSK/","GlaxoSmithKline Plc")</f>
        <v>0</v>
      </c>
      <c r="C402">
        <v>41.29</v>
      </c>
      <c r="D402">
        <v>101890.8579</v>
      </c>
      <c r="E402" t="s">
        <v>665</v>
      </c>
      <c r="F402" t="s">
        <v>631</v>
      </c>
      <c r="G402" t="s">
        <v>676</v>
      </c>
      <c r="H402" t="s">
        <v>702</v>
      </c>
      <c r="I402" t="s">
        <v>1102</v>
      </c>
      <c r="J402" t="s">
        <v>1316</v>
      </c>
      <c r="K402">
        <v>44042</v>
      </c>
      <c r="L402">
        <v>0.047988446507083</v>
      </c>
      <c r="M402">
        <v>0.02183927200653213</v>
      </c>
      <c r="N402">
        <v>0.03</v>
      </c>
      <c r="O402">
        <v>0.09320047883431015</v>
      </c>
      <c r="P402" t="s">
        <v>420</v>
      </c>
      <c r="Q402" t="s">
        <v>381</v>
      </c>
      <c r="R402">
        <v>0</v>
      </c>
      <c r="S402">
        <v>0.6420415032679738</v>
      </c>
      <c r="T402">
        <v>46</v>
      </c>
      <c r="U402">
        <v>0.8976086956521739</v>
      </c>
      <c r="V402">
        <v>2.3865</v>
      </c>
      <c r="W402">
        <v>3.06</v>
      </c>
      <c r="X402">
        <v>1.964647</v>
      </c>
      <c r="Y402">
        <v>0.007160000000000001</v>
      </c>
      <c r="Z402">
        <v>0.6683250414593698</v>
      </c>
      <c r="AA402">
        <v>0.644122383252818</v>
      </c>
      <c r="AB402">
        <v>0.2540192926045016</v>
      </c>
      <c r="AC402">
        <v>0.7781350482315113</v>
      </c>
      <c r="AD402">
        <v>0.7379421221864952</v>
      </c>
    </row>
    <row r="403" spans="1:30">
      <c r="A403" s="1" t="s">
        <v>410</v>
      </c>
      <c r="B403">
        <f>HYPERLINK("https://www.suredividend.com/sure-analysis-JPM/","JPMorgan Chase &amp; Co.")</f>
        <v>0</v>
      </c>
      <c r="C403">
        <v>103.82</v>
      </c>
      <c r="D403">
        <v>306710.464</v>
      </c>
      <c r="E403" t="s">
        <v>663</v>
      </c>
      <c r="F403" t="s">
        <v>631</v>
      </c>
      <c r="G403" t="s">
        <v>671</v>
      </c>
      <c r="H403" t="s">
        <v>702</v>
      </c>
      <c r="I403" t="s">
        <v>1103</v>
      </c>
      <c r="J403" t="s">
        <v>1312</v>
      </c>
      <c r="K403">
        <v>44027</v>
      </c>
      <c r="L403">
        <v>0.035771065182829</v>
      </c>
      <c r="M403">
        <v>0.002262900454907291</v>
      </c>
      <c r="N403">
        <v>0.06</v>
      </c>
      <c r="O403">
        <v>0.09310951219744701</v>
      </c>
      <c r="P403" t="s">
        <v>420</v>
      </c>
      <c r="Q403" t="s">
        <v>420</v>
      </c>
      <c r="R403">
        <v>10</v>
      </c>
      <c r="S403">
        <v>0.6</v>
      </c>
      <c r="T403">
        <v>105</v>
      </c>
      <c r="U403">
        <v>0.9887619047619047</v>
      </c>
      <c r="V403">
        <v>7.4385</v>
      </c>
      <c r="W403">
        <v>6</v>
      </c>
      <c r="X403">
        <v>3.6</v>
      </c>
      <c r="Y403">
        <v>-0.09539399999999999</v>
      </c>
      <c r="Z403">
        <v>0.5174129353233831</v>
      </c>
      <c r="AA403">
        <v>0.4830917874396136</v>
      </c>
      <c r="AB403">
        <v>0.6430868167202572</v>
      </c>
      <c r="AC403">
        <v>0.6672025723472669</v>
      </c>
      <c r="AD403">
        <v>0.7363344051446945</v>
      </c>
    </row>
    <row r="404" spans="1:30">
      <c r="A404" s="1" t="s">
        <v>411</v>
      </c>
      <c r="B404">
        <f>HYPERLINK("https://www.suredividend.com/sure-analysis-TRGP/","Targa Resources Corp.")</f>
        <v>0</v>
      </c>
      <c r="C404">
        <v>19.61</v>
      </c>
      <c r="D404">
        <v>4766.58756</v>
      </c>
      <c r="E404" t="s">
        <v>662</v>
      </c>
      <c r="F404" t="s">
        <v>631</v>
      </c>
      <c r="G404" t="s">
        <v>671</v>
      </c>
      <c r="H404" t="s">
        <v>702</v>
      </c>
      <c r="I404" t="s">
        <v>1104</v>
      </c>
      <c r="J404" t="s">
        <v>1317</v>
      </c>
      <c r="K404">
        <v>43969</v>
      </c>
      <c r="L404">
        <v>0.09882583170254401</v>
      </c>
      <c r="M404">
        <v>0.0412301368140553</v>
      </c>
      <c r="N404">
        <v>0.03</v>
      </c>
      <c r="O404">
        <v>0.09233964859257937</v>
      </c>
      <c r="P404" t="s">
        <v>420</v>
      </c>
      <c r="Q404" t="s">
        <v>636</v>
      </c>
      <c r="R404">
        <v>0</v>
      </c>
      <c r="S404">
        <v>0.505</v>
      </c>
      <c r="T404">
        <v>24</v>
      </c>
      <c r="U404">
        <v>0.8170833333333333</v>
      </c>
      <c r="V404">
        <v>-8.343400000000001</v>
      </c>
      <c r="W404">
        <v>4</v>
      </c>
      <c r="X404">
        <v>2.02</v>
      </c>
      <c r="Y404">
        <v>-0.454672</v>
      </c>
      <c r="Z404">
        <v>0.8888888888888888</v>
      </c>
      <c r="AA404">
        <v>0.09339774557165863</v>
      </c>
      <c r="AB404">
        <v>0.2540192926045016</v>
      </c>
      <c r="AC404">
        <v>0.8633440514469453</v>
      </c>
      <c r="AD404">
        <v>0.7347266881028939</v>
      </c>
    </row>
    <row r="405" spans="1:30">
      <c r="A405" s="1" t="s">
        <v>412</v>
      </c>
      <c r="B405">
        <f>HYPERLINK("https://www.suredividend.com/sure-analysis-NYCB/","New York Community Bancorp, Inc.")</f>
        <v>0</v>
      </c>
      <c r="C405">
        <v>10.52</v>
      </c>
      <c r="D405">
        <v>4801.74795</v>
      </c>
      <c r="E405" t="s">
        <v>663</v>
      </c>
      <c r="F405" t="s">
        <v>631</v>
      </c>
      <c r="G405" t="s">
        <v>671</v>
      </c>
      <c r="H405" t="s">
        <v>702</v>
      </c>
      <c r="I405" t="s">
        <v>1105</v>
      </c>
      <c r="J405" t="s">
        <v>1312</v>
      </c>
      <c r="K405">
        <v>44046</v>
      </c>
      <c r="L405">
        <v>0.065700483091787</v>
      </c>
      <c r="M405">
        <v>-0.01008740028129462</v>
      </c>
      <c r="N405">
        <v>0.05</v>
      </c>
      <c r="O405">
        <v>0.08968320127574181</v>
      </c>
      <c r="P405" t="s">
        <v>420</v>
      </c>
      <c r="Q405" t="s">
        <v>381</v>
      </c>
      <c r="R405">
        <v>0</v>
      </c>
      <c r="S405">
        <v>0.8</v>
      </c>
      <c r="T405">
        <v>10</v>
      </c>
      <c r="U405">
        <v>1.052</v>
      </c>
      <c r="V405">
        <v>0.7937000000000001</v>
      </c>
      <c r="W405">
        <v>0.85</v>
      </c>
      <c r="X405">
        <v>0.68</v>
      </c>
      <c r="Y405">
        <v>-0.12116</v>
      </c>
      <c r="Z405">
        <v>0.7877280265339967</v>
      </c>
      <c r="AA405">
        <v>0.4492753623188406</v>
      </c>
      <c r="AB405">
        <v>0.5168810289389068</v>
      </c>
      <c r="AC405">
        <v>0.5964630225080385</v>
      </c>
      <c r="AD405">
        <v>0.7170418006430869</v>
      </c>
    </row>
    <row r="406" spans="1:30">
      <c r="A406" s="1" t="s">
        <v>413</v>
      </c>
      <c r="B406">
        <f>HYPERLINK("https://www.suredividend.com/sure-analysis-HTA/","Healthcare Trust of America, Inc.")</f>
        <v>0</v>
      </c>
      <c r="C406">
        <v>26.18</v>
      </c>
      <c r="D406">
        <v>11713.55406</v>
      </c>
      <c r="E406" t="s">
        <v>668</v>
      </c>
      <c r="F406" t="s">
        <v>633</v>
      </c>
      <c r="G406" t="s">
        <v>671</v>
      </c>
      <c r="H406" t="s">
        <v>702</v>
      </c>
      <c r="I406" t="s">
        <v>1106</v>
      </c>
      <c r="J406" t="s">
        <v>1322</v>
      </c>
      <c r="K406">
        <v>43964</v>
      </c>
      <c r="L406">
        <v>0.047198194810078</v>
      </c>
      <c r="M406">
        <v>0.02067075478530911</v>
      </c>
      <c r="N406">
        <v>0.03</v>
      </c>
      <c r="O406">
        <v>0.08964646954191102</v>
      </c>
      <c r="P406" t="s">
        <v>420</v>
      </c>
      <c r="Q406" t="s">
        <v>420</v>
      </c>
      <c r="R406">
        <v>8</v>
      </c>
      <c r="S406">
        <v>0.9960317460317459</v>
      </c>
      <c r="T406">
        <v>29</v>
      </c>
      <c r="U406">
        <v>0.9027586206896552</v>
      </c>
      <c r="V406">
        <v>0.1636</v>
      </c>
      <c r="W406">
        <v>1.26</v>
      </c>
      <c r="X406">
        <v>1.255</v>
      </c>
      <c r="Y406">
        <v>-0.026134</v>
      </c>
      <c r="Z406">
        <v>0.6567164179104478</v>
      </c>
      <c r="AA406">
        <v>0.6022544283413849</v>
      </c>
      <c r="AB406">
        <v>0.2540192926045016</v>
      </c>
      <c r="AC406">
        <v>0.770096463022508</v>
      </c>
      <c r="AD406">
        <v>0.7154340836012862</v>
      </c>
    </row>
    <row r="407" spans="1:30">
      <c r="A407" s="1" t="s">
        <v>414</v>
      </c>
      <c r="B407">
        <f>HYPERLINK("https://www.suredividend.com/sure-analysis-SVC/","Service Properties Trust")</f>
        <v>0</v>
      </c>
      <c r="C407">
        <v>8.515000000000001</v>
      </c>
      <c r="D407">
        <v>1382.3544</v>
      </c>
      <c r="E407" t="s">
        <v>659</v>
      </c>
      <c r="F407" t="s">
        <v>633</v>
      </c>
      <c r="G407" t="s">
        <v>671</v>
      </c>
      <c r="H407" t="s">
        <v>701</v>
      </c>
      <c r="I407" t="s">
        <v>1107</v>
      </c>
      <c r="J407" t="s">
        <v>1322</v>
      </c>
      <c r="K407">
        <v>43976</v>
      </c>
      <c r="L407">
        <v>0.13095238095238</v>
      </c>
      <c r="M407">
        <v>0.06194649930755114</v>
      </c>
      <c r="N407">
        <v>0.02</v>
      </c>
      <c r="O407">
        <v>0.0865765621996657</v>
      </c>
      <c r="P407" t="s">
        <v>420</v>
      </c>
      <c r="Q407" t="s">
        <v>636</v>
      </c>
      <c r="R407">
        <v>0</v>
      </c>
      <c r="S407">
        <v>0.7333333333333334</v>
      </c>
      <c r="T407">
        <v>11.5</v>
      </c>
      <c r="U407">
        <v>0.7404347826086957</v>
      </c>
      <c r="V407">
        <v>-0.2787</v>
      </c>
      <c r="W407">
        <v>1.5</v>
      </c>
      <c r="X407">
        <v>1.1</v>
      </c>
      <c r="Y407">
        <v>-0.671617</v>
      </c>
      <c r="Z407">
        <v>0.945273631840796</v>
      </c>
      <c r="AA407">
        <v>0.02254428341384863</v>
      </c>
      <c r="AB407">
        <v>0.157556270096463</v>
      </c>
      <c r="AC407">
        <v>0.9421221864951768</v>
      </c>
      <c r="AD407">
        <v>0.6961414790996784</v>
      </c>
    </row>
    <row r="408" spans="1:30">
      <c r="A408" s="1" t="s">
        <v>415</v>
      </c>
      <c r="B408">
        <f>HYPERLINK("https://www.suredividend.com/sure-analysis-TCP/","TC Pipelines LP")</f>
        <v>0</v>
      </c>
      <c r="C408">
        <v>32.85</v>
      </c>
      <c r="D408">
        <v>2443.629632</v>
      </c>
      <c r="E408" t="s">
        <v>662</v>
      </c>
      <c r="F408" t="s">
        <v>632</v>
      </c>
      <c r="G408" t="s">
        <v>671</v>
      </c>
      <c r="H408" t="s">
        <v>702</v>
      </c>
      <c r="I408" t="s">
        <v>1108</v>
      </c>
      <c r="J408" t="s">
        <v>1317</v>
      </c>
      <c r="K408">
        <v>43972</v>
      </c>
      <c r="L408">
        <v>0.077890952666267</v>
      </c>
      <c r="M408">
        <v>-0.01152596925174654</v>
      </c>
      <c r="N408">
        <v>0.03</v>
      </c>
      <c r="O408">
        <v>0.08559876582485848</v>
      </c>
      <c r="P408" t="s">
        <v>420</v>
      </c>
      <c r="Q408" t="s">
        <v>636</v>
      </c>
      <c r="R408">
        <v>0</v>
      </c>
      <c r="S408">
        <v>0.5909090909090908</v>
      </c>
      <c r="T408">
        <v>31</v>
      </c>
      <c r="U408">
        <v>1.059677419354839</v>
      </c>
      <c r="V408">
        <v>3.7027</v>
      </c>
      <c r="W408">
        <v>4.4</v>
      </c>
      <c r="X408">
        <v>2.6</v>
      </c>
      <c r="Y408">
        <v>-0.13822</v>
      </c>
      <c r="Z408">
        <v>0.8441127694859039</v>
      </c>
      <c r="AA408">
        <v>0.4315619967793881</v>
      </c>
      <c r="AB408">
        <v>0.2540192926045016</v>
      </c>
      <c r="AC408">
        <v>0.5819935691318328</v>
      </c>
      <c r="AD408">
        <v>0.6864951768488745</v>
      </c>
    </row>
    <row r="409" spans="1:30">
      <c r="A409" s="1" t="s">
        <v>416</v>
      </c>
      <c r="B409">
        <f>HYPERLINK("https://www.suredividend.com/sure-analysis-CNA/","CNA Financial Corp.")</f>
        <v>0</v>
      </c>
      <c r="C409">
        <v>34.65</v>
      </c>
      <c r="D409">
        <v>9381.641170000001</v>
      </c>
      <c r="E409" t="s">
        <v>661</v>
      </c>
      <c r="F409" t="s">
        <v>631</v>
      </c>
      <c r="G409" t="s">
        <v>671</v>
      </c>
      <c r="H409" t="s">
        <v>702</v>
      </c>
      <c r="I409" t="s">
        <v>1109</v>
      </c>
      <c r="J409" t="s">
        <v>1312</v>
      </c>
      <c r="K409">
        <v>44049</v>
      </c>
      <c r="L409">
        <v>0.041654613827017</v>
      </c>
      <c r="M409">
        <v>0.007673534376565039</v>
      </c>
      <c r="N409">
        <v>0.04</v>
      </c>
      <c r="O409">
        <v>0.08513641504044678</v>
      </c>
      <c r="P409" t="s">
        <v>420</v>
      </c>
      <c r="Q409" t="s">
        <v>381</v>
      </c>
      <c r="R409">
        <v>4</v>
      </c>
      <c r="S409">
        <v>0.6260869565217392</v>
      </c>
      <c r="T409">
        <v>36</v>
      </c>
      <c r="U409">
        <v>0.9624999999999999</v>
      </c>
      <c r="V409">
        <v>1.731</v>
      </c>
      <c r="W409">
        <v>2.3</v>
      </c>
      <c r="X409">
        <v>1.44</v>
      </c>
      <c r="Y409">
        <v>-0.295234</v>
      </c>
      <c r="Z409">
        <v>0.5970149253731344</v>
      </c>
      <c r="AA409">
        <v>0.2415458937198068</v>
      </c>
      <c r="AB409">
        <v>0.3858520900321543</v>
      </c>
      <c r="AC409">
        <v>0.6961414790996784</v>
      </c>
      <c r="AD409">
        <v>0.6848874598070739</v>
      </c>
    </row>
    <row r="410" spans="1:30">
      <c r="A410" s="1" t="s">
        <v>417</v>
      </c>
      <c r="B410">
        <f>HYPERLINK("https://www.suredividend.com/sure-analysis-PACW/","PacWest Bancorp")</f>
        <v>0</v>
      </c>
      <c r="C410">
        <v>20.57</v>
      </c>
      <c r="D410">
        <v>2385.25625</v>
      </c>
      <c r="E410" t="s">
        <v>663</v>
      </c>
      <c r="F410" t="s">
        <v>631</v>
      </c>
      <c r="G410" t="s">
        <v>671</v>
      </c>
      <c r="H410" t="s">
        <v>701</v>
      </c>
      <c r="I410" t="s">
        <v>1110</v>
      </c>
      <c r="J410" t="s">
        <v>1312</v>
      </c>
      <c r="K410">
        <v>44034</v>
      </c>
      <c r="L410">
        <v>0.101736972704714</v>
      </c>
      <c r="M410">
        <v>0.03977924296384572</v>
      </c>
      <c r="N410">
        <v>0</v>
      </c>
      <c r="O410">
        <v>0.08417201530311758</v>
      </c>
      <c r="P410" t="s">
        <v>420</v>
      </c>
      <c r="Q410" t="s">
        <v>636</v>
      </c>
      <c r="R410">
        <v>0</v>
      </c>
      <c r="S410">
        <v>1.025</v>
      </c>
      <c r="T410">
        <v>25</v>
      </c>
      <c r="U410">
        <v>0.8228</v>
      </c>
      <c r="V410">
        <v>-10.042</v>
      </c>
      <c r="W410">
        <v>2</v>
      </c>
      <c r="X410">
        <v>2.05</v>
      </c>
      <c r="Y410">
        <v>-0.440557</v>
      </c>
      <c r="Z410">
        <v>0.9038142620232172</v>
      </c>
      <c r="AA410">
        <v>0.107890499194847</v>
      </c>
      <c r="AB410">
        <v>0.04662379421221865</v>
      </c>
      <c r="AC410">
        <v>0.8520900321543408</v>
      </c>
      <c r="AD410">
        <v>0.6816720257234726</v>
      </c>
    </row>
    <row r="411" spans="1:30">
      <c r="A411" s="1" t="s">
        <v>418</v>
      </c>
      <c r="B411">
        <f>HYPERLINK("https://www.suredividend.com/sure-analysis-DIN/","Dine Brands Global, Inc.")</f>
        <v>0</v>
      </c>
      <c r="C411">
        <v>52.82</v>
      </c>
      <c r="D411">
        <v>845.58365</v>
      </c>
      <c r="E411" t="s">
        <v>659</v>
      </c>
      <c r="F411" t="s">
        <v>631</v>
      </c>
      <c r="G411" t="s">
        <v>671</v>
      </c>
      <c r="H411" t="s">
        <v>702</v>
      </c>
      <c r="I411" t="s">
        <v>1111</v>
      </c>
      <c r="J411" t="s">
        <v>1313</v>
      </c>
      <c r="K411">
        <v>44052</v>
      </c>
      <c r="L411">
        <v>0.04155339805825201</v>
      </c>
      <c r="M411">
        <v>0.04556035547208914</v>
      </c>
      <c r="N411">
        <v>0.035</v>
      </c>
      <c r="O411">
        <v>0.08215496791361221</v>
      </c>
      <c r="P411" t="s">
        <v>420</v>
      </c>
      <c r="Q411" t="s">
        <v>420</v>
      </c>
      <c r="R411">
        <v>0</v>
      </c>
      <c r="S411">
        <v>0.7133333333333334</v>
      </c>
      <c r="T411">
        <v>66</v>
      </c>
      <c r="U411">
        <v>0.8003030303030303</v>
      </c>
      <c r="V411">
        <v>-3.7206</v>
      </c>
      <c r="W411">
        <v>3</v>
      </c>
      <c r="X411">
        <v>2.14</v>
      </c>
      <c r="Y411">
        <v>-0.392114</v>
      </c>
      <c r="Z411">
        <v>0.5953565505804312</v>
      </c>
      <c r="AA411">
        <v>0.1384863123993559</v>
      </c>
      <c r="AB411">
        <v>0.3183279742765273</v>
      </c>
      <c r="AC411">
        <v>0.8810289389067525</v>
      </c>
      <c r="AD411">
        <v>0.6688102893890675</v>
      </c>
    </row>
    <row r="412" spans="1:30">
      <c r="A412" s="1" t="s">
        <v>419</v>
      </c>
      <c r="B412">
        <f>HYPERLINK("https://www.suredividend.com/sure-analysis-AQN/","Algonquin Power &amp; Utilities Corp.")</f>
        <v>0</v>
      </c>
      <c r="C412">
        <v>13.59</v>
      </c>
      <c r="D412">
        <v>8050.99422</v>
      </c>
      <c r="E412" t="s">
        <v>669</v>
      </c>
      <c r="F412" t="s">
        <v>631</v>
      </c>
      <c r="G412" t="s">
        <v>672</v>
      </c>
      <c r="H412" t="s">
        <v>702</v>
      </c>
      <c r="I412" t="s">
        <v>1112</v>
      </c>
      <c r="J412" t="s">
        <v>1314</v>
      </c>
      <c r="K412">
        <v>44021</v>
      </c>
      <c r="L412">
        <v>0.04130123573850501</v>
      </c>
      <c r="M412">
        <v>-0.02457842388296116</v>
      </c>
      <c r="N412">
        <v>0.065</v>
      </c>
      <c r="O412">
        <v>0.08168024581269284</v>
      </c>
      <c r="P412" t="s">
        <v>420</v>
      </c>
      <c r="Q412" t="s">
        <v>420</v>
      </c>
      <c r="R412">
        <v>9</v>
      </c>
      <c r="S412">
        <v>0.8469835508165059</v>
      </c>
      <c r="T412">
        <v>12</v>
      </c>
      <c r="U412">
        <v>1.1325</v>
      </c>
      <c r="V412">
        <v>0.744</v>
      </c>
      <c r="W412">
        <v>0.67</v>
      </c>
      <c r="X412">
        <v>0.567478979047059</v>
      </c>
      <c r="Y412">
        <v>0.06105099999999999</v>
      </c>
      <c r="Z412">
        <v>0.593698175787728</v>
      </c>
      <c r="AA412">
        <v>0.7004830917874396</v>
      </c>
      <c r="AB412">
        <v>0.6945337620578778</v>
      </c>
      <c r="AC412">
        <v>0.4983922829581994</v>
      </c>
      <c r="AD412">
        <v>0.6607717041800644</v>
      </c>
    </row>
    <row r="413" spans="1:30">
      <c r="A413" s="1" t="s">
        <v>420</v>
      </c>
      <c r="B413">
        <f>HYPERLINK("https://www.suredividend.com/sure-analysis-D/","Dominion Energy, Inc.")</f>
        <v>0</v>
      </c>
      <c r="C413">
        <v>78.56</v>
      </c>
      <c r="D413">
        <v>67311.69632</v>
      </c>
      <c r="E413" t="s">
        <v>669</v>
      </c>
      <c r="F413" t="s">
        <v>631</v>
      </c>
      <c r="G413" t="s">
        <v>671</v>
      </c>
      <c r="H413" t="s">
        <v>702</v>
      </c>
      <c r="I413" t="s">
        <v>1113</v>
      </c>
      <c r="J413" t="s">
        <v>1314</v>
      </c>
      <c r="K413">
        <v>43971</v>
      </c>
      <c r="L413">
        <v>0.046367948077883</v>
      </c>
      <c r="M413">
        <v>-0.009232030792924673</v>
      </c>
      <c r="N413">
        <v>0.05</v>
      </c>
      <c r="O413">
        <v>0.08100244060386808</v>
      </c>
      <c r="P413" t="s">
        <v>420</v>
      </c>
      <c r="Q413" t="s">
        <v>381</v>
      </c>
      <c r="R413">
        <v>16</v>
      </c>
      <c r="S413">
        <v>0.8404977375565611</v>
      </c>
      <c r="T413">
        <v>75</v>
      </c>
      <c r="U413">
        <v>1.047466666666667</v>
      </c>
      <c r="V413">
        <v>0.6571</v>
      </c>
      <c r="W413">
        <v>4.42</v>
      </c>
      <c r="X413">
        <v>3.715</v>
      </c>
      <c r="Y413">
        <v>0.07022399999999999</v>
      </c>
      <c r="Z413">
        <v>0.6517412935323383</v>
      </c>
      <c r="AA413">
        <v>0.7133655394524959</v>
      </c>
      <c r="AB413">
        <v>0.5168810289389068</v>
      </c>
      <c r="AC413">
        <v>0.6012861736334405</v>
      </c>
      <c r="AD413">
        <v>0.6559485530546624</v>
      </c>
    </row>
    <row r="414" spans="1:30">
      <c r="A414" s="1" t="s">
        <v>421</v>
      </c>
      <c r="B414">
        <f>HYPERLINK("https://www.suredividend.com/sure-analysis-MPW/","Medical Properties Trust, Inc.")</f>
        <v>0</v>
      </c>
      <c r="C414">
        <v>19.55</v>
      </c>
      <c r="D414">
        <v>10525.24231</v>
      </c>
      <c r="E414" t="s">
        <v>666</v>
      </c>
      <c r="F414" t="s">
        <v>633</v>
      </c>
      <c r="G414" t="s">
        <v>671</v>
      </c>
      <c r="H414" t="s">
        <v>702</v>
      </c>
      <c r="I414" t="s">
        <v>1114</v>
      </c>
      <c r="J414" t="s">
        <v>1322</v>
      </c>
      <c r="K414">
        <v>44012</v>
      </c>
      <c r="L414">
        <v>0.05323957810145601</v>
      </c>
      <c r="M414">
        <v>-0.01638498726447568</v>
      </c>
      <c r="N414">
        <v>0.047</v>
      </c>
      <c r="O414">
        <v>0.08059317637532759</v>
      </c>
      <c r="P414" t="s">
        <v>420</v>
      </c>
      <c r="Q414" t="s">
        <v>381</v>
      </c>
      <c r="R414">
        <v>7</v>
      </c>
      <c r="S414">
        <v>0.726027397260274</v>
      </c>
      <c r="T414">
        <v>18</v>
      </c>
      <c r="U414">
        <v>1.086111111111111</v>
      </c>
      <c r="V414">
        <v>0.8259000000000001</v>
      </c>
      <c r="W414">
        <v>1.46</v>
      </c>
      <c r="X414">
        <v>1.06</v>
      </c>
      <c r="Y414">
        <v>0.09175799999999999</v>
      </c>
      <c r="Z414">
        <v>0.714759535655058</v>
      </c>
      <c r="AA414">
        <v>0.7342995169082126</v>
      </c>
      <c r="AB414">
        <v>0.454983922829582</v>
      </c>
      <c r="AC414">
        <v>0.5466237942122186</v>
      </c>
      <c r="AD414">
        <v>0.6527331189710611</v>
      </c>
    </row>
    <row r="415" spans="1:30">
      <c r="A415" s="1" t="s">
        <v>422</v>
      </c>
      <c r="B415">
        <f>HYPERLINK("https://www.suredividend.com/sure-analysis-KTB/","Kontoor Brands, Inc.")</f>
        <v>0</v>
      </c>
      <c r="C415">
        <v>22.11</v>
      </c>
      <c r="D415">
        <v>1262.589339</v>
      </c>
      <c r="E415" t="s">
        <v>659</v>
      </c>
      <c r="F415" t="s">
        <v>631</v>
      </c>
      <c r="G415" t="s">
        <v>671</v>
      </c>
      <c r="H415" t="s">
        <v>702</v>
      </c>
      <c r="I415" t="s">
        <v>1115</v>
      </c>
      <c r="J415" t="s">
        <v>1313</v>
      </c>
      <c r="K415">
        <v>43976</v>
      </c>
      <c r="L415">
        <v>0.07598371777476201</v>
      </c>
      <c r="M415">
        <v>0.04836824506772941</v>
      </c>
      <c r="N415">
        <v>0.03</v>
      </c>
      <c r="O415">
        <v>0.07981929241976116</v>
      </c>
      <c r="P415" t="s">
        <v>420</v>
      </c>
      <c r="Q415" t="s">
        <v>381</v>
      </c>
      <c r="R415">
        <v>0</v>
      </c>
      <c r="S415">
        <v>0.9081081081081082</v>
      </c>
      <c r="T415">
        <v>28</v>
      </c>
      <c r="U415">
        <v>0.7896428571428571</v>
      </c>
      <c r="V415">
        <v>0.1304</v>
      </c>
      <c r="W415">
        <v>1.85</v>
      </c>
      <c r="X415">
        <v>1.68</v>
      </c>
      <c r="Y415">
        <v>-0.384388</v>
      </c>
      <c r="Z415">
        <v>0.8341625207296849</v>
      </c>
      <c r="AA415">
        <v>0.1400966183574879</v>
      </c>
      <c r="AB415">
        <v>0.2540192926045016</v>
      </c>
      <c r="AC415">
        <v>0.8954983922829582</v>
      </c>
      <c r="AD415">
        <v>0.6446945337620579</v>
      </c>
    </row>
    <row r="416" spans="1:30">
      <c r="A416" s="1" t="s">
        <v>423</v>
      </c>
      <c r="B416">
        <f>HYPERLINK("https://www.suredividend.com/sure-analysis-HTGC/","Hercules Capital, Inc.")</f>
        <v>0</v>
      </c>
      <c r="C416">
        <v>11.72</v>
      </c>
      <c r="D416">
        <v>1362.75197</v>
      </c>
      <c r="E416" t="s">
        <v>666</v>
      </c>
      <c r="F416" t="s">
        <v>633</v>
      </c>
      <c r="G416" t="s">
        <v>671</v>
      </c>
      <c r="H416" t="s">
        <v>702</v>
      </c>
      <c r="I416" t="s">
        <v>1116</v>
      </c>
      <c r="J416" t="s">
        <v>1312</v>
      </c>
      <c r="K416">
        <v>44015</v>
      </c>
      <c r="L416">
        <v>0.10729253981559</v>
      </c>
      <c r="M416">
        <v>-0.01260024597387366</v>
      </c>
      <c r="N416">
        <v>0</v>
      </c>
      <c r="O416">
        <v>0.07921377720817824</v>
      </c>
      <c r="P416" t="s">
        <v>420</v>
      </c>
      <c r="Q416" t="s">
        <v>636</v>
      </c>
      <c r="R416">
        <v>2</v>
      </c>
      <c r="S416">
        <v>0.9552238805970149</v>
      </c>
      <c r="T416">
        <v>11</v>
      </c>
      <c r="U416">
        <v>1.065454545454545</v>
      </c>
      <c r="V416">
        <v>0.8887</v>
      </c>
      <c r="W416">
        <v>1.34</v>
      </c>
      <c r="X416">
        <v>1.28</v>
      </c>
      <c r="Y416">
        <v>-0.116932</v>
      </c>
      <c r="Z416">
        <v>0.9137645107794361</v>
      </c>
      <c r="AA416">
        <v>0.4573268921095008</v>
      </c>
      <c r="AB416">
        <v>0.04662379421221865</v>
      </c>
      <c r="AC416">
        <v>0.5771704180064309</v>
      </c>
      <c r="AD416">
        <v>0.6398713826366559</v>
      </c>
    </row>
    <row r="417" spans="1:30">
      <c r="A417" s="1" t="s">
        <v>424</v>
      </c>
      <c r="B417">
        <f>HYPERLINK("https://www.suredividend.com/sure-analysis-SKT/","Tanger Factory Outlet Centers, Inc.")</f>
        <v>0</v>
      </c>
      <c r="C417">
        <v>6.67</v>
      </c>
      <c r="D417">
        <v>601.026889</v>
      </c>
      <c r="E417" t="s">
        <v>667</v>
      </c>
      <c r="F417" t="s">
        <v>633</v>
      </c>
      <c r="G417" t="s">
        <v>671</v>
      </c>
      <c r="H417" t="s">
        <v>702</v>
      </c>
      <c r="I417" t="s">
        <v>1117</v>
      </c>
      <c r="J417" t="s">
        <v>1322</v>
      </c>
      <c r="K417">
        <v>43971</v>
      </c>
      <c r="L417">
        <v>0.16601866251944</v>
      </c>
      <c r="M417">
        <v>0.0370336067104291</v>
      </c>
      <c r="N417">
        <v>-0.028</v>
      </c>
      <c r="O417">
        <v>0.0771321893878405</v>
      </c>
      <c r="P417" t="s">
        <v>420</v>
      </c>
      <c r="Q417" t="s">
        <v>635</v>
      </c>
      <c r="R417">
        <v>27</v>
      </c>
      <c r="S417">
        <v>0.9282608695652174</v>
      </c>
      <c r="T417">
        <v>8</v>
      </c>
      <c r="U417">
        <v>0.83375</v>
      </c>
      <c r="V417">
        <v>-0.4225</v>
      </c>
      <c r="W417">
        <v>1.15</v>
      </c>
      <c r="X417">
        <v>1.0675</v>
      </c>
      <c r="Y417">
        <v>-0.611884</v>
      </c>
      <c r="Z417">
        <v>0.9684908789386401</v>
      </c>
      <c r="AA417">
        <v>0.02898550724637681</v>
      </c>
      <c r="AB417">
        <v>0.0112540192926045</v>
      </c>
      <c r="AC417">
        <v>0.8440514469453376</v>
      </c>
      <c r="AD417">
        <v>0.6205787781350482</v>
      </c>
    </row>
    <row r="418" spans="1:30">
      <c r="A418" s="1" t="s">
        <v>425</v>
      </c>
      <c r="B418">
        <f>HYPERLINK("https://www.suredividend.com/sure-analysis-BMWYY/","Bayerische Motoren Werke AG")</f>
        <v>0</v>
      </c>
      <c r="C418">
        <v>21.7</v>
      </c>
      <c r="D418">
        <v>39585.731818</v>
      </c>
      <c r="E418" t="s">
        <v>662</v>
      </c>
      <c r="F418" t="s">
        <v>631</v>
      </c>
      <c r="G418" t="s">
        <v>678</v>
      </c>
      <c r="H418" t="s">
        <v>700</v>
      </c>
      <c r="I418" t="s">
        <v>1118</v>
      </c>
      <c r="J418" t="s">
        <v>1313</v>
      </c>
      <c r="K418">
        <v>43984</v>
      </c>
      <c r="L418">
        <v>0.041907834101382</v>
      </c>
      <c r="M418">
        <v>-0.1914250065591475</v>
      </c>
      <c r="N418">
        <v>0.285</v>
      </c>
      <c r="O418">
        <v>0.07657928492559329</v>
      </c>
      <c r="P418" t="s">
        <v>420</v>
      </c>
      <c r="Q418" t="s">
        <v>420</v>
      </c>
      <c r="R418">
        <v>0</v>
      </c>
      <c r="S418">
        <v>0.9094000000000001</v>
      </c>
      <c r="T418">
        <v>7.5</v>
      </c>
      <c r="U418">
        <v>2.893333333333333</v>
      </c>
      <c r="V418">
        <v>2.7376</v>
      </c>
      <c r="W418">
        <v>1</v>
      </c>
      <c r="X418">
        <v>0.9094000000000001</v>
      </c>
      <c r="Y418">
        <v>-0.070937</v>
      </c>
      <c r="Z418">
        <v>0.6053067993366501</v>
      </c>
      <c r="AA418">
        <v>0.534621578099839</v>
      </c>
      <c r="AB418">
        <v>1</v>
      </c>
      <c r="AC418">
        <v>0.008038585209003215</v>
      </c>
      <c r="AD418">
        <v>0.6109324758842444</v>
      </c>
    </row>
    <row r="419" spans="1:30">
      <c r="A419" s="1" t="s">
        <v>426</v>
      </c>
      <c r="B419">
        <f>HYPERLINK("https://www.suredividend.com/sure-analysis-MGA/","Magna International, Inc.")</f>
        <v>0</v>
      </c>
      <c r="C419">
        <v>52.33</v>
      </c>
      <c r="D419">
        <v>15128.59425</v>
      </c>
      <c r="E419" t="s">
        <v>669</v>
      </c>
      <c r="F419" t="s">
        <v>631</v>
      </c>
      <c r="G419" t="s">
        <v>672</v>
      </c>
      <c r="H419" t="s">
        <v>702</v>
      </c>
      <c r="I419" t="s">
        <v>1119</v>
      </c>
      <c r="J419" t="s">
        <v>1313</v>
      </c>
      <c r="K419">
        <v>44014</v>
      </c>
      <c r="L419">
        <v>0.030347797052642</v>
      </c>
      <c r="M419">
        <v>0.01364867834128813</v>
      </c>
      <c r="N419">
        <v>0.036</v>
      </c>
      <c r="O419">
        <v>0.07626015971374667</v>
      </c>
      <c r="P419" t="s">
        <v>420</v>
      </c>
      <c r="Q419" t="s">
        <v>420</v>
      </c>
      <c r="R419">
        <v>9</v>
      </c>
      <c r="S419">
        <v>0.7244820796387831</v>
      </c>
      <c r="T419">
        <v>56</v>
      </c>
      <c r="U419">
        <v>0.9344642857142856</v>
      </c>
      <c r="V419">
        <v>-0.6116</v>
      </c>
      <c r="W419">
        <v>2.12</v>
      </c>
      <c r="X419">
        <v>1.53590200883422</v>
      </c>
      <c r="Y419">
        <v>-0.017978</v>
      </c>
      <c r="Z419">
        <v>0.4328358208955224</v>
      </c>
      <c r="AA419">
        <v>0.6183574879227053</v>
      </c>
      <c r="AB419">
        <v>0.3271704180064309</v>
      </c>
      <c r="AC419">
        <v>0.7282958199356914</v>
      </c>
      <c r="AD419">
        <v>0.6045016077170419</v>
      </c>
    </row>
    <row r="420" spans="1:30">
      <c r="A420" s="1" t="s">
        <v>427</v>
      </c>
      <c r="B420">
        <f>HYPERLINK("https://www.suredividend.com/sure-analysis-APAM/","Artisan Partners Asset Management, Inc.")</f>
        <v>0</v>
      </c>
      <c r="C420">
        <v>38.8</v>
      </c>
      <c r="D420">
        <v>3053.426676</v>
      </c>
      <c r="E420" t="s">
        <v>663</v>
      </c>
      <c r="F420" t="s">
        <v>631</v>
      </c>
      <c r="G420" t="s">
        <v>671</v>
      </c>
      <c r="H420" t="s">
        <v>702</v>
      </c>
      <c r="I420" t="s">
        <v>1120</v>
      </c>
      <c r="J420" t="s">
        <v>1312</v>
      </c>
      <c r="K420">
        <v>44041</v>
      </c>
      <c r="L420">
        <v>0.06536284096757501</v>
      </c>
      <c r="M420">
        <v>-0.01486861570563414</v>
      </c>
      <c r="N420">
        <v>0.03</v>
      </c>
      <c r="O420">
        <v>0.07600291305598805</v>
      </c>
      <c r="P420" t="s">
        <v>420</v>
      </c>
      <c r="Q420" t="s">
        <v>381</v>
      </c>
      <c r="R420">
        <v>0</v>
      </c>
      <c r="S420">
        <v>0.8466666666666667</v>
      </c>
      <c r="T420">
        <v>36</v>
      </c>
      <c r="U420">
        <v>1.077777777777778</v>
      </c>
      <c r="V420">
        <v>2.7296</v>
      </c>
      <c r="W420">
        <v>3</v>
      </c>
      <c r="X420">
        <v>2.54</v>
      </c>
      <c r="Y420">
        <v>0.397663</v>
      </c>
      <c r="Z420">
        <v>0.7860696517412936</v>
      </c>
      <c r="AA420">
        <v>0.9259259259259259</v>
      </c>
      <c r="AB420">
        <v>0.2540192926045016</v>
      </c>
      <c r="AC420">
        <v>0.5562700964630225</v>
      </c>
      <c r="AD420">
        <v>0.5996784565916399</v>
      </c>
    </row>
    <row r="421" spans="1:30">
      <c r="A421" s="1" t="s">
        <v>428</v>
      </c>
      <c r="B421">
        <f>HYPERLINK("https://www.suredividend.com/sure-analysis-TRP/","TC Energy Corp.")</f>
        <v>0</v>
      </c>
      <c r="C421">
        <v>48.93</v>
      </c>
      <c r="D421">
        <v>45862.6</v>
      </c>
      <c r="E421" t="s">
        <v>662</v>
      </c>
      <c r="F421" t="s">
        <v>631</v>
      </c>
      <c r="G421" t="s">
        <v>672</v>
      </c>
      <c r="H421" t="s">
        <v>702</v>
      </c>
      <c r="I421" t="s">
        <v>1121</v>
      </c>
      <c r="J421" t="s">
        <v>1317</v>
      </c>
      <c r="K421">
        <v>43977</v>
      </c>
      <c r="L421">
        <v>0.04761128688420201</v>
      </c>
      <c r="M421">
        <v>-0.01227391518435228</v>
      </c>
      <c r="N421">
        <v>0.04</v>
      </c>
      <c r="O421">
        <v>0.07458873556836743</v>
      </c>
      <c r="P421" t="s">
        <v>420</v>
      </c>
      <c r="Q421" t="s">
        <v>381</v>
      </c>
      <c r="R421">
        <v>5</v>
      </c>
      <c r="S421">
        <v>0.8010188576138828</v>
      </c>
      <c r="T421">
        <v>46</v>
      </c>
      <c r="U421">
        <v>1.063695652173913</v>
      </c>
      <c r="V421">
        <v>3.3888</v>
      </c>
      <c r="W421">
        <v>2.9</v>
      </c>
      <c r="X421">
        <v>2.32295468708026</v>
      </c>
      <c r="Y421">
        <v>-0.002079</v>
      </c>
      <c r="Z421">
        <v>0.6616915422885572</v>
      </c>
      <c r="AA421">
        <v>0.6264090177133655</v>
      </c>
      <c r="AB421">
        <v>0.3858520900321543</v>
      </c>
      <c r="AC421">
        <v>0.5787781350482315</v>
      </c>
      <c r="AD421">
        <v>0.5916398713826366</v>
      </c>
    </row>
    <row r="422" spans="1:30">
      <c r="A422" s="1" t="s">
        <v>429</v>
      </c>
      <c r="B422">
        <f>HYPERLINK("https://www.suredividend.com/sure-analysis-TPR/","Tapestry, Inc.")</f>
        <v>0</v>
      </c>
      <c r="C422">
        <v>15.53</v>
      </c>
      <c r="D422">
        <v>4260.19214</v>
      </c>
      <c r="E422" t="s">
        <v>668</v>
      </c>
      <c r="F422" t="s">
        <v>631</v>
      </c>
      <c r="G422" t="s">
        <v>671</v>
      </c>
      <c r="H422" t="s">
        <v>702</v>
      </c>
      <c r="I422" t="s">
        <v>1122</v>
      </c>
      <c r="J422" t="s">
        <v>1313</v>
      </c>
      <c r="K422">
        <v>43993</v>
      </c>
      <c r="L422">
        <v>0.08749189889825</v>
      </c>
      <c r="M422">
        <v>0.005980831192947456</v>
      </c>
      <c r="N422">
        <v>0.05</v>
      </c>
      <c r="O422">
        <v>0.07330886479144949</v>
      </c>
      <c r="P422" t="s">
        <v>420</v>
      </c>
      <c r="Q422" t="s">
        <v>636</v>
      </c>
      <c r="R422">
        <v>0</v>
      </c>
      <c r="S422">
        <v>0.8709677419354839</v>
      </c>
      <c r="T422">
        <v>16</v>
      </c>
      <c r="U422">
        <v>0.970625</v>
      </c>
      <c r="V422">
        <v>-0.7844</v>
      </c>
      <c r="W422">
        <v>1.55</v>
      </c>
      <c r="X422">
        <v>1.35</v>
      </c>
      <c r="Y422">
        <v>-0.490341</v>
      </c>
      <c r="Z422">
        <v>0.8723051409618574</v>
      </c>
      <c r="AA422">
        <v>0.07246376811594203</v>
      </c>
      <c r="AB422">
        <v>0.5168810289389068</v>
      </c>
      <c r="AC422">
        <v>0.6864951768488745</v>
      </c>
      <c r="AD422">
        <v>0.5852090032154341</v>
      </c>
    </row>
    <row r="423" spans="1:30">
      <c r="A423" s="1" t="s">
        <v>430</v>
      </c>
      <c r="B423">
        <f>HYPERLINK("https://www.suredividend.com/sure-analysis-OGZPY/","Gazprom PJSC")</f>
        <v>0</v>
      </c>
      <c r="C423">
        <v>5.07</v>
      </c>
      <c r="D423">
        <v>60012.3225</v>
      </c>
      <c r="E423" t="s">
        <v>662</v>
      </c>
      <c r="F423" t="s">
        <v>631</v>
      </c>
      <c r="G423" t="s">
        <v>696</v>
      </c>
      <c r="H423" t="s">
        <v>700</v>
      </c>
      <c r="I423" t="s">
        <v>1123</v>
      </c>
      <c r="J423" t="s">
        <v>1317</v>
      </c>
      <c r="K423">
        <v>43956</v>
      </c>
      <c r="L423">
        <v>0.086094674556213</v>
      </c>
      <c r="M423">
        <v>-0.07143562637903489</v>
      </c>
      <c r="N423">
        <v>0.08</v>
      </c>
      <c r="O423">
        <v>0.07214821075285216</v>
      </c>
      <c r="P423" t="s">
        <v>420</v>
      </c>
      <c r="Q423" t="s">
        <v>636</v>
      </c>
      <c r="R423">
        <v>1</v>
      </c>
      <c r="S423">
        <v>0.6235714285714286</v>
      </c>
      <c r="T423">
        <v>3.5</v>
      </c>
      <c r="U423">
        <v>1.448571428571429</v>
      </c>
      <c r="V423">
        <v>0.7695000000000001</v>
      </c>
      <c r="W423">
        <v>0.7</v>
      </c>
      <c r="X423">
        <v>0.4365</v>
      </c>
      <c r="Y423">
        <v>-0.287129</v>
      </c>
      <c r="Z423">
        <v>0.8689883913764511</v>
      </c>
      <c r="AA423">
        <v>0.2528180354267311</v>
      </c>
      <c r="AB423">
        <v>0.8135048231511255</v>
      </c>
      <c r="AC423">
        <v>0.2009646302250804</v>
      </c>
      <c r="AD423">
        <v>0.5771704180064309</v>
      </c>
    </row>
    <row r="424" spans="1:30">
      <c r="A424" s="1" t="s">
        <v>431</v>
      </c>
      <c r="B424">
        <f>HYPERLINK("https://www.suredividend.com/sure-analysis-XRX/","Xerox Holdings Corp.")</f>
        <v>0</v>
      </c>
      <c r="C424">
        <v>17.69</v>
      </c>
      <c r="D424">
        <v>3798.03962</v>
      </c>
      <c r="E424" t="s">
        <v>663</v>
      </c>
      <c r="F424" t="s">
        <v>631</v>
      </c>
      <c r="G424" t="s">
        <v>671</v>
      </c>
      <c r="H424" t="s">
        <v>702</v>
      </c>
      <c r="I424" t="s">
        <v>1124</v>
      </c>
      <c r="J424" t="s">
        <v>1318</v>
      </c>
      <c r="K424">
        <v>44041</v>
      </c>
      <c r="L424">
        <v>0.05608524957936</v>
      </c>
      <c r="M424">
        <v>0.0248502999310658</v>
      </c>
      <c r="N424">
        <v>0</v>
      </c>
      <c r="O424">
        <v>0.07162400909295186</v>
      </c>
      <c r="P424" t="s">
        <v>420</v>
      </c>
      <c r="Q424" t="s">
        <v>381</v>
      </c>
      <c r="R424">
        <v>0</v>
      </c>
      <c r="S424">
        <v>0.7692307692307692</v>
      </c>
      <c r="T424">
        <v>20</v>
      </c>
      <c r="U424">
        <v>0.8845000000000001</v>
      </c>
      <c r="V424">
        <v>1.9328</v>
      </c>
      <c r="W424">
        <v>1.3</v>
      </c>
      <c r="X424">
        <v>1</v>
      </c>
      <c r="Y424">
        <v>-0.43607</v>
      </c>
      <c r="Z424">
        <v>0.7280265339966833</v>
      </c>
      <c r="AA424">
        <v>0.1095008051529791</v>
      </c>
      <c r="AB424">
        <v>0.04662379421221865</v>
      </c>
      <c r="AC424">
        <v>0.787781350482315</v>
      </c>
      <c r="AD424">
        <v>0.567524115755627</v>
      </c>
    </row>
    <row r="425" spans="1:30">
      <c r="A425" s="1" t="s">
        <v>432</v>
      </c>
      <c r="B425">
        <f>HYPERLINK("https://www.suredividend.com/sure-analysis-WRK/","WestRock Co.")</f>
        <v>0</v>
      </c>
      <c r="C425">
        <v>30.9</v>
      </c>
      <c r="D425">
        <v>7957.8434</v>
      </c>
      <c r="E425" t="s">
        <v>662</v>
      </c>
      <c r="F425" t="s">
        <v>631</v>
      </c>
      <c r="G425" t="s">
        <v>671</v>
      </c>
      <c r="H425" t="s">
        <v>702</v>
      </c>
      <c r="I425" t="s">
        <v>1125</v>
      </c>
      <c r="J425" t="s">
        <v>1313</v>
      </c>
      <c r="K425">
        <v>43965</v>
      </c>
      <c r="L425">
        <v>0.051712887438825</v>
      </c>
      <c r="M425">
        <v>-0.01261186613268062</v>
      </c>
      <c r="N425">
        <v>0.06</v>
      </c>
      <c r="O425">
        <v>0.07136004138213381</v>
      </c>
      <c r="P425" t="s">
        <v>420</v>
      </c>
      <c r="Q425" t="s">
        <v>381</v>
      </c>
      <c r="R425">
        <v>0</v>
      </c>
      <c r="S425">
        <v>0.6096153846153846</v>
      </c>
      <c r="T425">
        <v>29</v>
      </c>
      <c r="U425">
        <v>1.06551724137931</v>
      </c>
      <c r="V425">
        <v>3.0016</v>
      </c>
      <c r="W425">
        <v>2.6</v>
      </c>
      <c r="X425">
        <v>1.585</v>
      </c>
      <c r="Y425">
        <v>-0.165135</v>
      </c>
      <c r="Z425">
        <v>0.7014925373134328</v>
      </c>
      <c r="AA425">
        <v>0.4057971014492754</v>
      </c>
      <c r="AB425">
        <v>0.6430868167202572</v>
      </c>
      <c r="AC425">
        <v>0.5755627009646302</v>
      </c>
      <c r="AD425">
        <v>0.5659163987138264</v>
      </c>
    </row>
    <row r="426" spans="1:30">
      <c r="A426" s="1" t="s">
        <v>433</v>
      </c>
      <c r="B426">
        <f>HYPERLINK("https://www.suredividend.com/sure-analysis-JCI/","Johnson Controls International Plc")</f>
        <v>0</v>
      </c>
      <c r="C426">
        <v>40.79</v>
      </c>
      <c r="D426">
        <v>29836.3248</v>
      </c>
      <c r="E426" t="s">
        <v>661</v>
      </c>
      <c r="F426" t="s">
        <v>631</v>
      </c>
      <c r="G426" t="s">
        <v>674</v>
      </c>
      <c r="H426" t="s">
        <v>702</v>
      </c>
      <c r="I426" t="s">
        <v>1126</v>
      </c>
      <c r="J426" t="s">
        <v>1315</v>
      </c>
      <c r="K426">
        <v>44049</v>
      </c>
      <c r="L426">
        <v>0.025935162094763</v>
      </c>
      <c r="M426">
        <v>-0.030153801562256</v>
      </c>
      <c r="N426">
        <v>0.08</v>
      </c>
      <c r="O426">
        <v>0.07127661867091728</v>
      </c>
      <c r="P426" t="s">
        <v>420</v>
      </c>
      <c r="Q426" t="s">
        <v>420</v>
      </c>
      <c r="R426">
        <v>0</v>
      </c>
      <c r="S426">
        <v>0.4770642201834862</v>
      </c>
      <c r="T426">
        <v>35</v>
      </c>
      <c r="U426">
        <v>1.165428571428571</v>
      </c>
      <c r="V426">
        <v>1.0241</v>
      </c>
      <c r="W426">
        <v>2.18</v>
      </c>
      <c r="X426">
        <v>1.04</v>
      </c>
      <c r="Y426">
        <v>-0.08333299999999999</v>
      </c>
      <c r="Z426">
        <v>0.3532338308457711</v>
      </c>
      <c r="AA426">
        <v>0.5104669887278583</v>
      </c>
      <c r="AB426">
        <v>0.8135048231511255</v>
      </c>
      <c r="AC426">
        <v>0.4678456591639871</v>
      </c>
      <c r="AD426">
        <v>0.5627009646302251</v>
      </c>
    </row>
    <row r="427" spans="1:30">
      <c r="A427" s="1" t="s">
        <v>434</v>
      </c>
      <c r="B427">
        <f>HYPERLINK("https://www.suredividend.com/sure-analysis-VER/","VEREIT, Inc.")</f>
        <v>0</v>
      </c>
      <c r="C427">
        <v>6.58</v>
      </c>
      <c r="D427">
        <v>7092.8452</v>
      </c>
      <c r="E427" t="s">
        <v>666</v>
      </c>
      <c r="F427" t="s">
        <v>631</v>
      </c>
      <c r="G427" t="s">
        <v>671</v>
      </c>
      <c r="H427" t="s">
        <v>702</v>
      </c>
      <c r="I427" t="s">
        <v>1127</v>
      </c>
      <c r="J427" t="s">
        <v>1322</v>
      </c>
      <c r="K427">
        <v>43992</v>
      </c>
      <c r="L427">
        <v>0.074392097264437</v>
      </c>
      <c r="M427">
        <v>0.0006071649891163933</v>
      </c>
      <c r="N427">
        <v>0.021</v>
      </c>
      <c r="O427">
        <v>0.07099786701229416</v>
      </c>
      <c r="P427" t="s">
        <v>420</v>
      </c>
      <c r="Q427" t="s">
        <v>381</v>
      </c>
      <c r="R427">
        <v>0</v>
      </c>
      <c r="S427">
        <v>0.89</v>
      </c>
      <c r="T427">
        <v>6.6</v>
      </c>
      <c r="U427">
        <v>0.9969696969696971</v>
      </c>
      <c r="V427">
        <v>-0.6007</v>
      </c>
      <c r="W427">
        <v>0.55</v>
      </c>
      <c r="X427">
        <v>0.4895</v>
      </c>
      <c r="Y427">
        <v>-0.330943</v>
      </c>
      <c r="Z427">
        <v>0.8275290215588723</v>
      </c>
      <c r="AA427">
        <v>0.1980676328502415</v>
      </c>
      <c r="AB427">
        <v>0.1921221864951768</v>
      </c>
      <c r="AC427">
        <v>0.657556270096463</v>
      </c>
      <c r="AD427">
        <v>0.5594855305466238</v>
      </c>
    </row>
    <row r="428" spans="1:30">
      <c r="A428" s="1" t="s">
        <v>435</v>
      </c>
      <c r="B428">
        <f>HYPERLINK("https://www.suredividend.com/sure-analysis-BCE/","BCE, Inc.")</f>
        <v>0</v>
      </c>
      <c r="C428">
        <v>42.98</v>
      </c>
      <c r="D428">
        <v>38461.06984</v>
      </c>
      <c r="E428" t="s">
        <v>669</v>
      </c>
      <c r="F428" t="s">
        <v>631</v>
      </c>
      <c r="G428" t="s">
        <v>672</v>
      </c>
      <c r="H428" t="s">
        <v>702</v>
      </c>
      <c r="I428" t="s">
        <v>1128</v>
      </c>
      <c r="J428" t="s">
        <v>1319</v>
      </c>
      <c r="K428">
        <v>43971</v>
      </c>
      <c r="L428">
        <v>0.05690810391712801</v>
      </c>
      <c r="M428">
        <v>-0.009388217806847732</v>
      </c>
      <c r="N428">
        <v>0.03</v>
      </c>
      <c r="O428">
        <v>0.07094283755187458</v>
      </c>
      <c r="P428" t="s">
        <v>420</v>
      </c>
      <c r="Q428" t="s">
        <v>381</v>
      </c>
      <c r="R428">
        <v>12</v>
      </c>
      <c r="S428">
        <v>1.02122432894324</v>
      </c>
      <c r="T428">
        <v>41</v>
      </c>
      <c r="U428">
        <v>1.048292682926829</v>
      </c>
      <c r="V428">
        <v>2.04</v>
      </c>
      <c r="W428">
        <v>2.37</v>
      </c>
      <c r="X428">
        <v>2.42030165959548</v>
      </c>
      <c r="Y428">
        <v>-0.085203</v>
      </c>
      <c r="Z428">
        <v>0.734660033167496</v>
      </c>
      <c r="AA428">
        <v>0.5072463768115942</v>
      </c>
      <c r="AB428">
        <v>0.2540192926045016</v>
      </c>
      <c r="AC428">
        <v>0.5996784565916399</v>
      </c>
      <c r="AD428">
        <v>0.5578778135048231</v>
      </c>
    </row>
    <row r="429" spans="1:30">
      <c r="A429" s="1" t="s">
        <v>436</v>
      </c>
      <c r="B429">
        <f>HYPERLINK("https://www.suredividend.com/sure-analysis-QSR/","Restaurant Brands International, Inc.")</f>
        <v>0</v>
      </c>
      <c r="C429">
        <v>55.49</v>
      </c>
      <c r="D429">
        <v>25519.933566</v>
      </c>
      <c r="E429" t="s">
        <v>662</v>
      </c>
      <c r="F429" t="s">
        <v>631</v>
      </c>
      <c r="G429" t="s">
        <v>672</v>
      </c>
      <c r="H429" t="s">
        <v>702</v>
      </c>
      <c r="I429" t="s">
        <v>1129</v>
      </c>
      <c r="J429" t="s">
        <v>1313</v>
      </c>
      <c r="K429">
        <v>44053</v>
      </c>
      <c r="L429">
        <v>0.03746115648200801</v>
      </c>
      <c r="M429">
        <v>-0.08289818025086648</v>
      </c>
      <c r="N429">
        <v>0.13</v>
      </c>
      <c r="O429">
        <v>0.07051182713552673</v>
      </c>
      <c r="P429" t="s">
        <v>420</v>
      </c>
      <c r="Q429" t="s">
        <v>420</v>
      </c>
      <c r="R429">
        <v>8</v>
      </c>
      <c r="S429">
        <v>1.02587377025981</v>
      </c>
      <c r="T429">
        <v>36</v>
      </c>
      <c r="U429">
        <v>1.541388888888889</v>
      </c>
      <c r="V429">
        <v>2.1403</v>
      </c>
      <c r="W429">
        <v>2</v>
      </c>
      <c r="X429">
        <v>2.05174754051962</v>
      </c>
      <c r="Y429">
        <v>-0.298289</v>
      </c>
      <c r="Z429">
        <v>0.5422885572139303</v>
      </c>
      <c r="AA429">
        <v>0.2334943639291465</v>
      </c>
      <c r="AB429">
        <v>0.9630225080385852</v>
      </c>
      <c r="AC429">
        <v>0.1607717041800643</v>
      </c>
      <c r="AD429">
        <v>0.5546623794212219</v>
      </c>
    </row>
    <row r="430" spans="1:30">
      <c r="A430" s="1" t="s">
        <v>437</v>
      </c>
      <c r="B430">
        <f>HYPERLINK("https://www.suredividend.com/sure-analysis-MIC/","Macquarie Infrastructure Corp.")</f>
        <v>0</v>
      </c>
      <c r="C430">
        <v>30.25</v>
      </c>
      <c r="D430">
        <v>2614.128864</v>
      </c>
      <c r="E430" t="s">
        <v>659</v>
      </c>
      <c r="F430" t="s">
        <v>631</v>
      </c>
      <c r="G430" t="s">
        <v>671</v>
      </c>
      <c r="H430" t="s">
        <v>702</v>
      </c>
      <c r="I430" t="s">
        <v>1130</v>
      </c>
      <c r="J430" t="s">
        <v>1315</v>
      </c>
      <c r="K430">
        <v>43969</v>
      </c>
      <c r="L430">
        <v>0.066577896138482</v>
      </c>
      <c r="M430">
        <v>0.04667449973773174</v>
      </c>
      <c r="N430">
        <v>0.02</v>
      </c>
      <c r="O430">
        <v>0.06760798973248638</v>
      </c>
      <c r="P430" t="s">
        <v>420</v>
      </c>
      <c r="Q430" t="s">
        <v>636</v>
      </c>
      <c r="R430">
        <v>0</v>
      </c>
      <c r="S430">
        <v>0.5</v>
      </c>
      <c r="T430">
        <v>38</v>
      </c>
      <c r="U430">
        <v>0.7960526315789473</v>
      </c>
      <c r="V430">
        <v>0.9037000000000001</v>
      </c>
      <c r="W430">
        <v>4</v>
      </c>
      <c r="X430">
        <v>2</v>
      </c>
      <c r="Y430">
        <v>-0.281509</v>
      </c>
      <c r="Z430">
        <v>0.7943615257048093</v>
      </c>
      <c r="AA430">
        <v>0.2624798711755233</v>
      </c>
      <c r="AB430">
        <v>0.157556270096463</v>
      </c>
      <c r="AC430">
        <v>0.8858520900321544</v>
      </c>
      <c r="AD430">
        <v>0.5385852090032155</v>
      </c>
    </row>
    <row r="431" spans="1:30">
      <c r="A431" s="1" t="s">
        <v>438</v>
      </c>
      <c r="B431">
        <f>HYPERLINK("https://www.suredividend.com/sure-analysis-SBR/","Sabine Royalty Trust")</f>
        <v>0</v>
      </c>
      <c r="C431">
        <v>32.09</v>
      </c>
      <c r="D431">
        <v>479.075798</v>
      </c>
      <c r="E431" t="s">
        <v>662</v>
      </c>
      <c r="F431" t="s">
        <v>631</v>
      </c>
      <c r="G431" t="s">
        <v>671</v>
      </c>
      <c r="H431" t="s">
        <v>702</v>
      </c>
      <c r="J431" t="s">
        <v>1317</v>
      </c>
      <c r="K431">
        <v>43984</v>
      </c>
      <c r="L431">
        <v>0.080784236153377</v>
      </c>
      <c r="M431">
        <v>-0.06444004615966792</v>
      </c>
      <c r="N431">
        <v>0.05</v>
      </c>
      <c r="O431">
        <v>0.06730604719547828</v>
      </c>
      <c r="P431" t="s">
        <v>420</v>
      </c>
      <c r="Q431" t="s">
        <v>381</v>
      </c>
      <c r="R431">
        <v>0</v>
      </c>
      <c r="S431">
        <v>1.020988461538461</v>
      </c>
      <c r="T431">
        <v>23</v>
      </c>
      <c r="U431">
        <v>1.395217391304348</v>
      </c>
      <c r="V431">
        <v>2.809</v>
      </c>
      <c r="W431">
        <v>2.6</v>
      </c>
      <c r="X431">
        <v>2.65457</v>
      </c>
      <c r="Y431">
        <v>-0.287913</v>
      </c>
      <c r="Z431">
        <v>0.8540630182421228</v>
      </c>
      <c r="AA431">
        <v>0.251207729468599</v>
      </c>
      <c r="AB431">
        <v>0.5168810289389068</v>
      </c>
      <c r="AC431">
        <v>0.2395498392282958</v>
      </c>
      <c r="AD431">
        <v>0.5337620578778135</v>
      </c>
    </row>
    <row r="432" spans="1:30">
      <c r="A432" s="1" t="s">
        <v>439</v>
      </c>
      <c r="B432">
        <f>HYPERLINK("https://www.suredividend.com/sure-analysis-EQR/","Equity Residential")</f>
        <v>0</v>
      </c>
      <c r="C432">
        <v>54.75</v>
      </c>
      <c r="D432">
        <v>20605.5456</v>
      </c>
      <c r="E432" t="s">
        <v>666</v>
      </c>
      <c r="F432" t="s">
        <v>633</v>
      </c>
      <c r="G432" t="s">
        <v>671</v>
      </c>
      <c r="H432" t="s">
        <v>702</v>
      </c>
      <c r="I432" t="s">
        <v>1131</v>
      </c>
      <c r="J432" t="s">
        <v>1322</v>
      </c>
      <c r="K432">
        <v>44006</v>
      </c>
      <c r="L432">
        <v>0.042268786127167</v>
      </c>
      <c r="M432">
        <v>-0.01409013877511278</v>
      </c>
      <c r="N432">
        <v>0.045</v>
      </c>
      <c r="O432">
        <v>0.06685915081063731</v>
      </c>
      <c r="P432" t="s">
        <v>420</v>
      </c>
      <c r="Q432" t="s">
        <v>420</v>
      </c>
      <c r="R432">
        <v>9</v>
      </c>
      <c r="S432">
        <v>0.7799999999999999</v>
      </c>
      <c r="T432">
        <v>51</v>
      </c>
      <c r="U432">
        <v>1.073529411764706</v>
      </c>
      <c r="V432">
        <v>3.0467</v>
      </c>
      <c r="W432">
        <v>3</v>
      </c>
      <c r="X432">
        <v>2.34</v>
      </c>
      <c r="Y432">
        <v>-0.317293</v>
      </c>
      <c r="Z432">
        <v>0.6086235489220564</v>
      </c>
      <c r="AA432">
        <v>0.2190016103059581</v>
      </c>
      <c r="AB432">
        <v>0.4429260450160772</v>
      </c>
      <c r="AC432">
        <v>0.5627009646302251</v>
      </c>
      <c r="AD432">
        <v>0.5305466237942122</v>
      </c>
    </row>
    <row r="433" spans="1:30">
      <c r="A433" s="1" t="s">
        <v>440</v>
      </c>
      <c r="B433">
        <f>HYPERLINK("https://www.suredividend.com/sure-analysis-LAMR/","Lamar Advertising Co.")</f>
        <v>0</v>
      </c>
      <c r="C433">
        <v>69.02</v>
      </c>
      <c r="D433">
        <v>6561.444639</v>
      </c>
      <c r="E433" t="s">
        <v>666</v>
      </c>
      <c r="F433" t="s">
        <v>633</v>
      </c>
      <c r="G433" t="s">
        <v>671</v>
      </c>
      <c r="H433" t="s">
        <v>701</v>
      </c>
      <c r="I433" t="s">
        <v>1132</v>
      </c>
      <c r="J433" t="s">
        <v>1322</v>
      </c>
      <c r="K433">
        <v>43978</v>
      </c>
      <c r="L433">
        <v>0.052518427518427</v>
      </c>
      <c r="M433">
        <v>-0.02762169842572337</v>
      </c>
      <c r="N433">
        <v>0.046</v>
      </c>
      <c r="O433">
        <v>0.065593272216659</v>
      </c>
      <c r="P433" t="s">
        <v>420</v>
      </c>
      <c r="Q433" t="s">
        <v>381</v>
      </c>
      <c r="R433">
        <v>4</v>
      </c>
      <c r="S433">
        <v>0.6839999999999999</v>
      </c>
      <c r="T433">
        <v>60</v>
      </c>
      <c r="U433">
        <v>1.150333333333333</v>
      </c>
      <c r="V433">
        <v>2.7275</v>
      </c>
      <c r="W433">
        <v>5</v>
      </c>
      <c r="X433">
        <v>3.42</v>
      </c>
      <c r="Y433">
        <v>-0.178089</v>
      </c>
      <c r="Z433">
        <v>0.7081260364842454</v>
      </c>
      <c r="AA433">
        <v>0.3848631239935588</v>
      </c>
      <c r="AB433">
        <v>0.4509646302250804</v>
      </c>
      <c r="AC433">
        <v>0.4855305466237942</v>
      </c>
      <c r="AD433">
        <v>0.5209003215434084</v>
      </c>
    </row>
    <row r="434" spans="1:30">
      <c r="A434" s="1" t="s">
        <v>441</v>
      </c>
      <c r="B434">
        <f>HYPERLINK("https://www.suredividend.com/sure-analysis-VTR/","Ventas, Inc.")</f>
        <v>0</v>
      </c>
      <c r="C434">
        <v>41.52</v>
      </c>
      <c r="D434">
        <v>15889.26425</v>
      </c>
      <c r="E434" t="s">
        <v>662</v>
      </c>
      <c r="F434" t="s">
        <v>633</v>
      </c>
      <c r="G434" t="s">
        <v>671</v>
      </c>
      <c r="H434" t="s">
        <v>702</v>
      </c>
      <c r="I434" t="s">
        <v>1133</v>
      </c>
      <c r="J434" t="s">
        <v>1322</v>
      </c>
      <c r="K434">
        <v>43969</v>
      </c>
      <c r="L434">
        <v>0.06638882366752701</v>
      </c>
      <c r="M434">
        <v>-0.02278780998341279</v>
      </c>
      <c r="N434">
        <v>0.02</v>
      </c>
      <c r="O434">
        <v>0.06505495899254532</v>
      </c>
      <c r="P434" t="s">
        <v>420</v>
      </c>
      <c r="Q434" t="s">
        <v>381</v>
      </c>
      <c r="R434">
        <v>18</v>
      </c>
      <c r="S434">
        <v>0.9120967741935484</v>
      </c>
      <c r="T434">
        <v>37</v>
      </c>
      <c r="U434">
        <v>1.122162162162162</v>
      </c>
      <c r="V434">
        <v>1.1072</v>
      </c>
      <c r="W434">
        <v>3.1</v>
      </c>
      <c r="X434">
        <v>2.8275</v>
      </c>
      <c r="Y434">
        <v>-0.422371</v>
      </c>
      <c r="Z434">
        <v>0.7910447761194029</v>
      </c>
      <c r="AA434">
        <v>0.1239935587761675</v>
      </c>
      <c r="AB434">
        <v>0.157556270096463</v>
      </c>
      <c r="AC434">
        <v>0.5096463022508039</v>
      </c>
      <c r="AD434">
        <v>0.517684887459807</v>
      </c>
    </row>
    <row r="435" spans="1:30">
      <c r="A435" s="1" t="s">
        <v>442</v>
      </c>
      <c r="B435">
        <f>HYPERLINK("https://www.suredividend.com/sure-analysis-AEG/","AEGON NV")</f>
        <v>0</v>
      </c>
      <c r="C435">
        <v>3.47</v>
      </c>
      <c r="D435">
        <v>6829.163702</v>
      </c>
      <c r="E435" t="s">
        <v>662</v>
      </c>
      <c r="F435" t="s">
        <v>631</v>
      </c>
      <c r="G435" t="s">
        <v>687</v>
      </c>
      <c r="H435" t="s">
        <v>702</v>
      </c>
      <c r="I435" t="s">
        <v>1134</v>
      </c>
      <c r="J435" t="s">
        <v>1312</v>
      </c>
      <c r="K435">
        <v>43980</v>
      </c>
      <c r="L435">
        <v>0.086328358208955</v>
      </c>
      <c r="M435">
        <v>-0.07108419252554465</v>
      </c>
      <c r="N435">
        <v>0.05</v>
      </c>
      <c r="O435">
        <v>0.06315109059387192</v>
      </c>
      <c r="P435" t="s">
        <v>420</v>
      </c>
      <c r="Q435" t="s">
        <v>636</v>
      </c>
      <c r="R435">
        <v>0</v>
      </c>
      <c r="S435">
        <v>0.723</v>
      </c>
      <c r="T435">
        <v>2.4</v>
      </c>
      <c r="U435">
        <v>1.445833333333334</v>
      </c>
      <c r="V435">
        <v>0.6761</v>
      </c>
      <c r="W435">
        <v>0.4</v>
      </c>
      <c r="X435">
        <v>0.2892</v>
      </c>
      <c r="Y435">
        <v>-0.2352</v>
      </c>
      <c r="Z435">
        <v>0.8706467661691542</v>
      </c>
      <c r="AA435">
        <v>0.3059581320450886</v>
      </c>
      <c r="AB435">
        <v>0.5168810289389068</v>
      </c>
      <c r="AC435">
        <v>0.2041800643086817</v>
      </c>
      <c r="AD435">
        <v>0.5080385852090032</v>
      </c>
    </row>
    <row r="436" spans="1:30">
      <c r="A436" s="1" t="s">
        <v>443</v>
      </c>
      <c r="B436">
        <f>HYPERLINK("https://www.suredividend.com/sure-analysis-LYB/","LyondellBasell Industries NV")</f>
        <v>0</v>
      </c>
      <c r="C436">
        <v>71.05</v>
      </c>
      <c r="D436">
        <v>23432.15941</v>
      </c>
      <c r="E436" t="s">
        <v>661</v>
      </c>
      <c r="F436" t="s">
        <v>631</v>
      </c>
      <c r="G436" t="s">
        <v>676</v>
      </c>
      <c r="H436" t="s">
        <v>702</v>
      </c>
      <c r="I436" t="s">
        <v>1135</v>
      </c>
      <c r="J436" t="s">
        <v>1321</v>
      </c>
      <c r="K436">
        <v>44049</v>
      </c>
      <c r="L436">
        <v>0.059837583701381</v>
      </c>
      <c r="M436">
        <v>-0.087296562304643</v>
      </c>
      <c r="N436">
        <v>0.1</v>
      </c>
      <c r="O436">
        <v>0.06080674283039289</v>
      </c>
      <c r="P436" t="s">
        <v>420</v>
      </c>
      <c r="Q436" t="s">
        <v>381</v>
      </c>
      <c r="R436">
        <v>9</v>
      </c>
      <c r="S436">
        <v>0.8400000000000001</v>
      </c>
      <c r="T436">
        <v>45</v>
      </c>
      <c r="U436">
        <v>1.578888888888889</v>
      </c>
      <c r="V436">
        <v>6.0371</v>
      </c>
      <c r="W436">
        <v>5</v>
      </c>
      <c r="X436">
        <v>4.2</v>
      </c>
      <c r="Y436">
        <v>-0.135356</v>
      </c>
      <c r="Z436">
        <v>0.7545605306799337</v>
      </c>
      <c r="AA436">
        <v>0.4347826086956522</v>
      </c>
      <c r="AB436">
        <v>0.907556270096463</v>
      </c>
      <c r="AC436">
        <v>0.1430868167202572</v>
      </c>
      <c r="AD436">
        <v>0.4967845659163987</v>
      </c>
    </row>
    <row r="437" spans="1:30">
      <c r="A437" s="1" t="s">
        <v>444</v>
      </c>
      <c r="B437">
        <f>HYPERLINK("https://www.suredividend.com/sure-analysis-IDEXY/","Industria de Diseño Textil SA")</f>
        <v>0</v>
      </c>
      <c r="C437">
        <v>13.36</v>
      </c>
      <c r="D437">
        <v>83220.09774</v>
      </c>
      <c r="E437" t="s">
        <v>664</v>
      </c>
      <c r="F437" t="s">
        <v>631</v>
      </c>
      <c r="G437" t="s">
        <v>680</v>
      </c>
      <c r="H437" t="s">
        <v>700</v>
      </c>
      <c r="I437" t="s">
        <v>1136</v>
      </c>
      <c r="J437" t="s">
        <v>1313</v>
      </c>
      <c r="K437">
        <v>44012</v>
      </c>
      <c r="L437">
        <v>0.018345808383233</v>
      </c>
      <c r="M437">
        <v>-0.03379515065880734</v>
      </c>
      <c r="N437">
        <v>0.08</v>
      </c>
      <c r="O437">
        <v>0.06064059744535499</v>
      </c>
      <c r="P437" t="s">
        <v>420</v>
      </c>
      <c r="Q437" t="s">
        <v>596</v>
      </c>
      <c r="R437">
        <v>0</v>
      </c>
      <c r="S437">
        <v>0.5446666666666666</v>
      </c>
      <c r="T437">
        <v>11.25</v>
      </c>
      <c r="U437">
        <v>1.187555555555555</v>
      </c>
      <c r="V437">
        <v>0.4467</v>
      </c>
      <c r="W437">
        <v>0.45</v>
      </c>
      <c r="X437">
        <v>0.2451</v>
      </c>
      <c r="Y437">
        <v>-0.110368</v>
      </c>
      <c r="Z437">
        <v>0.2271973466003317</v>
      </c>
      <c r="AA437">
        <v>0.463768115942029</v>
      </c>
      <c r="AB437">
        <v>0.8135048231511255</v>
      </c>
      <c r="AC437">
        <v>0.4324758842443729</v>
      </c>
      <c r="AD437">
        <v>0.4935691318327974</v>
      </c>
    </row>
    <row r="438" spans="1:30">
      <c r="A438" s="1" t="s">
        <v>445</v>
      </c>
      <c r="B438">
        <f>HYPERLINK("https://www.suredividend.com/sure-analysis-GNL/","Global Net Lease, Inc.")</f>
        <v>0</v>
      </c>
      <c r="C438">
        <v>17.81</v>
      </c>
      <c r="D438">
        <v>1594.58706</v>
      </c>
      <c r="E438" t="s">
        <v>666</v>
      </c>
      <c r="F438" t="s">
        <v>633</v>
      </c>
      <c r="G438" t="s">
        <v>671</v>
      </c>
      <c r="H438" t="s">
        <v>702</v>
      </c>
      <c r="I438" t="s">
        <v>1137</v>
      </c>
      <c r="J438" t="s">
        <v>1322</v>
      </c>
      <c r="K438">
        <v>44006</v>
      </c>
      <c r="L438">
        <v>0.104657687991021</v>
      </c>
      <c r="M438">
        <v>-0.04700016983347388</v>
      </c>
      <c r="N438">
        <v>0.015</v>
      </c>
      <c r="O438">
        <v>0.05998379754079775</v>
      </c>
      <c r="P438" t="s">
        <v>420</v>
      </c>
      <c r="Q438" t="s">
        <v>636</v>
      </c>
      <c r="R438">
        <v>0</v>
      </c>
      <c r="S438">
        <v>0.9325</v>
      </c>
      <c r="T438">
        <v>14</v>
      </c>
      <c r="U438">
        <v>1.272142857142857</v>
      </c>
      <c r="V438">
        <v>0.2444</v>
      </c>
      <c r="W438">
        <v>2</v>
      </c>
      <c r="X438">
        <v>1.865</v>
      </c>
      <c r="Y438">
        <v>-0.121121</v>
      </c>
      <c r="Z438">
        <v>0.9087893864013268</v>
      </c>
      <c r="AA438">
        <v>0.4508856682769726</v>
      </c>
      <c r="AB438">
        <v>0.1101286173633441</v>
      </c>
      <c r="AC438">
        <v>0.3472668810289389</v>
      </c>
      <c r="AD438">
        <v>0.4903536977491962</v>
      </c>
    </row>
    <row r="439" spans="1:30">
      <c r="A439" s="1" t="s">
        <v>446</v>
      </c>
      <c r="B439">
        <f>HYPERLINK("https://www.suredividend.com/sure-analysis-BGS/","B&amp;G Foods, Inc.")</f>
        <v>0</v>
      </c>
      <c r="C439">
        <v>28.81</v>
      </c>
      <c r="D439">
        <v>1878.100769</v>
      </c>
      <c r="E439" t="s">
        <v>661</v>
      </c>
      <c r="F439" t="s">
        <v>631</v>
      </c>
      <c r="G439" t="s">
        <v>671</v>
      </c>
      <c r="H439" t="s">
        <v>702</v>
      </c>
      <c r="I439" t="s">
        <v>1138</v>
      </c>
      <c r="J439" t="s">
        <v>1320</v>
      </c>
      <c r="K439">
        <v>44049</v>
      </c>
      <c r="L439">
        <v>0.064912880081995</v>
      </c>
      <c r="M439">
        <v>-0.02797071351368474</v>
      </c>
      <c r="N439">
        <v>0.03</v>
      </c>
      <c r="O439">
        <v>0.05960144289202041</v>
      </c>
      <c r="P439" t="s">
        <v>420</v>
      </c>
      <c r="Q439" t="s">
        <v>381</v>
      </c>
      <c r="R439">
        <v>9</v>
      </c>
      <c r="S439">
        <v>0.9047619047619047</v>
      </c>
      <c r="T439">
        <v>25</v>
      </c>
      <c r="U439">
        <v>1.1524</v>
      </c>
      <c r="V439">
        <v>1.7768</v>
      </c>
      <c r="W439">
        <v>2.1</v>
      </c>
      <c r="X439">
        <v>1.9</v>
      </c>
      <c r="Y439">
        <v>0.506116</v>
      </c>
      <c r="Z439">
        <v>0.7810945273631841</v>
      </c>
      <c r="AA439">
        <v>0.9533011272141707</v>
      </c>
      <c r="AB439">
        <v>0.2540192926045016</v>
      </c>
      <c r="AC439">
        <v>0.4839228295819936</v>
      </c>
      <c r="AD439">
        <v>0.4839228295819936</v>
      </c>
    </row>
    <row r="440" spans="1:30">
      <c r="A440" s="1" t="s">
        <v>447</v>
      </c>
      <c r="B440">
        <f>HYPERLINK("https://www.suredividend.com/sure-analysis-AB/","AllianceBernstein Holding LP")</f>
        <v>0</v>
      </c>
      <c r="C440">
        <v>28.54</v>
      </c>
      <c r="D440">
        <v>2725.16832</v>
      </c>
      <c r="E440" t="s">
        <v>666</v>
      </c>
      <c r="F440" t="s">
        <v>631</v>
      </c>
      <c r="G440" t="s">
        <v>671</v>
      </c>
      <c r="H440" t="s">
        <v>702</v>
      </c>
      <c r="I440" t="s">
        <v>1139</v>
      </c>
      <c r="J440" t="s">
        <v>1312</v>
      </c>
      <c r="K440">
        <v>44041</v>
      </c>
      <c r="L440">
        <v>0.09483368719037501</v>
      </c>
      <c r="M440">
        <v>-0.01846932719406658</v>
      </c>
      <c r="N440">
        <v>-0.002</v>
      </c>
      <c r="O440">
        <v>0.0572251180666703</v>
      </c>
      <c r="P440" t="s">
        <v>420</v>
      </c>
      <c r="Q440" t="s">
        <v>381</v>
      </c>
      <c r="R440">
        <v>0</v>
      </c>
      <c r="S440">
        <v>1.038759689922481</v>
      </c>
      <c r="T440">
        <v>26</v>
      </c>
      <c r="U440">
        <v>1.097692307692308</v>
      </c>
      <c r="V440">
        <v>2.6776</v>
      </c>
      <c r="W440">
        <v>2.58</v>
      </c>
      <c r="X440">
        <v>2.68</v>
      </c>
      <c r="Y440">
        <v>0.0039</v>
      </c>
      <c r="Z440">
        <v>0.8822553897180763</v>
      </c>
      <c r="AA440">
        <v>0.639291465378422</v>
      </c>
      <c r="AB440">
        <v>0.022508038585209</v>
      </c>
      <c r="AC440">
        <v>0.5385852090032155</v>
      </c>
      <c r="AD440">
        <v>0.4710610932475884</v>
      </c>
    </row>
    <row r="441" spans="1:30">
      <c r="A441" s="1" t="s">
        <v>448</v>
      </c>
      <c r="B441">
        <f>HYPERLINK("https://www.suredividend.com/sure-analysis-DDAIF/","Daimler AG")</f>
        <v>0</v>
      </c>
      <c r="C441">
        <v>48.41</v>
      </c>
      <c r="D441">
        <v>51790.9544</v>
      </c>
      <c r="E441" t="s">
        <v>659</v>
      </c>
      <c r="F441" t="s">
        <v>631</v>
      </c>
      <c r="G441" t="s">
        <v>678</v>
      </c>
      <c r="H441" t="s">
        <v>700</v>
      </c>
      <c r="I441" t="s">
        <v>1140</v>
      </c>
      <c r="J441" t="s">
        <v>1313</v>
      </c>
      <c r="K441">
        <v>44042</v>
      </c>
      <c r="L441">
        <v>0.018591200165255</v>
      </c>
      <c r="M441">
        <v>0.01828221221054305</v>
      </c>
      <c r="N441">
        <v>0.02</v>
      </c>
      <c r="O441">
        <v>0.05585232862658929</v>
      </c>
      <c r="P441" t="s">
        <v>420</v>
      </c>
      <c r="Q441" t="s">
        <v>596</v>
      </c>
      <c r="R441">
        <v>0</v>
      </c>
      <c r="S441">
        <v>0.6</v>
      </c>
      <c r="T441">
        <v>53</v>
      </c>
      <c r="U441">
        <v>0.9133962264150943</v>
      </c>
      <c r="V441">
        <v>-0.2893</v>
      </c>
      <c r="W441">
        <v>1.5</v>
      </c>
      <c r="X441">
        <v>0.9</v>
      </c>
      <c r="Y441">
        <v>-0.022107</v>
      </c>
      <c r="Z441">
        <v>0.2338308457711443</v>
      </c>
      <c r="AA441">
        <v>0.6086956521739131</v>
      </c>
      <c r="AB441">
        <v>0.157556270096463</v>
      </c>
      <c r="AC441">
        <v>0.7540192926045016</v>
      </c>
      <c r="AD441">
        <v>0.4630225080385852</v>
      </c>
    </row>
    <row r="442" spans="1:30">
      <c r="A442" s="1" t="s">
        <v>449</v>
      </c>
      <c r="B442">
        <f>HYPERLINK("https://www.suredividend.com/sure-analysis-DRETF/","Dream Office Real Estate Investment Trust")</f>
        <v>0</v>
      </c>
      <c r="C442">
        <v>14.9</v>
      </c>
      <c r="D442">
        <v>905.468873</v>
      </c>
      <c r="E442" t="s">
        <v>666</v>
      </c>
      <c r="F442" t="s">
        <v>631</v>
      </c>
      <c r="G442" t="s">
        <v>672</v>
      </c>
      <c r="H442" t="s">
        <v>700</v>
      </c>
      <c r="I442" t="s">
        <v>1141</v>
      </c>
      <c r="J442" t="s">
        <v>1312</v>
      </c>
      <c r="K442">
        <v>44012</v>
      </c>
      <c r="L442">
        <v>0.049998871963168</v>
      </c>
      <c r="M442">
        <v>-0.01954085869729338</v>
      </c>
      <c r="N442">
        <v>0.031</v>
      </c>
      <c r="O442">
        <v>0.05573921893659173</v>
      </c>
      <c r="P442" t="s">
        <v>420</v>
      </c>
      <c r="Q442" t="s">
        <v>381</v>
      </c>
      <c r="R442">
        <v>0</v>
      </c>
      <c r="S442">
        <v>0.4966554615008054</v>
      </c>
      <c r="T442">
        <v>13.5</v>
      </c>
      <c r="U442">
        <v>1.103703703703704</v>
      </c>
      <c r="V442">
        <v>2.1962</v>
      </c>
      <c r="W442">
        <v>1.5</v>
      </c>
      <c r="X442">
        <v>0.744983192251208</v>
      </c>
      <c r="Y442">
        <v>-0.200588</v>
      </c>
      <c r="Z442">
        <v>0.691542288557214</v>
      </c>
      <c r="AA442">
        <v>0.3607085346215781</v>
      </c>
      <c r="AB442">
        <v>0.3030546623794212</v>
      </c>
      <c r="AC442">
        <v>0.5321543408360129</v>
      </c>
      <c r="AD442">
        <v>0.4581993569131833</v>
      </c>
    </row>
    <row r="443" spans="1:30">
      <c r="A443" s="1" t="s">
        <v>450</v>
      </c>
      <c r="B443">
        <f>HYPERLINK("https://www.suredividend.com/sure-analysis-ARCC/","Ares Capital Corp.")</f>
        <v>0</v>
      </c>
      <c r="C443">
        <v>14.9</v>
      </c>
      <c r="D443">
        <v>6347.78244</v>
      </c>
      <c r="E443" t="s">
        <v>666</v>
      </c>
      <c r="F443" t="s">
        <v>634</v>
      </c>
      <c r="G443" t="s">
        <v>671</v>
      </c>
      <c r="H443" t="s">
        <v>701</v>
      </c>
      <c r="I443" t="s">
        <v>1142</v>
      </c>
      <c r="J443" t="s">
        <v>1312</v>
      </c>
      <c r="K443">
        <v>43978</v>
      </c>
      <c r="L443">
        <v>0.106524633821571</v>
      </c>
      <c r="M443">
        <v>-0.06233544927316337</v>
      </c>
      <c r="N443">
        <v>0.01</v>
      </c>
      <c r="O443">
        <v>0.05475289160829977</v>
      </c>
      <c r="P443" t="s">
        <v>420</v>
      </c>
      <c r="Q443" t="s">
        <v>636</v>
      </c>
      <c r="R443">
        <v>2</v>
      </c>
      <c r="S443">
        <v>0.888888888888889</v>
      </c>
      <c r="T443">
        <v>10.8</v>
      </c>
      <c r="U443">
        <v>1.37962962962963</v>
      </c>
      <c r="V443">
        <v>0.117</v>
      </c>
      <c r="W443">
        <v>1.8</v>
      </c>
      <c r="X443">
        <v>1.6</v>
      </c>
      <c r="Y443">
        <v>-0.201396</v>
      </c>
      <c r="Z443">
        <v>0.9121061359867331</v>
      </c>
      <c r="AA443">
        <v>0.357487922705314</v>
      </c>
      <c r="AB443">
        <v>0.08601286173633441</v>
      </c>
      <c r="AC443">
        <v>0.247588424437299</v>
      </c>
      <c r="AD443">
        <v>0.4533762057877814</v>
      </c>
    </row>
    <row r="444" spans="1:30">
      <c r="A444" s="1" t="s">
        <v>451</v>
      </c>
      <c r="B444">
        <f>HYPERLINK("https://www.suredividend.com/sure-analysis-VFC/","VF Corp.")</f>
        <v>0</v>
      </c>
      <c r="C444">
        <v>64.45999999999999</v>
      </c>
      <c r="D444">
        <v>24941.43249</v>
      </c>
      <c r="E444" t="s">
        <v>661</v>
      </c>
      <c r="F444" t="s">
        <v>631</v>
      </c>
      <c r="G444" t="s">
        <v>671</v>
      </c>
      <c r="H444" t="s">
        <v>702</v>
      </c>
      <c r="I444" t="s">
        <v>1143</v>
      </c>
      <c r="J444" t="s">
        <v>1313</v>
      </c>
      <c r="K444">
        <v>44049</v>
      </c>
      <c r="L444">
        <v>0.029214185283549</v>
      </c>
      <c r="M444">
        <v>-0.06935415542263601</v>
      </c>
      <c r="N444">
        <v>0.1</v>
      </c>
      <c r="O444">
        <v>0.05189259767098986</v>
      </c>
      <c r="P444" t="s">
        <v>420</v>
      </c>
      <c r="Q444" t="s">
        <v>420</v>
      </c>
      <c r="R444">
        <v>47</v>
      </c>
      <c r="S444">
        <v>1.7</v>
      </c>
      <c r="T444">
        <v>45</v>
      </c>
      <c r="U444">
        <v>1.432444444444444</v>
      </c>
      <c r="V444">
        <v>0.8347</v>
      </c>
      <c r="W444">
        <v>1.1</v>
      </c>
      <c r="X444">
        <v>1.87</v>
      </c>
      <c r="Y444">
        <v>-0.267424</v>
      </c>
      <c r="Z444">
        <v>0.4162520729684909</v>
      </c>
      <c r="AA444">
        <v>0.2753623188405797</v>
      </c>
      <c r="AB444">
        <v>0.907556270096463</v>
      </c>
      <c r="AC444">
        <v>0.2106109324758842</v>
      </c>
      <c r="AD444">
        <v>0.4389067524115756</v>
      </c>
    </row>
    <row r="445" spans="1:30">
      <c r="A445" s="1" t="s">
        <v>452</v>
      </c>
      <c r="B445">
        <f>HYPERLINK("https://www.suredividend.com/sure-analysis-NTR/","Nutrien Ltd.")</f>
        <v>0</v>
      </c>
      <c r="C445">
        <v>38.44</v>
      </c>
      <c r="D445">
        <v>20876.27528</v>
      </c>
      <c r="E445" t="s">
        <v>668</v>
      </c>
      <c r="F445" t="s">
        <v>631</v>
      </c>
      <c r="G445" t="s">
        <v>672</v>
      </c>
      <c r="H445" t="s">
        <v>702</v>
      </c>
      <c r="I445" t="s">
        <v>1144</v>
      </c>
      <c r="J445" t="s">
        <v>1321</v>
      </c>
      <c r="K445">
        <v>43985</v>
      </c>
      <c r="L445">
        <v>0.04884123854990501</v>
      </c>
      <c r="M445">
        <v>-0.04210994805604396</v>
      </c>
      <c r="N445">
        <v>0.05</v>
      </c>
      <c r="O445">
        <v>0.05152430525589691</v>
      </c>
      <c r="P445" t="s">
        <v>420</v>
      </c>
      <c r="Q445" t="s">
        <v>420</v>
      </c>
      <c r="R445">
        <v>2</v>
      </c>
      <c r="S445">
        <v>0.9952759055614112</v>
      </c>
      <c r="T445">
        <v>31</v>
      </c>
      <c r="U445">
        <v>1.24</v>
      </c>
      <c r="V445">
        <v>1.5767</v>
      </c>
      <c r="W445">
        <v>1.8</v>
      </c>
      <c r="X445">
        <v>1.79149663001054</v>
      </c>
      <c r="Y445">
        <v>-0.327138</v>
      </c>
      <c r="Z445">
        <v>0.6799336650082918</v>
      </c>
      <c r="AA445">
        <v>0.2077294685990338</v>
      </c>
      <c r="AB445">
        <v>0.5168810289389068</v>
      </c>
      <c r="AC445">
        <v>0.3842443729903537</v>
      </c>
      <c r="AD445">
        <v>0.4372990353697749</v>
      </c>
    </row>
    <row r="446" spans="1:30">
      <c r="A446" s="1" t="s">
        <v>453</v>
      </c>
      <c r="B446">
        <f>HYPERLINK("https://www.suredividend.com/sure-analysis-STAG/","STAG Industrial, Inc.")</f>
        <v>0</v>
      </c>
      <c r="C446">
        <v>32.68</v>
      </c>
      <c r="D446">
        <v>5134.107779</v>
      </c>
      <c r="E446" t="s">
        <v>662</v>
      </c>
      <c r="F446" t="s">
        <v>633</v>
      </c>
      <c r="G446" t="s">
        <v>671</v>
      </c>
      <c r="H446" t="s">
        <v>702</v>
      </c>
      <c r="I446" t="s">
        <v>1145</v>
      </c>
      <c r="J446" t="s">
        <v>1322</v>
      </c>
      <c r="K446">
        <v>43971</v>
      </c>
      <c r="L446">
        <v>0.04270672218917301</v>
      </c>
      <c r="M446">
        <v>-0.037465414806794</v>
      </c>
      <c r="N446">
        <v>0.05</v>
      </c>
      <c r="O446">
        <v>0.05080129722150128</v>
      </c>
      <c r="P446" t="s">
        <v>420</v>
      </c>
      <c r="Q446" t="s">
        <v>420</v>
      </c>
      <c r="R446">
        <v>10</v>
      </c>
      <c r="S446">
        <v>0.7976666666666666</v>
      </c>
      <c r="T446">
        <v>27</v>
      </c>
      <c r="U446">
        <v>1.21037037037037</v>
      </c>
      <c r="V446">
        <v>0.7335</v>
      </c>
      <c r="W446">
        <v>1.8</v>
      </c>
      <c r="X446">
        <v>1.4358</v>
      </c>
      <c r="Y446">
        <v>0.137083</v>
      </c>
      <c r="Z446">
        <v>0.615257048092869</v>
      </c>
      <c r="AA446">
        <v>0.7793880837359098</v>
      </c>
      <c r="AB446">
        <v>0.5168810289389068</v>
      </c>
      <c r="AC446">
        <v>0.4147909967845659</v>
      </c>
      <c r="AD446">
        <v>0.4292604501607717</v>
      </c>
    </row>
    <row r="447" spans="1:30">
      <c r="A447" s="1" t="s">
        <v>454</v>
      </c>
      <c r="B447">
        <f>HYPERLINK("https://www.suredividend.com/sure-analysis-GOOD/","Gladstone Commercial Corp.")</f>
        <v>0</v>
      </c>
      <c r="C447">
        <v>18.37</v>
      </c>
      <c r="D447">
        <v>654.038797</v>
      </c>
      <c r="E447" t="s">
        <v>663</v>
      </c>
      <c r="F447" t="s">
        <v>633</v>
      </c>
      <c r="G447" t="s">
        <v>671</v>
      </c>
      <c r="H447" t="s">
        <v>701</v>
      </c>
      <c r="I447" t="s">
        <v>1096</v>
      </c>
      <c r="J447" t="s">
        <v>1322</v>
      </c>
      <c r="K447">
        <v>44046</v>
      </c>
      <c r="L447">
        <v>0.07993077742279001</v>
      </c>
      <c r="M447">
        <v>-0.02724792636713702</v>
      </c>
      <c r="N447">
        <v>0</v>
      </c>
      <c r="O447">
        <v>0.0504895613191878</v>
      </c>
      <c r="P447" t="s">
        <v>420</v>
      </c>
      <c r="Q447" t="s">
        <v>381</v>
      </c>
      <c r="R447">
        <v>0</v>
      </c>
      <c r="S447">
        <v>0.9500632911392405</v>
      </c>
      <c r="T447">
        <v>16</v>
      </c>
      <c r="U447">
        <v>1.148125</v>
      </c>
      <c r="V447">
        <v>-0.2459</v>
      </c>
      <c r="W447">
        <v>1.58</v>
      </c>
      <c r="X447">
        <v>1.5011</v>
      </c>
      <c r="Y447">
        <v>-0.159946</v>
      </c>
      <c r="Z447">
        <v>0.8474295190713101</v>
      </c>
      <c r="AA447">
        <v>0.4122383252818035</v>
      </c>
      <c r="AB447">
        <v>0.04662379421221865</v>
      </c>
      <c r="AC447">
        <v>0.4887459807073955</v>
      </c>
      <c r="AD447">
        <v>0.4228295819935691</v>
      </c>
    </row>
    <row r="448" spans="1:30">
      <c r="A448" s="1" t="s">
        <v>455</v>
      </c>
      <c r="B448">
        <f>HYPERLINK("https://www.suredividend.com/sure-analysis-PHG/","Koninklijke Philips NV")</f>
        <v>0</v>
      </c>
      <c r="C448">
        <v>51.93</v>
      </c>
      <c r="D448">
        <v>47315.087447</v>
      </c>
      <c r="E448" t="s">
        <v>662</v>
      </c>
      <c r="F448" t="s">
        <v>631</v>
      </c>
      <c r="G448" t="s">
        <v>687</v>
      </c>
      <c r="H448" t="s">
        <v>702</v>
      </c>
      <c r="I448" t="s">
        <v>1146</v>
      </c>
      <c r="J448" t="s">
        <v>1316</v>
      </c>
      <c r="K448">
        <v>43966</v>
      </c>
      <c r="L448">
        <v>0.017981933499903</v>
      </c>
      <c r="M448">
        <v>-0.07065528050732028</v>
      </c>
      <c r="N448">
        <v>0.11</v>
      </c>
      <c r="O448">
        <v>0.04895029932603601</v>
      </c>
      <c r="P448" t="s">
        <v>420</v>
      </c>
      <c r="Q448" t="s">
        <v>596</v>
      </c>
      <c r="R448">
        <v>0</v>
      </c>
      <c r="S448">
        <v>0.4678</v>
      </c>
      <c r="T448">
        <v>36</v>
      </c>
      <c r="U448">
        <v>1.4425</v>
      </c>
      <c r="V448">
        <v>1.2172</v>
      </c>
      <c r="W448">
        <v>2</v>
      </c>
      <c r="X448">
        <v>0.9356000000000001</v>
      </c>
      <c r="Y448">
        <v>0.148973</v>
      </c>
      <c r="Z448">
        <v>0.2222222222222222</v>
      </c>
      <c r="AA448">
        <v>0.7858293075684379</v>
      </c>
      <c r="AB448">
        <v>0.9340836012861736</v>
      </c>
      <c r="AC448">
        <v>0.207395498392283</v>
      </c>
      <c r="AD448">
        <v>0.4115755627009646</v>
      </c>
    </row>
    <row r="449" spans="1:30">
      <c r="A449" s="1" t="s">
        <v>456</v>
      </c>
      <c r="B449">
        <f>HYPERLINK("https://www.suredividend.com/sure-analysis-KHC/","The Kraft Heinz Co.")</f>
        <v>0</v>
      </c>
      <c r="C449">
        <v>34.63</v>
      </c>
      <c r="D449">
        <v>42533.5582</v>
      </c>
      <c r="E449" t="s">
        <v>659</v>
      </c>
      <c r="F449" t="s">
        <v>631</v>
      </c>
      <c r="G449" t="s">
        <v>671</v>
      </c>
      <c r="H449" t="s">
        <v>701</v>
      </c>
      <c r="I449" t="s">
        <v>1147</v>
      </c>
      <c r="J449" t="s">
        <v>1320</v>
      </c>
      <c r="K449">
        <v>43963</v>
      </c>
      <c r="L449">
        <v>0.04599022707674601</v>
      </c>
      <c r="M449">
        <v>-0.02190319456733691</v>
      </c>
      <c r="N449">
        <v>0.03</v>
      </c>
      <c r="O449">
        <v>0.04876108178548666</v>
      </c>
      <c r="P449" t="s">
        <v>420</v>
      </c>
      <c r="Q449" t="s">
        <v>381</v>
      </c>
      <c r="R449">
        <v>0</v>
      </c>
      <c r="S449">
        <v>0.6808510638297872</v>
      </c>
      <c r="T449">
        <v>31</v>
      </c>
      <c r="U449">
        <v>1.117096774193548</v>
      </c>
      <c r="V449">
        <v>-0.1553</v>
      </c>
      <c r="W449">
        <v>2.35</v>
      </c>
      <c r="X449">
        <v>1.6</v>
      </c>
      <c r="Y449">
        <v>0.254784</v>
      </c>
      <c r="Z449">
        <v>0.6484245439469321</v>
      </c>
      <c r="AA449">
        <v>0.8599033816425121</v>
      </c>
      <c r="AB449">
        <v>0.2540192926045016</v>
      </c>
      <c r="AC449">
        <v>0.5160771704180064</v>
      </c>
      <c r="AD449">
        <v>0.4067524115755627</v>
      </c>
    </row>
    <row r="450" spans="1:30">
      <c r="A450" s="1" t="s">
        <v>457</v>
      </c>
      <c r="B450">
        <f>HYPERLINK("https://www.suredividend.com/sure-analysis-DREUF/","Dream Industrial Real Estate Investment Trust")</f>
        <v>0</v>
      </c>
      <c r="C450">
        <v>8.35</v>
      </c>
      <c r="D450">
        <v>1429.760939</v>
      </c>
      <c r="E450" t="s">
        <v>666</v>
      </c>
      <c r="F450" t="s">
        <v>633</v>
      </c>
      <c r="G450" t="s">
        <v>672</v>
      </c>
      <c r="H450" t="s">
        <v>700</v>
      </c>
      <c r="I450" t="s">
        <v>1148</v>
      </c>
      <c r="J450" t="s">
        <v>1312</v>
      </c>
      <c r="K450">
        <v>44006</v>
      </c>
      <c r="L450">
        <v>0.062452610110171</v>
      </c>
      <c r="M450">
        <v>-0.06396313156527056</v>
      </c>
      <c r="N450">
        <v>0.052</v>
      </c>
      <c r="O450">
        <v>0.04862637986550533</v>
      </c>
      <c r="P450" t="s">
        <v>420</v>
      </c>
      <c r="Q450" t="s">
        <v>381</v>
      </c>
      <c r="R450">
        <v>0</v>
      </c>
      <c r="S450">
        <v>0.7449704205999015</v>
      </c>
      <c r="T450">
        <v>6</v>
      </c>
      <c r="U450">
        <v>1.391666666666667</v>
      </c>
      <c r="V450">
        <v>0.7539</v>
      </c>
      <c r="W450">
        <v>0.7</v>
      </c>
      <c r="X450">
        <v>0.521479294419931</v>
      </c>
      <c r="Y450">
        <v>-0.092973</v>
      </c>
      <c r="Z450">
        <v>0.7678275290215589</v>
      </c>
      <c r="AA450">
        <v>0.4927536231884058</v>
      </c>
      <c r="AB450">
        <v>0.5803858520900321</v>
      </c>
      <c r="AC450">
        <v>0.2411575562700965</v>
      </c>
      <c r="AD450">
        <v>0.4051446945337621</v>
      </c>
    </row>
    <row r="451" spans="1:30">
      <c r="A451" s="1" t="s">
        <v>458</v>
      </c>
      <c r="B451">
        <f>HYPERLINK("https://www.suredividend.com/sure-analysis-EPR/","EPR Properties")</f>
        <v>0</v>
      </c>
      <c r="C451">
        <v>33.6</v>
      </c>
      <c r="D451">
        <v>2473.384485</v>
      </c>
      <c r="E451" t="s">
        <v>663</v>
      </c>
      <c r="F451" t="s">
        <v>633</v>
      </c>
      <c r="G451" t="s">
        <v>671</v>
      </c>
      <c r="H451" t="s">
        <v>702</v>
      </c>
      <c r="I451" t="s">
        <v>1149</v>
      </c>
      <c r="J451" t="s">
        <v>1322</v>
      </c>
      <c r="K451">
        <v>43982</v>
      </c>
      <c r="L451">
        <v>0.102262443438914</v>
      </c>
      <c r="M451">
        <v>0.008197818497166498</v>
      </c>
      <c r="N451">
        <v>0</v>
      </c>
      <c r="O451">
        <v>0.04722807424026021</v>
      </c>
      <c r="P451" t="s">
        <v>420</v>
      </c>
      <c r="Q451" t="s">
        <v>636</v>
      </c>
      <c r="R451">
        <v>0</v>
      </c>
      <c r="S451">
        <v>0.9685714285714286</v>
      </c>
      <c r="T451">
        <v>35</v>
      </c>
      <c r="U451">
        <v>0.9600000000000001</v>
      </c>
      <c r="V451">
        <v>0.2133</v>
      </c>
      <c r="W451">
        <v>3.5</v>
      </c>
      <c r="X451">
        <v>3.39</v>
      </c>
      <c r="Y451">
        <v>-0.5828789999999999</v>
      </c>
      <c r="Z451">
        <v>0.9054726368159204</v>
      </c>
      <c r="AA451">
        <v>0.03703703703703703</v>
      </c>
      <c r="AB451">
        <v>0.04662379421221865</v>
      </c>
      <c r="AC451">
        <v>0.7009646302250804</v>
      </c>
      <c r="AD451">
        <v>0.3938906752411575</v>
      </c>
    </row>
    <row r="452" spans="1:30">
      <c r="A452" s="1" t="s">
        <v>459</v>
      </c>
      <c r="B452">
        <f>HYPERLINK("https://www.suredividend.com/sure-analysis-CF/","CF Industries Holdings, Inc.")</f>
        <v>0</v>
      </c>
      <c r="C452">
        <v>35.49</v>
      </c>
      <c r="D452">
        <v>7460.1344</v>
      </c>
      <c r="E452" t="s">
        <v>663</v>
      </c>
      <c r="F452" t="s">
        <v>631</v>
      </c>
      <c r="G452" t="s">
        <v>671</v>
      </c>
      <c r="H452" t="s">
        <v>702</v>
      </c>
      <c r="I452" t="s">
        <v>1150</v>
      </c>
      <c r="J452" t="s">
        <v>1321</v>
      </c>
      <c r="K452">
        <v>43966</v>
      </c>
      <c r="L452">
        <v>0.03440366972477001</v>
      </c>
      <c r="M452">
        <v>-0.00277671879893715</v>
      </c>
      <c r="N452">
        <v>0.02</v>
      </c>
      <c r="O452">
        <v>0.04695771121097558</v>
      </c>
      <c r="P452" t="s">
        <v>420</v>
      </c>
      <c r="Q452" t="s">
        <v>420</v>
      </c>
      <c r="R452">
        <v>0</v>
      </c>
      <c r="S452">
        <v>0.7999999999999999</v>
      </c>
      <c r="T452">
        <v>35</v>
      </c>
      <c r="U452">
        <v>1.014</v>
      </c>
      <c r="V452">
        <v>1.7503</v>
      </c>
      <c r="W452">
        <v>1.5</v>
      </c>
      <c r="X452">
        <v>1.2</v>
      </c>
      <c r="Y452">
        <v>-0.364717</v>
      </c>
      <c r="Z452">
        <v>0.4925373134328359</v>
      </c>
      <c r="AA452">
        <v>0.1674718196457327</v>
      </c>
      <c r="AB452">
        <v>0.157556270096463</v>
      </c>
      <c r="AC452">
        <v>0.6446945337620579</v>
      </c>
      <c r="AD452">
        <v>0.3906752411575563</v>
      </c>
    </row>
    <row r="453" spans="1:30">
      <c r="A453" s="1" t="s">
        <v>460</v>
      </c>
      <c r="B453">
        <f>HYPERLINK("https://www.suredividend.com/sure-analysis-PEAK/","Healthpeak Properties, Inc.")</f>
        <v>0</v>
      </c>
      <c r="C453">
        <v>28.22</v>
      </c>
      <c r="D453">
        <v>15627.40057</v>
      </c>
      <c r="E453" t="s">
        <v>662</v>
      </c>
      <c r="F453" t="s">
        <v>633</v>
      </c>
      <c r="G453" t="s">
        <v>671</v>
      </c>
      <c r="H453" t="s">
        <v>702</v>
      </c>
      <c r="I453" t="s">
        <v>1151</v>
      </c>
      <c r="J453" t="s">
        <v>1322</v>
      </c>
      <c r="K453">
        <v>43977</v>
      </c>
      <c r="L453">
        <v>0.050981743024457</v>
      </c>
      <c r="M453">
        <v>-0.03187631219993781</v>
      </c>
      <c r="N453">
        <v>0.03</v>
      </c>
      <c r="O453">
        <v>0.04673930542807492</v>
      </c>
      <c r="P453" t="s">
        <v>420</v>
      </c>
      <c r="Q453" t="s">
        <v>420</v>
      </c>
      <c r="R453">
        <v>0</v>
      </c>
      <c r="S453">
        <v>0.896969696969697</v>
      </c>
      <c r="T453">
        <v>24</v>
      </c>
      <c r="U453">
        <v>1.175833333333333</v>
      </c>
      <c r="V453">
        <v>0.6356000000000001</v>
      </c>
      <c r="W453">
        <v>1.65</v>
      </c>
      <c r="X453">
        <v>1.48</v>
      </c>
      <c r="Y453">
        <v>-0.163695</v>
      </c>
      <c r="Z453">
        <v>0.6965174129353234</v>
      </c>
      <c r="AA453">
        <v>0.4090177133655394</v>
      </c>
      <c r="AB453">
        <v>0.2540192926045016</v>
      </c>
      <c r="AC453">
        <v>0.4517684887459807</v>
      </c>
      <c r="AD453">
        <v>0.3874598070739549</v>
      </c>
    </row>
    <row r="454" spans="1:30">
      <c r="A454" s="1" t="s">
        <v>461</v>
      </c>
      <c r="B454">
        <f>HYPERLINK("https://www.suredividend.com/sure-analysis-HOG/","Harley-Davidson, Inc.")</f>
        <v>0</v>
      </c>
      <c r="C454">
        <v>27.88</v>
      </c>
      <c r="D454">
        <v>4174.28484</v>
      </c>
      <c r="E454" t="s">
        <v>666</v>
      </c>
      <c r="F454" t="s">
        <v>631</v>
      </c>
      <c r="G454" t="s">
        <v>671</v>
      </c>
      <c r="H454" t="s">
        <v>702</v>
      </c>
      <c r="I454" t="s">
        <v>1152</v>
      </c>
      <c r="J454" t="s">
        <v>1313</v>
      </c>
      <c r="K454">
        <v>44012</v>
      </c>
      <c r="L454">
        <v>0.042217327459618</v>
      </c>
      <c r="M454">
        <v>-0.02157070391298854</v>
      </c>
      <c r="N454">
        <v>0.037</v>
      </c>
      <c r="O454">
        <v>0.04565890759554692</v>
      </c>
      <c r="P454" t="s">
        <v>420</v>
      </c>
      <c r="Q454" t="s">
        <v>420</v>
      </c>
      <c r="R454">
        <v>0</v>
      </c>
      <c r="S454">
        <v>0.9126984126984127</v>
      </c>
      <c r="T454">
        <v>25</v>
      </c>
      <c r="U454">
        <v>1.1152</v>
      </c>
      <c r="V454">
        <v>0.4953</v>
      </c>
      <c r="W454">
        <v>1.26</v>
      </c>
      <c r="X454">
        <v>1.15</v>
      </c>
      <c r="Y454">
        <v>-0.236972</v>
      </c>
      <c r="Z454">
        <v>0.6069651741293532</v>
      </c>
      <c r="AA454">
        <v>0.3027375201288245</v>
      </c>
      <c r="AB454">
        <v>0.3327974276527331</v>
      </c>
      <c r="AC454">
        <v>0.517684887459807</v>
      </c>
      <c r="AD454">
        <v>0.3794212218649518</v>
      </c>
    </row>
    <row r="455" spans="1:30">
      <c r="A455" s="1" t="s">
        <v>462</v>
      </c>
      <c r="B455">
        <f>HYPERLINK("https://www.suredividend.com/sure-analysis-CNP/","CenterPoint Energy, Inc.")</f>
        <v>0</v>
      </c>
      <c r="C455">
        <v>20.61</v>
      </c>
      <c r="D455">
        <v>11430.30262</v>
      </c>
      <c r="E455" t="s">
        <v>666</v>
      </c>
      <c r="F455" t="s">
        <v>631</v>
      </c>
      <c r="G455" t="s">
        <v>671</v>
      </c>
      <c r="H455" t="s">
        <v>702</v>
      </c>
      <c r="I455" t="s">
        <v>1153</v>
      </c>
      <c r="J455" t="s">
        <v>1314</v>
      </c>
      <c r="K455">
        <v>44001</v>
      </c>
      <c r="L455">
        <v>0.04837940896091501</v>
      </c>
      <c r="M455">
        <v>-0.04937682383309361</v>
      </c>
      <c r="N455">
        <v>0.04</v>
      </c>
      <c r="O455">
        <v>0.04547761355713398</v>
      </c>
      <c r="P455" t="s">
        <v>420</v>
      </c>
      <c r="Q455" t="s">
        <v>381</v>
      </c>
      <c r="R455">
        <v>14</v>
      </c>
      <c r="S455">
        <v>0.7518518518518518</v>
      </c>
      <c r="T455">
        <v>16</v>
      </c>
      <c r="U455">
        <v>1.288125</v>
      </c>
      <c r="V455">
        <v>-1.5979</v>
      </c>
      <c r="W455">
        <v>1.35</v>
      </c>
      <c r="X455">
        <v>1.015</v>
      </c>
      <c r="Y455">
        <v>-0.266619</v>
      </c>
      <c r="Z455">
        <v>0.6716417910447761</v>
      </c>
      <c r="AA455">
        <v>0.2769726247987118</v>
      </c>
      <c r="AB455">
        <v>0.3858520900321543</v>
      </c>
      <c r="AC455">
        <v>0.3279742765273312</v>
      </c>
      <c r="AD455">
        <v>0.3762057877813505</v>
      </c>
    </row>
    <row r="456" spans="1:30">
      <c r="A456" s="1" t="s">
        <v>463</v>
      </c>
      <c r="B456">
        <f>HYPERLINK("https://www.suredividend.com/sure-analysis-APO/","Apollo Global Management, Inc.")</f>
        <v>0</v>
      </c>
      <c r="C456">
        <v>47.77</v>
      </c>
      <c r="D456">
        <v>21110.695785</v>
      </c>
      <c r="E456" t="s">
        <v>663</v>
      </c>
      <c r="F456" t="s">
        <v>631</v>
      </c>
      <c r="G456" t="s">
        <v>671</v>
      </c>
      <c r="H456" t="s">
        <v>702</v>
      </c>
      <c r="I456" t="s">
        <v>1154</v>
      </c>
      <c r="J456" t="s">
        <v>1312</v>
      </c>
      <c r="K456">
        <v>44051</v>
      </c>
      <c r="L456">
        <v>0.04818535985236801</v>
      </c>
      <c r="M456">
        <v>-0.07130792455112733</v>
      </c>
      <c r="N456">
        <v>0.08</v>
      </c>
      <c r="O456">
        <v>0.04270772895173058</v>
      </c>
      <c r="P456" t="s">
        <v>420</v>
      </c>
      <c r="Q456" t="s">
        <v>420</v>
      </c>
      <c r="R456">
        <v>0</v>
      </c>
      <c r="S456">
        <v>0.7833333333333333</v>
      </c>
      <c r="T456">
        <v>33</v>
      </c>
      <c r="U456">
        <v>1.447575757575758</v>
      </c>
      <c r="V456">
        <v>-1.3993</v>
      </c>
      <c r="W456">
        <v>3</v>
      </c>
      <c r="X456">
        <v>2.35</v>
      </c>
      <c r="Y456">
        <v>0.434706</v>
      </c>
      <c r="Z456">
        <v>0.669983416252073</v>
      </c>
      <c r="AA456">
        <v>0.9420289855072465</v>
      </c>
      <c r="AB456">
        <v>0.8135048231511255</v>
      </c>
      <c r="AC456">
        <v>0.202572347266881</v>
      </c>
      <c r="AD456">
        <v>0.3569131832797428</v>
      </c>
    </row>
    <row r="457" spans="1:30">
      <c r="A457" s="1" t="s">
        <v>464</v>
      </c>
      <c r="B457">
        <f>HYPERLINK("https://www.suredividend.com/sure-analysis-DHC/","Diversified Healthcare Trust")</f>
        <v>0</v>
      </c>
      <c r="C457">
        <v>4.345</v>
      </c>
      <c r="D457">
        <v>1089.55452</v>
      </c>
      <c r="E457" t="s">
        <v>660</v>
      </c>
      <c r="F457" t="s">
        <v>633</v>
      </c>
      <c r="G457" t="s">
        <v>671</v>
      </c>
      <c r="H457" t="s">
        <v>701</v>
      </c>
      <c r="I457" t="s">
        <v>1155</v>
      </c>
      <c r="J457" t="s">
        <v>1322</v>
      </c>
      <c r="K457">
        <v>43993</v>
      </c>
      <c r="L457">
        <v>0.100436681222707</v>
      </c>
      <c r="M457">
        <v>0.04443350606726293</v>
      </c>
      <c r="N457">
        <v>-0.01</v>
      </c>
      <c r="O457">
        <v>0.04192045936415068</v>
      </c>
      <c r="P457" t="s">
        <v>420</v>
      </c>
      <c r="Q457" t="s">
        <v>636</v>
      </c>
      <c r="R457">
        <v>0</v>
      </c>
      <c r="S457">
        <v>0.5111111111111111</v>
      </c>
      <c r="T457">
        <v>5.4</v>
      </c>
      <c r="U457">
        <v>0.8046296296296296</v>
      </c>
      <c r="V457">
        <v>-0.4099</v>
      </c>
      <c r="W457">
        <v>0.9</v>
      </c>
      <c r="X457">
        <v>0.46</v>
      </c>
      <c r="Y457">
        <v>-0.477639</v>
      </c>
      <c r="Z457">
        <v>0.8971807628524047</v>
      </c>
      <c r="AA457">
        <v>0.07890499194847021</v>
      </c>
      <c r="AB457">
        <v>0.01929260450160772</v>
      </c>
      <c r="AC457">
        <v>0.8729903536977491</v>
      </c>
      <c r="AD457">
        <v>0.3488745980707395</v>
      </c>
    </row>
    <row r="458" spans="1:30">
      <c r="A458" s="1" t="s">
        <v>465</v>
      </c>
      <c r="B458">
        <f>HYPERLINK("https://www.suredividend.com/sure-analysis-BHP/","BHP Group Ltd.")</f>
        <v>0</v>
      </c>
      <c r="C458">
        <v>56.83</v>
      </c>
      <c r="D458">
        <v>84159.574157</v>
      </c>
      <c r="E458" t="s">
        <v>662</v>
      </c>
      <c r="F458" t="s">
        <v>631</v>
      </c>
      <c r="G458" t="s">
        <v>697</v>
      </c>
      <c r="H458" t="s">
        <v>702</v>
      </c>
      <c r="I458" t="s">
        <v>1156</v>
      </c>
      <c r="J458" t="s">
        <v>1321</v>
      </c>
      <c r="K458">
        <v>43985</v>
      </c>
      <c r="L458">
        <v>0.050034989503149</v>
      </c>
      <c r="M458">
        <v>-0.01385757579092772</v>
      </c>
      <c r="N458">
        <v>0.01</v>
      </c>
      <c r="O458">
        <v>0.03806625463264135</v>
      </c>
      <c r="P458" t="s">
        <v>420</v>
      </c>
      <c r="Q458" t="s">
        <v>381</v>
      </c>
      <c r="R458">
        <v>3</v>
      </c>
      <c r="S458">
        <v>0.7526315789473684</v>
      </c>
      <c r="T458">
        <v>53</v>
      </c>
      <c r="U458">
        <v>1.072264150943396</v>
      </c>
      <c r="V458">
        <v>3.7318</v>
      </c>
      <c r="W458">
        <v>3.8</v>
      </c>
      <c r="X458">
        <v>2.86</v>
      </c>
      <c r="Y458">
        <v>0.095882</v>
      </c>
      <c r="Z458">
        <v>0.693200663349917</v>
      </c>
      <c r="AA458">
        <v>0.7407407407407408</v>
      </c>
      <c r="AB458">
        <v>0.08601286173633441</v>
      </c>
      <c r="AC458">
        <v>0.5659163987138264</v>
      </c>
      <c r="AD458">
        <v>0.3311897106109325</v>
      </c>
    </row>
    <row r="459" spans="1:30">
      <c r="A459" s="1" t="s">
        <v>466</v>
      </c>
      <c r="B459">
        <f>HYPERLINK("https://www.suredividend.com/sure-analysis-NWL/","Newell Brands, Inc.")</f>
        <v>0</v>
      </c>
      <c r="C459">
        <v>17.265</v>
      </c>
      <c r="D459">
        <v>7425.25</v>
      </c>
      <c r="E459" t="s">
        <v>663</v>
      </c>
      <c r="F459" t="s">
        <v>631</v>
      </c>
      <c r="G459" t="s">
        <v>671</v>
      </c>
      <c r="H459" t="s">
        <v>701</v>
      </c>
      <c r="I459" t="s">
        <v>1157</v>
      </c>
      <c r="J459" t="s">
        <v>1320</v>
      </c>
      <c r="K459">
        <v>44051</v>
      </c>
      <c r="L459">
        <v>0.05257142857142801</v>
      </c>
      <c r="M459">
        <v>-0.05516634616988192</v>
      </c>
      <c r="N459">
        <v>0.045</v>
      </c>
      <c r="O459">
        <v>0.03796061678086438</v>
      </c>
      <c r="P459" t="s">
        <v>420</v>
      </c>
      <c r="Q459" t="s">
        <v>381</v>
      </c>
      <c r="R459">
        <v>0</v>
      </c>
      <c r="S459">
        <v>0.736</v>
      </c>
      <c r="T459">
        <v>13</v>
      </c>
      <c r="U459">
        <v>1.328076923076923</v>
      </c>
      <c r="V459">
        <v>-2.4373</v>
      </c>
      <c r="W459">
        <v>1.25</v>
      </c>
      <c r="X459">
        <v>0.92</v>
      </c>
      <c r="Y459">
        <v>0.058642</v>
      </c>
      <c r="Z459">
        <v>0.7097844112769487</v>
      </c>
      <c r="AA459">
        <v>0.6988727858293076</v>
      </c>
      <c r="AB459">
        <v>0.4429260450160772</v>
      </c>
      <c r="AC459">
        <v>0.2893890675241158</v>
      </c>
      <c r="AD459">
        <v>0.3263665594855306</v>
      </c>
    </row>
    <row r="460" spans="1:30">
      <c r="A460" s="1" t="s">
        <v>467</v>
      </c>
      <c r="B460">
        <f>HYPERLINK("https://www.suredividend.com/sure-analysis-ABR/","Arbor Realty Trust, Inc.")</f>
        <v>0</v>
      </c>
      <c r="C460">
        <v>11.66</v>
      </c>
      <c r="D460">
        <v>1320.74701</v>
      </c>
      <c r="E460" t="s">
        <v>666</v>
      </c>
      <c r="F460" t="s">
        <v>633</v>
      </c>
      <c r="G460" t="s">
        <v>671</v>
      </c>
      <c r="H460" t="s">
        <v>702</v>
      </c>
      <c r="I460" t="s">
        <v>1158</v>
      </c>
      <c r="J460" t="s">
        <v>1322</v>
      </c>
      <c r="K460">
        <v>43998</v>
      </c>
      <c r="L460">
        <v>0.101104502973661</v>
      </c>
      <c r="M460">
        <v>-0.1475043912496914</v>
      </c>
      <c r="N460">
        <v>0.095</v>
      </c>
      <c r="O460">
        <v>0.03747438273401538</v>
      </c>
      <c r="P460" t="s">
        <v>420</v>
      </c>
      <c r="Q460" t="s">
        <v>636</v>
      </c>
      <c r="R460">
        <v>7</v>
      </c>
      <c r="S460">
        <v>1.034782608695652</v>
      </c>
      <c r="T460">
        <v>5.25</v>
      </c>
      <c r="U460">
        <v>2.220952380952381</v>
      </c>
      <c r="V460">
        <v>0.5720000000000001</v>
      </c>
      <c r="W460">
        <v>1.15</v>
      </c>
      <c r="X460">
        <v>1.19</v>
      </c>
      <c r="Y460">
        <v>-0.05</v>
      </c>
      <c r="Z460">
        <v>0.9021558872305141</v>
      </c>
      <c r="AA460">
        <v>0.5619967793880837</v>
      </c>
      <c r="AB460">
        <v>0.8834405144694535</v>
      </c>
      <c r="AC460">
        <v>0.02090032154340836</v>
      </c>
      <c r="AD460">
        <v>0.3231511254019293</v>
      </c>
    </row>
    <row r="461" spans="1:30">
      <c r="A461" s="1" t="s">
        <v>468</v>
      </c>
      <c r="B461">
        <f>HYPERLINK("https://www.suredividend.com/sure-analysis-IP/","International Paper Co.")</f>
        <v>0</v>
      </c>
      <c r="C461">
        <v>37.02</v>
      </c>
      <c r="D461">
        <v>14273.20683</v>
      </c>
      <c r="E461" t="s">
        <v>662</v>
      </c>
      <c r="F461" t="s">
        <v>631</v>
      </c>
      <c r="G461" t="s">
        <v>671</v>
      </c>
      <c r="H461" t="s">
        <v>702</v>
      </c>
      <c r="I461" t="s">
        <v>1159</v>
      </c>
      <c r="J461" t="s">
        <v>1313</v>
      </c>
      <c r="K461">
        <v>43964</v>
      </c>
      <c r="L461">
        <v>0.05611401817681001</v>
      </c>
      <c r="M461">
        <v>-0.1071950775597849</v>
      </c>
      <c r="N461">
        <v>0.1</v>
      </c>
      <c r="O461">
        <v>0.03711307332074276</v>
      </c>
      <c r="P461" t="s">
        <v>420</v>
      </c>
      <c r="Q461" t="s">
        <v>381</v>
      </c>
      <c r="R461">
        <v>10</v>
      </c>
      <c r="S461">
        <v>0.9702380952380952</v>
      </c>
      <c r="T461">
        <v>21</v>
      </c>
      <c r="U461">
        <v>1.762857142857143</v>
      </c>
      <c r="V461">
        <v>1.6183</v>
      </c>
      <c r="W461">
        <v>2.1</v>
      </c>
      <c r="X461">
        <v>2.0375</v>
      </c>
      <c r="Y461">
        <v>-0.133333</v>
      </c>
      <c r="Z461">
        <v>0.7296849087893864</v>
      </c>
      <c r="AA461">
        <v>0.4380032206119163</v>
      </c>
      <c r="AB461">
        <v>0.907556270096463</v>
      </c>
      <c r="AC461">
        <v>0.0932475884244373</v>
      </c>
      <c r="AD461">
        <v>0.3199356913183279</v>
      </c>
    </row>
    <row r="462" spans="1:30">
      <c r="A462" s="1" t="s">
        <v>469</v>
      </c>
      <c r="B462">
        <f>HYPERLINK("https://www.suredividend.com/sure-analysis-GRMN/","Garmin Ltd.")</f>
        <v>0</v>
      </c>
      <c r="C462">
        <v>101.485</v>
      </c>
      <c r="D462">
        <v>19527.21007</v>
      </c>
      <c r="E462" t="s">
        <v>663</v>
      </c>
      <c r="F462" t="s">
        <v>631</v>
      </c>
      <c r="G462" t="s">
        <v>675</v>
      </c>
      <c r="H462" t="s">
        <v>701</v>
      </c>
      <c r="I462" t="s">
        <v>1160</v>
      </c>
      <c r="J462" t="s">
        <v>1318</v>
      </c>
      <c r="K462">
        <v>44045</v>
      </c>
      <c r="L462">
        <v>0.022720595436294</v>
      </c>
      <c r="M462">
        <v>-0.06376644834634759</v>
      </c>
      <c r="N462">
        <v>0.08</v>
      </c>
      <c r="O462">
        <v>0.03649605504406739</v>
      </c>
      <c r="P462" t="s">
        <v>420</v>
      </c>
      <c r="Q462" t="s">
        <v>420</v>
      </c>
      <c r="R462">
        <v>2</v>
      </c>
      <c r="S462">
        <v>0.5756823821339949</v>
      </c>
      <c r="T462">
        <v>73</v>
      </c>
      <c r="U462">
        <v>1.390205479452055</v>
      </c>
      <c r="V462">
        <v>4.9048</v>
      </c>
      <c r="W462">
        <v>4.03</v>
      </c>
      <c r="X462">
        <v>2.32</v>
      </c>
      <c r="Y462">
        <v>0.295486</v>
      </c>
      <c r="Z462">
        <v>0.3067993366500829</v>
      </c>
      <c r="AA462">
        <v>0.8856682769726248</v>
      </c>
      <c r="AB462">
        <v>0.8135048231511255</v>
      </c>
      <c r="AC462">
        <v>0.2427652733118971</v>
      </c>
      <c r="AD462">
        <v>0.3151125401929261</v>
      </c>
    </row>
    <row r="463" spans="1:30">
      <c r="A463" s="1" t="s">
        <v>470</v>
      </c>
      <c r="B463">
        <f>HYPERLINK("https://www.suredividend.com/sure-analysis-BX/","The Blackstone Group, Inc.")</f>
        <v>0</v>
      </c>
      <c r="C463">
        <v>52.51</v>
      </c>
      <c r="D463">
        <v>35420.86875</v>
      </c>
      <c r="E463" t="s">
        <v>661</v>
      </c>
      <c r="F463" t="s">
        <v>631</v>
      </c>
      <c r="G463" t="s">
        <v>671</v>
      </c>
      <c r="H463" t="s">
        <v>702</v>
      </c>
      <c r="I463" t="s">
        <v>1161</v>
      </c>
      <c r="J463" t="s">
        <v>1312</v>
      </c>
      <c r="K463">
        <v>44042</v>
      </c>
      <c r="L463">
        <v>0.037263519969424</v>
      </c>
      <c r="M463">
        <v>-0.09430578864419992</v>
      </c>
      <c r="N463">
        <v>0.1</v>
      </c>
      <c r="O463">
        <v>0.0347454348734606</v>
      </c>
      <c r="P463" t="s">
        <v>420</v>
      </c>
      <c r="Q463" t="s">
        <v>420</v>
      </c>
      <c r="R463">
        <v>0</v>
      </c>
      <c r="S463">
        <v>0.8478260869565218</v>
      </c>
      <c r="T463">
        <v>32</v>
      </c>
      <c r="U463">
        <v>1.6409375</v>
      </c>
      <c r="V463">
        <v>0.7412000000000001</v>
      </c>
      <c r="W463">
        <v>2.3</v>
      </c>
      <c r="X463">
        <v>1.95</v>
      </c>
      <c r="Y463">
        <v>0.088949</v>
      </c>
      <c r="Z463">
        <v>0.5406301824212272</v>
      </c>
      <c r="AA463">
        <v>0.7294685990338163</v>
      </c>
      <c r="AB463">
        <v>0.907556270096463</v>
      </c>
      <c r="AC463">
        <v>0.1221864951768489</v>
      </c>
      <c r="AD463">
        <v>0.3006430868167203</v>
      </c>
    </row>
    <row r="464" spans="1:30">
      <c r="A464" s="1" t="s">
        <v>471</v>
      </c>
      <c r="B464">
        <f>HYPERLINK("https://www.suredividend.com/sure-analysis-ALV/","Autoliv, Inc.")</f>
        <v>0</v>
      </c>
      <c r="C464">
        <v>70.91</v>
      </c>
      <c r="D464">
        <v>6080.039916</v>
      </c>
      <c r="E464" t="s">
        <v>663</v>
      </c>
      <c r="F464" t="s">
        <v>631</v>
      </c>
      <c r="G464" t="s">
        <v>690</v>
      </c>
      <c r="H464" t="s">
        <v>702</v>
      </c>
      <c r="I464" t="s">
        <v>1162</v>
      </c>
      <c r="J464" t="s">
        <v>1313</v>
      </c>
      <c r="K464">
        <v>44039</v>
      </c>
      <c r="L464">
        <v>0.017810973858086</v>
      </c>
      <c r="M464">
        <v>-0.03286131982944629</v>
      </c>
      <c r="N464">
        <v>0.05</v>
      </c>
      <c r="O464">
        <v>0.03411935282069622</v>
      </c>
      <c r="P464" t="s">
        <v>420</v>
      </c>
      <c r="Q464" t="s">
        <v>596</v>
      </c>
      <c r="R464">
        <v>0</v>
      </c>
      <c r="S464">
        <v>0.5767441860465117</v>
      </c>
      <c r="T464">
        <v>60</v>
      </c>
      <c r="U464">
        <v>1.181833333333333</v>
      </c>
      <c r="V464">
        <v>1.6194</v>
      </c>
      <c r="W464">
        <v>2.15</v>
      </c>
      <c r="X464">
        <v>1.24</v>
      </c>
      <c r="Y464">
        <v>-0.032434</v>
      </c>
      <c r="Z464">
        <v>0.2172470978441128</v>
      </c>
      <c r="AA464">
        <v>0.5909822866344606</v>
      </c>
      <c r="AB464">
        <v>0.5168810289389068</v>
      </c>
      <c r="AC464">
        <v>0.4453376205787782</v>
      </c>
      <c r="AD464">
        <v>0.2974276527331189</v>
      </c>
    </row>
    <row r="465" spans="1:30">
      <c r="A465" s="1" t="s">
        <v>472</v>
      </c>
      <c r="B465">
        <f>HYPERLINK("https://www.suredividend.com/sure-analysis-DRI/","Darden Restaurants, Inc.")</f>
        <v>0</v>
      </c>
      <c r="C465">
        <v>84.14</v>
      </c>
      <c r="D465">
        <v>10590.25782</v>
      </c>
      <c r="E465" t="s">
        <v>668</v>
      </c>
      <c r="F465" t="s">
        <v>631</v>
      </c>
      <c r="G465" t="s">
        <v>671</v>
      </c>
      <c r="H465" t="s">
        <v>702</v>
      </c>
      <c r="I465" t="s">
        <v>1163</v>
      </c>
      <c r="J465" t="s">
        <v>1313</v>
      </c>
      <c r="K465">
        <v>44021</v>
      </c>
      <c r="L465">
        <v>0.032380718753832</v>
      </c>
      <c r="M465">
        <v>-0.09176095709402565</v>
      </c>
      <c r="N465">
        <v>0.13</v>
      </c>
      <c r="O465">
        <v>0.02631011848375087</v>
      </c>
      <c r="P465" t="s">
        <v>420</v>
      </c>
      <c r="Q465" t="s">
        <v>420</v>
      </c>
      <c r="R465">
        <v>0</v>
      </c>
      <c r="S465">
        <v>0.88</v>
      </c>
      <c r="T465">
        <v>52</v>
      </c>
      <c r="U465">
        <v>1.618076923076923</v>
      </c>
      <c r="V465">
        <v>-0.3501</v>
      </c>
      <c r="W465">
        <v>3</v>
      </c>
      <c r="X465">
        <v>2.64</v>
      </c>
      <c r="Y465">
        <v>-0.352233</v>
      </c>
      <c r="Z465">
        <v>0.4593698175787728</v>
      </c>
      <c r="AA465">
        <v>0.1739130434782609</v>
      </c>
      <c r="AB465">
        <v>0.9630225080385852</v>
      </c>
      <c r="AC465">
        <v>0.1302250803858521</v>
      </c>
      <c r="AD465">
        <v>0.2540192926045016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11.08</v>
      </c>
      <c r="D466">
        <v>17476.284</v>
      </c>
      <c r="E466" t="s">
        <v>668</v>
      </c>
      <c r="F466" t="s">
        <v>631</v>
      </c>
      <c r="G466" t="s">
        <v>676</v>
      </c>
      <c r="H466" t="s">
        <v>702</v>
      </c>
      <c r="I466" t="s">
        <v>1164</v>
      </c>
      <c r="J466" t="s">
        <v>1313</v>
      </c>
      <c r="K466">
        <v>43979</v>
      </c>
      <c r="L466">
        <v>0.04189189189189101</v>
      </c>
      <c r="M466">
        <v>-0.06306374305126206</v>
      </c>
      <c r="N466">
        <v>0.05</v>
      </c>
      <c r="O466">
        <v>0.02457855825500999</v>
      </c>
      <c r="P466" t="s">
        <v>420</v>
      </c>
      <c r="Q466" t="s">
        <v>420</v>
      </c>
      <c r="R466">
        <v>0</v>
      </c>
      <c r="S466">
        <v>0.7153846153846154</v>
      </c>
      <c r="T466">
        <v>8</v>
      </c>
      <c r="U466">
        <v>1.385</v>
      </c>
      <c r="V466">
        <v>0.3638</v>
      </c>
      <c r="W466">
        <v>0.65</v>
      </c>
      <c r="X466">
        <v>0.465</v>
      </c>
      <c r="Y466">
        <v>0.01885</v>
      </c>
      <c r="Z466">
        <v>0.6036484245439468</v>
      </c>
      <c r="AA466">
        <v>0.6570048309178743</v>
      </c>
      <c r="AB466">
        <v>0.5168810289389068</v>
      </c>
      <c r="AC466">
        <v>0.2459807073954984</v>
      </c>
      <c r="AD466">
        <v>0.2411575562700965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32.3</v>
      </c>
      <c r="D467">
        <v>24464.4782</v>
      </c>
      <c r="E467" t="s">
        <v>661</v>
      </c>
      <c r="F467" t="s">
        <v>631</v>
      </c>
      <c r="G467" t="s">
        <v>671</v>
      </c>
      <c r="H467" t="s">
        <v>702</v>
      </c>
      <c r="I467" t="s">
        <v>1165</v>
      </c>
      <c r="J467" t="s">
        <v>1318</v>
      </c>
      <c r="K467">
        <v>44042</v>
      </c>
      <c r="L467">
        <v>0.026127527216174</v>
      </c>
      <c r="M467">
        <v>-0.06565973984350282</v>
      </c>
      <c r="N467">
        <v>0.06</v>
      </c>
      <c r="O467">
        <v>0.02217719045609279</v>
      </c>
      <c r="P467" t="s">
        <v>420</v>
      </c>
      <c r="Q467" t="s">
        <v>420</v>
      </c>
      <c r="R467">
        <v>10</v>
      </c>
      <c r="S467">
        <v>0.84</v>
      </c>
      <c r="T467">
        <v>23</v>
      </c>
      <c r="U467">
        <v>1.404347826086956</v>
      </c>
      <c r="V467">
        <v>0.13</v>
      </c>
      <c r="W467">
        <v>1</v>
      </c>
      <c r="X467">
        <v>0.84</v>
      </c>
      <c r="Y467">
        <v>0.092624</v>
      </c>
      <c r="Z467">
        <v>0.3631840796019901</v>
      </c>
      <c r="AA467">
        <v>0.7375201288244766</v>
      </c>
      <c r="AB467">
        <v>0.6430868167202572</v>
      </c>
      <c r="AC467">
        <v>0.2307073954983923</v>
      </c>
      <c r="AD467">
        <v>0.2266881028938907</v>
      </c>
    </row>
    <row r="468" spans="1:30">
      <c r="A468" s="1" t="s">
        <v>475</v>
      </c>
      <c r="B468">
        <f>HYPERLINK("https://www.suredividend.com/sure-analysis-GRP-UN","UN)")</f>
        <v>0</v>
      </c>
      <c r="C468">
        <v>58.37</v>
      </c>
      <c r="D468">
        <v>3280</v>
      </c>
      <c r="E468" t="s">
        <v>666</v>
      </c>
      <c r="F468" t="s">
        <v>633</v>
      </c>
      <c r="G468" t="s">
        <v>675</v>
      </c>
      <c r="H468" t="s">
        <v>704</v>
      </c>
      <c r="J468" t="s">
        <v>1312</v>
      </c>
      <c r="K468">
        <v>44006</v>
      </c>
      <c r="L468">
        <v>0.0371</v>
      </c>
      <c r="M468">
        <v>-0.05929001789731303</v>
      </c>
      <c r="N468">
        <v>0.04</v>
      </c>
      <c r="O468">
        <v>0.01982133296414834</v>
      </c>
      <c r="P468" t="s">
        <v>420</v>
      </c>
      <c r="Q468" t="s">
        <v>420</v>
      </c>
      <c r="R468">
        <v>1</v>
      </c>
      <c r="S468">
        <v>0.760655737704918</v>
      </c>
      <c r="T468">
        <v>43</v>
      </c>
      <c r="U468">
        <v>1.357441860465116</v>
      </c>
      <c r="V468">
        <v>4.9048</v>
      </c>
      <c r="W468">
        <v>3.05</v>
      </c>
      <c r="X468">
        <v>2.32</v>
      </c>
      <c r="Z468">
        <v>0.538971807628524</v>
      </c>
      <c r="AB468">
        <v>0.3858520900321543</v>
      </c>
      <c r="AC468">
        <v>0.2717041800643087</v>
      </c>
      <c r="AD468">
        <v>0.2138263665594855</v>
      </c>
    </row>
    <row r="469" spans="1:30">
      <c r="A469" s="1" t="s">
        <v>476</v>
      </c>
      <c r="B469">
        <f>HYPERLINK("https://www.suredividend.com/sure-analysis-CC/","The Chemours Co.")</f>
        <v>0</v>
      </c>
      <c r="C469">
        <v>20.89</v>
      </c>
      <c r="D469">
        <v>3380.0592</v>
      </c>
      <c r="E469" t="s">
        <v>665</v>
      </c>
      <c r="F469" t="s">
        <v>631</v>
      </c>
      <c r="G469" t="s">
        <v>671</v>
      </c>
      <c r="H469" t="s">
        <v>702</v>
      </c>
      <c r="I469" t="s">
        <v>1166</v>
      </c>
      <c r="J469" t="s">
        <v>1321</v>
      </c>
      <c r="K469">
        <v>44043</v>
      </c>
      <c r="L469">
        <v>0.048590864917395</v>
      </c>
      <c r="M469">
        <v>-0.06038357868964939</v>
      </c>
      <c r="N469">
        <v>0.03</v>
      </c>
      <c r="O469">
        <v>0.01708801527578108</v>
      </c>
      <c r="P469" t="s">
        <v>420</v>
      </c>
      <c r="Q469" t="s">
        <v>381</v>
      </c>
      <c r="R469">
        <v>0</v>
      </c>
      <c r="S469">
        <v>0.6535947712418301</v>
      </c>
      <c r="T469">
        <v>15.3</v>
      </c>
      <c r="U469">
        <v>1.365359477124183</v>
      </c>
      <c r="V469">
        <v>-0.7201000000000001</v>
      </c>
      <c r="W469">
        <v>1.53</v>
      </c>
      <c r="X469">
        <v>1</v>
      </c>
      <c r="Y469">
        <v>0.369146</v>
      </c>
      <c r="Z469">
        <v>0.6749585406301825</v>
      </c>
      <c r="AA469">
        <v>0.9210950080515298</v>
      </c>
      <c r="AB469">
        <v>0.2540192926045016</v>
      </c>
      <c r="AC469">
        <v>0.2636655948553055</v>
      </c>
      <c r="AD469">
        <v>0.1929260450160772</v>
      </c>
    </row>
    <row r="470" spans="1:30">
      <c r="A470" s="1" t="s">
        <v>477</v>
      </c>
      <c r="B470">
        <f>HYPERLINK("https://www.suredividend.com/sure-analysis-RIO/","Rio Tinto Plc")</f>
        <v>0</v>
      </c>
      <c r="C470">
        <v>61.35</v>
      </c>
      <c r="D470">
        <v>76757.952802</v>
      </c>
      <c r="E470" t="s">
        <v>662</v>
      </c>
      <c r="F470" t="s">
        <v>631</v>
      </c>
      <c r="G470" t="s">
        <v>676</v>
      </c>
      <c r="H470" t="s">
        <v>702</v>
      </c>
      <c r="I470" t="s">
        <v>1167</v>
      </c>
      <c r="J470" t="s">
        <v>1321</v>
      </c>
      <c r="K470">
        <v>43985</v>
      </c>
      <c r="L470">
        <v>0.06265216685602901</v>
      </c>
      <c r="M470">
        <v>-0.06010445880118431</v>
      </c>
      <c r="N470">
        <v>0.01</v>
      </c>
      <c r="O470">
        <v>0.01026628730073464</v>
      </c>
      <c r="P470" t="s">
        <v>420</v>
      </c>
      <c r="Q470" t="s">
        <v>381</v>
      </c>
      <c r="R470">
        <v>3</v>
      </c>
      <c r="S470">
        <v>0.772</v>
      </c>
      <c r="T470">
        <v>45</v>
      </c>
      <c r="U470">
        <v>1.363333333333333</v>
      </c>
      <c r="V470">
        <v>4.4607</v>
      </c>
      <c r="W470">
        <v>5</v>
      </c>
      <c r="X470">
        <v>3.86</v>
      </c>
      <c r="Y470">
        <v>0.203356</v>
      </c>
      <c r="Z470">
        <v>0.7711442786069652</v>
      </c>
      <c r="AA470">
        <v>0.8276972624798712</v>
      </c>
      <c r="AB470">
        <v>0.08601286173633441</v>
      </c>
      <c r="AC470">
        <v>0.2668810289389068</v>
      </c>
      <c r="AD470">
        <v>0.1688102893890675</v>
      </c>
    </row>
    <row r="471" spans="1:30">
      <c r="A471" s="1" t="s">
        <v>478</v>
      </c>
      <c r="B471">
        <f>HYPERLINK("https://www.suredividend.com/sure-analysis-LAND/","Gladstone Land Corp.")</f>
        <v>0</v>
      </c>
      <c r="C471">
        <v>15.925</v>
      </c>
      <c r="D471">
        <v>355.447992</v>
      </c>
      <c r="E471" t="s">
        <v>663</v>
      </c>
      <c r="F471" t="s">
        <v>633</v>
      </c>
      <c r="G471" t="s">
        <v>671</v>
      </c>
      <c r="H471" t="s">
        <v>701</v>
      </c>
      <c r="I471" t="s">
        <v>1096</v>
      </c>
      <c r="J471" t="s">
        <v>1322</v>
      </c>
      <c r="K471">
        <v>43986</v>
      </c>
      <c r="L471">
        <v>0.033197026022304</v>
      </c>
      <c r="M471">
        <v>-0.05502490878085542</v>
      </c>
      <c r="N471">
        <v>0.03</v>
      </c>
      <c r="O471">
        <v>0.009198116843169402</v>
      </c>
      <c r="P471" t="s">
        <v>420</v>
      </c>
      <c r="Q471" t="s">
        <v>420</v>
      </c>
      <c r="R471">
        <v>6</v>
      </c>
      <c r="S471">
        <v>0.7997014925373135</v>
      </c>
      <c r="T471">
        <v>12</v>
      </c>
      <c r="U471">
        <v>1.327083333333333</v>
      </c>
      <c r="V471">
        <v>-0.1146</v>
      </c>
      <c r="W471">
        <v>0.67</v>
      </c>
      <c r="X471">
        <v>0.5358000000000001</v>
      </c>
      <c r="Y471">
        <v>0.412671</v>
      </c>
      <c r="Z471">
        <v>0.4792703150912107</v>
      </c>
      <c r="AA471">
        <v>0.92914653784219</v>
      </c>
      <c r="AB471">
        <v>0.2540192926045016</v>
      </c>
      <c r="AC471">
        <v>0.2909967845659164</v>
      </c>
      <c r="AD471">
        <v>0.1639871382636656</v>
      </c>
    </row>
    <row r="472" spans="1:30">
      <c r="A472" s="1" t="s">
        <v>479</v>
      </c>
      <c r="B472">
        <f>HYPERLINK("https://www.suredividend.com/sure-analysis-PPRQF/","Choice Properties Real Estate Investment Trust")</f>
        <v>0</v>
      </c>
      <c r="C472">
        <v>9.539999999999999</v>
      </c>
      <c r="D472">
        <v>6681.85209</v>
      </c>
      <c r="E472" t="s">
        <v>666</v>
      </c>
      <c r="F472" t="s">
        <v>633</v>
      </c>
      <c r="G472" t="s">
        <v>672</v>
      </c>
      <c r="H472" t="s">
        <v>700</v>
      </c>
      <c r="I472" t="s">
        <v>1168</v>
      </c>
      <c r="J472" t="s">
        <v>1312</v>
      </c>
      <c r="K472">
        <v>44041</v>
      </c>
      <c r="L472">
        <v>0.057789580157489</v>
      </c>
      <c r="M472">
        <v>-0.08257902970523001</v>
      </c>
      <c r="N472">
        <v>0.025</v>
      </c>
      <c r="O472">
        <v>0.008119222614672239</v>
      </c>
      <c r="P472" t="s">
        <v>420</v>
      </c>
      <c r="Q472" t="s">
        <v>381</v>
      </c>
      <c r="R472">
        <v>0</v>
      </c>
      <c r="S472">
        <v>0.8892138624233065</v>
      </c>
      <c r="T472">
        <v>6.2</v>
      </c>
      <c r="U472">
        <v>1.538709677419355</v>
      </c>
      <c r="V472">
        <v>0.3438</v>
      </c>
      <c r="W472">
        <v>0.62</v>
      </c>
      <c r="X472">
        <v>0.55131259470245</v>
      </c>
      <c r="Y472">
        <v>-0.09325499999999999</v>
      </c>
      <c r="Z472">
        <v>0.7379767827529021</v>
      </c>
      <c r="AA472">
        <v>0.4895330112721417</v>
      </c>
      <c r="AB472">
        <v>0.1969453376205788</v>
      </c>
      <c r="AC472">
        <v>0.162379421221865</v>
      </c>
      <c r="AD472">
        <v>0.162379421221865</v>
      </c>
    </row>
    <row r="473" spans="1:30">
      <c r="A473" s="1" t="s">
        <v>480</v>
      </c>
      <c r="B473">
        <f>HYPERLINK("https://www.suredividend.com/sure-analysis-WEN/","The Wendy's Co.")</f>
        <v>0</v>
      </c>
      <c r="C473">
        <v>22.075</v>
      </c>
      <c r="D473">
        <v>4919.51964</v>
      </c>
      <c r="E473" t="s">
        <v>667</v>
      </c>
      <c r="F473" t="s">
        <v>631</v>
      </c>
      <c r="G473" t="s">
        <v>671</v>
      </c>
      <c r="H473" t="s">
        <v>701</v>
      </c>
      <c r="I473" t="s">
        <v>1169</v>
      </c>
      <c r="J473" t="s">
        <v>1313</v>
      </c>
      <c r="K473">
        <v>43993</v>
      </c>
      <c r="L473">
        <v>0.017743403093721</v>
      </c>
      <c r="M473">
        <v>-0.0743685345955456</v>
      </c>
      <c r="N473">
        <v>0.07000000000000001</v>
      </c>
      <c r="O473">
        <v>0.006824483952509119</v>
      </c>
      <c r="P473" t="s">
        <v>420</v>
      </c>
      <c r="Q473" t="s">
        <v>596</v>
      </c>
      <c r="R473">
        <v>0</v>
      </c>
      <c r="S473">
        <v>0.7358490566037735</v>
      </c>
      <c r="T473">
        <v>15</v>
      </c>
      <c r="U473">
        <v>1.471666666666667</v>
      </c>
      <c r="V473">
        <v>0.4928</v>
      </c>
      <c r="W473">
        <v>0.53</v>
      </c>
      <c r="X473">
        <v>0.39</v>
      </c>
      <c r="Y473">
        <v>0.119238</v>
      </c>
      <c r="Z473">
        <v>0.2139303482587065</v>
      </c>
      <c r="AA473">
        <v>0.7648953301127215</v>
      </c>
      <c r="AB473">
        <v>0.7355305466237942</v>
      </c>
      <c r="AC473">
        <v>0.1913183279742765</v>
      </c>
      <c r="AD473">
        <v>0.1559485530546624</v>
      </c>
    </row>
    <row r="474" spans="1:30">
      <c r="A474" s="1" t="s">
        <v>481</v>
      </c>
      <c r="B474">
        <f>HYPERLINK("https://www.suredividend.com/sure-analysis-WDR/","Waddell &amp; Reed Financial, Inc.")</f>
        <v>0</v>
      </c>
      <c r="C474">
        <v>15.6</v>
      </c>
      <c r="D474">
        <v>1015.250446</v>
      </c>
      <c r="E474" t="s">
        <v>660</v>
      </c>
      <c r="F474" t="s">
        <v>631</v>
      </c>
      <c r="G474" t="s">
        <v>671</v>
      </c>
      <c r="H474" t="s">
        <v>702</v>
      </c>
      <c r="I474" t="s">
        <v>1170</v>
      </c>
      <c r="J474" t="s">
        <v>1312</v>
      </c>
      <c r="K474">
        <v>44000</v>
      </c>
      <c r="L474">
        <v>0.06418485237483901</v>
      </c>
      <c r="M474">
        <v>-0.06748974321500989</v>
      </c>
      <c r="N474">
        <v>-0.01</v>
      </c>
      <c r="O474">
        <v>-0.001789850171012741</v>
      </c>
      <c r="P474" t="s">
        <v>420</v>
      </c>
      <c r="Q474" t="s">
        <v>381</v>
      </c>
      <c r="R474">
        <v>0</v>
      </c>
      <c r="S474">
        <v>0.9174311926605504</v>
      </c>
      <c r="T474">
        <v>11</v>
      </c>
      <c r="U474">
        <v>1.418181818181818</v>
      </c>
      <c r="V474">
        <v>1.3886</v>
      </c>
      <c r="W474">
        <v>1.09</v>
      </c>
      <c r="X474">
        <v>1</v>
      </c>
      <c r="Y474">
        <v>-0.090694</v>
      </c>
      <c r="Z474">
        <v>0.7761194029850746</v>
      </c>
      <c r="AA474">
        <v>0.499194847020934</v>
      </c>
      <c r="AB474">
        <v>0.01929260450160772</v>
      </c>
      <c r="AC474">
        <v>0.2202572347266881</v>
      </c>
      <c r="AD474">
        <v>0.1237942122186495</v>
      </c>
    </row>
    <row r="475" spans="1:30">
      <c r="A475" s="1" t="s">
        <v>482</v>
      </c>
      <c r="B475">
        <f>HYPERLINK("https://www.suredividend.com/sure-analysis-FLR/","Fluor Corp.")</f>
        <v>0</v>
      </c>
      <c r="C475">
        <v>12.23</v>
      </c>
      <c r="D475">
        <v>1676.48104</v>
      </c>
      <c r="E475" t="s">
        <v>663</v>
      </c>
      <c r="F475" t="s">
        <v>631</v>
      </c>
      <c r="G475" t="s">
        <v>671</v>
      </c>
      <c r="H475" t="s">
        <v>702</v>
      </c>
      <c r="I475" t="s">
        <v>1171</v>
      </c>
      <c r="J475" t="s">
        <v>1315</v>
      </c>
      <c r="K475">
        <v>43890</v>
      </c>
      <c r="L475">
        <v>0.07023411371237401</v>
      </c>
      <c r="M475">
        <v>-0.05949044845124329</v>
      </c>
      <c r="N475">
        <v>0.02</v>
      </c>
      <c r="O475">
        <v>-0.004842632611233078</v>
      </c>
      <c r="P475" t="s">
        <v>420</v>
      </c>
      <c r="Q475" t="s">
        <v>636</v>
      </c>
      <c r="R475">
        <v>0</v>
      </c>
      <c r="S475">
        <v>0.5599999999999999</v>
      </c>
      <c r="T475">
        <v>9</v>
      </c>
      <c r="U475">
        <v>1.358888888888889</v>
      </c>
      <c r="V475">
        <v>-9.3119</v>
      </c>
      <c r="W475">
        <v>1.5</v>
      </c>
      <c r="X475">
        <v>0.84</v>
      </c>
      <c r="Y475">
        <v>-0.431568</v>
      </c>
      <c r="Z475">
        <v>0.8159203980099502</v>
      </c>
      <c r="AA475">
        <v>0.1159420289855072</v>
      </c>
      <c r="AB475">
        <v>0.157556270096463</v>
      </c>
      <c r="AC475">
        <v>0.2700964630225081</v>
      </c>
      <c r="AD475">
        <v>0.112540192926045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130.49</v>
      </c>
      <c r="D476">
        <v>232731.2574</v>
      </c>
      <c r="E476" t="s">
        <v>666</v>
      </c>
      <c r="F476" t="s">
        <v>631</v>
      </c>
      <c r="G476" t="s">
        <v>671</v>
      </c>
      <c r="H476" t="s">
        <v>702</v>
      </c>
      <c r="I476" t="s">
        <v>1172</v>
      </c>
      <c r="J476" t="s">
        <v>1319</v>
      </c>
      <c r="K476">
        <v>44012</v>
      </c>
      <c r="L476">
        <v>0.013665657271527</v>
      </c>
      <c r="M476">
        <v>-0.05954330955465703</v>
      </c>
      <c r="N476">
        <v>0.036</v>
      </c>
      <c r="O476">
        <v>-0.009114725699826298</v>
      </c>
      <c r="P476" t="s">
        <v>420</v>
      </c>
      <c r="Q476" t="s">
        <v>596</v>
      </c>
      <c r="R476">
        <v>10</v>
      </c>
      <c r="S476">
        <v>0.5866666666666667</v>
      </c>
      <c r="T476">
        <v>96</v>
      </c>
      <c r="U476">
        <v>1.359270833333333</v>
      </c>
      <c r="V476">
        <v>-0.6037</v>
      </c>
      <c r="W476">
        <v>3</v>
      </c>
      <c r="X476">
        <v>1.76</v>
      </c>
      <c r="Y476">
        <v>-0.057727</v>
      </c>
      <c r="Z476">
        <v>0.1310116086235489</v>
      </c>
      <c r="AA476">
        <v>0.5539452495974235</v>
      </c>
      <c r="AB476">
        <v>0.3271704180064309</v>
      </c>
      <c r="AC476">
        <v>0.2684887459807074</v>
      </c>
      <c r="AD476">
        <v>0.1028938906752412</v>
      </c>
    </row>
    <row r="477" spans="1:30">
      <c r="A477" s="1" t="s">
        <v>484</v>
      </c>
      <c r="B477">
        <f>HYPERLINK("https://www.suredividend.com/sure-analysis-FCX/","Freeport-McMoRan, Inc.")</f>
        <v>0</v>
      </c>
      <c r="C477">
        <v>13.96</v>
      </c>
      <c r="D477">
        <v>20879.3286</v>
      </c>
      <c r="E477" t="s">
        <v>663</v>
      </c>
      <c r="F477" t="s">
        <v>631</v>
      </c>
      <c r="G477" t="s">
        <v>671</v>
      </c>
      <c r="H477" t="s">
        <v>702</v>
      </c>
      <c r="I477" t="s">
        <v>1173</v>
      </c>
      <c r="J477" t="s">
        <v>1321</v>
      </c>
      <c r="K477">
        <v>44038</v>
      </c>
      <c r="L477">
        <v>0.006954102920723001</v>
      </c>
      <c r="M477">
        <v>-0.1053752399451049</v>
      </c>
      <c r="N477">
        <v>0.08500000000000001</v>
      </c>
      <c r="O477">
        <v>-0.01953460598537249</v>
      </c>
      <c r="P477" t="s">
        <v>420</v>
      </c>
      <c r="Q477" t="s">
        <v>596</v>
      </c>
      <c r="R477">
        <v>0</v>
      </c>
      <c r="S477">
        <v>0.6666666666666667</v>
      </c>
      <c r="T477">
        <v>8</v>
      </c>
      <c r="U477">
        <v>1.745</v>
      </c>
      <c r="V477">
        <v>-0.4456</v>
      </c>
      <c r="W477">
        <v>0.15</v>
      </c>
      <c r="X477">
        <v>0.1</v>
      </c>
      <c r="Y477">
        <v>0.379447</v>
      </c>
      <c r="Z477">
        <v>0.03814262023217247</v>
      </c>
      <c r="AA477">
        <v>0.924315619967794</v>
      </c>
      <c r="AB477">
        <v>0.8480707395498392</v>
      </c>
      <c r="AC477">
        <v>0.09646302250803858</v>
      </c>
      <c r="AD477">
        <v>0.07717041800643087</v>
      </c>
    </row>
    <row r="478" spans="1:30">
      <c r="A478" s="1" t="s">
        <v>485</v>
      </c>
      <c r="B478">
        <f>HYPERLINK("https://www.suredividend.com/sure-analysis-WY/","Weyerhaeuser Co.")</f>
        <v>0</v>
      </c>
      <c r="C478">
        <v>28.89</v>
      </c>
      <c r="D478">
        <v>21499.95227</v>
      </c>
      <c r="E478" t="s">
        <v>666</v>
      </c>
      <c r="F478" t="s">
        <v>631</v>
      </c>
      <c r="G478" t="s">
        <v>671</v>
      </c>
      <c r="H478" t="s">
        <v>702</v>
      </c>
      <c r="I478" t="s">
        <v>1174</v>
      </c>
      <c r="J478" t="s">
        <v>1322</v>
      </c>
      <c r="K478">
        <v>43992</v>
      </c>
      <c r="L478">
        <v>0.03540437348143</v>
      </c>
      <c r="M478">
        <v>-0.1228603494916525</v>
      </c>
      <c r="N478">
        <v>0.07000000000000001</v>
      </c>
      <c r="O478">
        <v>-0.02656910678721525</v>
      </c>
      <c r="P478" t="s">
        <v>420</v>
      </c>
      <c r="Q478" t="s">
        <v>420</v>
      </c>
      <c r="R478">
        <v>0</v>
      </c>
      <c r="S478">
        <v>1.02</v>
      </c>
      <c r="T478">
        <v>15</v>
      </c>
      <c r="U478">
        <v>1.926</v>
      </c>
      <c r="V478">
        <v>0.4113</v>
      </c>
      <c r="W478">
        <v>1</v>
      </c>
      <c r="X478">
        <v>1.02</v>
      </c>
      <c r="Y478">
        <v>0.127685</v>
      </c>
      <c r="Z478">
        <v>0.5140961857379768</v>
      </c>
      <c r="AA478">
        <v>0.7697262479871175</v>
      </c>
      <c r="AB478">
        <v>0.7355305466237942</v>
      </c>
      <c r="AC478">
        <v>0.04501607717041801</v>
      </c>
      <c r="AD478">
        <v>0.06913183279742766</v>
      </c>
    </row>
    <row r="479" spans="1:30">
      <c r="A479" s="1" t="s">
        <v>486</v>
      </c>
      <c r="B479">
        <f>HYPERLINK("https://www.suredividend.com/sure-analysis-AZN/","AstraZeneca Plc")</f>
        <v>0</v>
      </c>
      <c r="C479">
        <v>55.18</v>
      </c>
      <c r="D479">
        <v>145348.1328</v>
      </c>
      <c r="E479" t="s">
        <v>665</v>
      </c>
      <c r="F479" t="s">
        <v>631</v>
      </c>
      <c r="G479" t="s">
        <v>676</v>
      </c>
      <c r="H479" t="s">
        <v>702</v>
      </c>
      <c r="I479" t="s">
        <v>1175</v>
      </c>
      <c r="J479" t="s">
        <v>1316</v>
      </c>
      <c r="K479">
        <v>44044</v>
      </c>
      <c r="L479">
        <v>0.024738172625496</v>
      </c>
      <c r="M479">
        <v>-0.1147459716034097</v>
      </c>
      <c r="N479">
        <v>0.04</v>
      </c>
      <c r="O479">
        <v>-0.04645611007693617</v>
      </c>
      <c r="P479" t="s">
        <v>420</v>
      </c>
      <c r="Q479" t="s">
        <v>420</v>
      </c>
      <c r="R479">
        <v>0</v>
      </c>
      <c r="S479">
        <v>0.6782178217821783</v>
      </c>
      <c r="T479">
        <v>30</v>
      </c>
      <c r="U479">
        <v>1.839333333333333</v>
      </c>
      <c r="V479">
        <v>0.8204</v>
      </c>
      <c r="W479">
        <v>2.02</v>
      </c>
      <c r="X479">
        <v>1.37</v>
      </c>
      <c r="Y479">
        <v>0.255324</v>
      </c>
      <c r="Z479">
        <v>0.3416252072968491</v>
      </c>
      <c r="AA479">
        <v>0.8631239935587761</v>
      </c>
      <c r="AB479">
        <v>0.3858520900321543</v>
      </c>
      <c r="AC479">
        <v>0.06752411575562701</v>
      </c>
      <c r="AD479">
        <v>0.04180064308681672</v>
      </c>
    </row>
    <row r="480" spans="1:30">
      <c r="A480" s="1" t="s">
        <v>487</v>
      </c>
      <c r="B480">
        <f>HYPERLINK("https://www.suredividend.com/sure-analysis-ETN/","Eaton Corp. Plc")</f>
        <v>0</v>
      </c>
      <c r="C480">
        <v>102.18</v>
      </c>
      <c r="D480">
        <v>39913.976</v>
      </c>
      <c r="E480" t="s">
        <v>665</v>
      </c>
      <c r="F480" t="s">
        <v>631</v>
      </c>
      <c r="G480" t="s">
        <v>674</v>
      </c>
      <c r="H480" t="s">
        <v>702</v>
      </c>
      <c r="I480" t="s">
        <v>1176</v>
      </c>
      <c r="J480" t="s">
        <v>1315</v>
      </c>
      <c r="K480">
        <v>44041</v>
      </c>
      <c r="L480">
        <v>0.028869286287089</v>
      </c>
      <c r="M480">
        <v>-0.1230355383544799</v>
      </c>
      <c r="N480">
        <v>0.04</v>
      </c>
      <c r="O480">
        <v>-0.04774890111948027</v>
      </c>
      <c r="P480" t="s">
        <v>420</v>
      </c>
      <c r="Q480" t="s">
        <v>420</v>
      </c>
      <c r="R480">
        <v>11</v>
      </c>
      <c r="S480">
        <v>0.7890410958904109</v>
      </c>
      <c r="T480">
        <v>53</v>
      </c>
      <c r="U480">
        <v>1.927924528301887</v>
      </c>
      <c r="V480">
        <v>3.733</v>
      </c>
      <c r="W480">
        <v>3.65</v>
      </c>
      <c r="X480">
        <v>2.88</v>
      </c>
      <c r="Y480">
        <v>0.225677</v>
      </c>
      <c r="Z480">
        <v>0.4112769485903814</v>
      </c>
      <c r="AA480">
        <v>0.8373590982286635</v>
      </c>
      <c r="AB480">
        <v>0.3858520900321543</v>
      </c>
      <c r="AC480">
        <v>0.04340836012861736</v>
      </c>
      <c r="AD480">
        <v>0.03536977491961415</v>
      </c>
    </row>
    <row r="481" spans="1:30">
      <c r="A481" s="1" t="s">
        <v>488</v>
      </c>
      <c r="B481">
        <f>HYPERLINK("https://www.suredividend.com/sure-analysis-HMC/","Honda Motor Co., Ltd.")</f>
        <v>0</v>
      </c>
      <c r="C481">
        <v>25.59</v>
      </c>
      <c r="D481">
        <v>42958.090537</v>
      </c>
      <c r="E481" t="s">
        <v>665</v>
      </c>
      <c r="F481" t="s">
        <v>631</v>
      </c>
      <c r="G481" t="s">
        <v>692</v>
      </c>
      <c r="H481" t="s">
        <v>702</v>
      </c>
      <c r="I481" t="s">
        <v>1177</v>
      </c>
      <c r="J481" t="s">
        <v>1313</v>
      </c>
      <c r="K481">
        <v>44048</v>
      </c>
      <c r="L481">
        <v>0.035253215434083</v>
      </c>
      <c r="M481">
        <v>-0.1266775724768896</v>
      </c>
      <c r="N481">
        <v>0.029</v>
      </c>
      <c r="O481">
        <v>-0.07420925277512735</v>
      </c>
      <c r="P481" t="s">
        <v>420</v>
      </c>
      <c r="Q481" t="s">
        <v>420</v>
      </c>
      <c r="R481">
        <v>0</v>
      </c>
      <c r="S481">
        <v>0.5808609271523179</v>
      </c>
      <c r="T481">
        <v>13</v>
      </c>
      <c r="U481">
        <v>1.968461538461538</v>
      </c>
      <c r="V481">
        <v>1.0595</v>
      </c>
      <c r="W481">
        <v>1.51</v>
      </c>
      <c r="X481">
        <v>0.8771</v>
      </c>
      <c r="Y481">
        <v>0.020265</v>
      </c>
      <c r="Z481">
        <v>0.5107794361525705</v>
      </c>
      <c r="AA481">
        <v>0.6618357487922705</v>
      </c>
      <c r="AB481">
        <v>0.2057877813504823</v>
      </c>
      <c r="AC481">
        <v>0.03858520900321544</v>
      </c>
      <c r="AD481">
        <v>0.022508038585209</v>
      </c>
    </row>
    <row r="482" spans="1:30">
      <c r="A482" s="1" t="s">
        <v>489</v>
      </c>
      <c r="B482">
        <f>HYPERLINK("https://www.suredividend.com/sure-analysis-GOLD/","Barrick Gold Corp.")</f>
        <v>0</v>
      </c>
      <c r="C482">
        <v>26.25</v>
      </c>
      <c r="D482">
        <v>51065.3088</v>
      </c>
      <c r="E482" t="s">
        <v>663</v>
      </c>
      <c r="F482" t="s">
        <v>631</v>
      </c>
      <c r="G482" t="s">
        <v>672</v>
      </c>
      <c r="H482" t="s">
        <v>702</v>
      </c>
      <c r="I482" t="s">
        <v>1178</v>
      </c>
      <c r="J482" t="s">
        <v>1321</v>
      </c>
      <c r="K482">
        <v>43966</v>
      </c>
      <c r="L482">
        <v>0.018805710306406</v>
      </c>
      <c r="M482">
        <v>-0.09427128863604872</v>
      </c>
      <c r="N482">
        <v>0</v>
      </c>
      <c r="O482">
        <v>-0.07709945635367266</v>
      </c>
      <c r="P482" t="s">
        <v>420</v>
      </c>
      <c r="Q482" t="s">
        <v>596</v>
      </c>
      <c r="R482">
        <v>3</v>
      </c>
      <c r="S482">
        <v>0.675125</v>
      </c>
      <c r="T482">
        <v>16</v>
      </c>
      <c r="U482">
        <v>1.640625</v>
      </c>
      <c r="V482">
        <v>2.5018</v>
      </c>
      <c r="W482">
        <v>0.8</v>
      </c>
      <c r="X482">
        <v>0.5401</v>
      </c>
      <c r="Y482">
        <v>0.587136</v>
      </c>
      <c r="Z482">
        <v>0.2388059701492538</v>
      </c>
      <c r="AA482">
        <v>0.9742351046698873</v>
      </c>
      <c r="AB482">
        <v>0.04662379421221865</v>
      </c>
      <c r="AC482">
        <v>0.1237942122186495</v>
      </c>
      <c r="AD482">
        <v>0.01768488745980707</v>
      </c>
    </row>
    <row r="483" spans="1:30">
      <c r="A483" s="1" t="s">
        <v>490</v>
      </c>
      <c r="B483">
        <f>HYPERLINK("https://www.suredividend.com/sure-analysis-KLIC/","Kulicke &amp; Soffa Industries, Inc.")</f>
        <v>0</v>
      </c>
      <c r="C483">
        <v>24.925</v>
      </c>
      <c r="D483">
        <v>1541.673693</v>
      </c>
      <c r="E483" t="s">
        <v>665</v>
      </c>
      <c r="F483" t="s">
        <v>631</v>
      </c>
      <c r="G483" t="s">
        <v>698</v>
      </c>
      <c r="H483" t="s">
        <v>701</v>
      </c>
      <c r="I483" t="s">
        <v>1179</v>
      </c>
      <c r="J483" t="s">
        <v>1318</v>
      </c>
      <c r="K483">
        <v>44043</v>
      </c>
      <c r="L483">
        <v>0.019253910950661</v>
      </c>
      <c r="M483">
        <v>-0.2243021734100016</v>
      </c>
      <c r="N483">
        <v>0.02</v>
      </c>
      <c r="O483">
        <v>-0.1623883230808323</v>
      </c>
      <c r="P483" t="s">
        <v>420</v>
      </c>
      <c r="Q483" t="s">
        <v>596</v>
      </c>
      <c r="R483">
        <v>2</v>
      </c>
      <c r="S483">
        <v>0.5393258426966292</v>
      </c>
      <c r="T483">
        <v>7</v>
      </c>
      <c r="U483">
        <v>3.560714285714286</v>
      </c>
      <c r="V483">
        <v>0.6787000000000001</v>
      </c>
      <c r="W483">
        <v>0.89</v>
      </c>
      <c r="X483">
        <v>0.48</v>
      </c>
      <c r="Y483">
        <v>0.170123</v>
      </c>
      <c r="Z483">
        <v>0.2504145936981758</v>
      </c>
      <c r="AA483">
        <v>0.7954911433172304</v>
      </c>
      <c r="AB483">
        <v>0.157556270096463</v>
      </c>
      <c r="AC483">
        <v>0.00482315112540193</v>
      </c>
      <c r="AD483">
        <v>0.001607717041800643</v>
      </c>
    </row>
    <row r="484" spans="1:30">
      <c r="A484" s="1" t="s">
        <v>491</v>
      </c>
      <c r="B484">
        <f>HYPERLINK("https://www.suredividend.com/sure-analysis-CHRRF/","Chorus Aviation, Inc.")</f>
        <v>0</v>
      </c>
      <c r="C484">
        <v>1.76</v>
      </c>
      <c r="D484">
        <v>284.88592</v>
      </c>
      <c r="E484" t="s">
        <v>667</v>
      </c>
      <c r="F484" t="s">
        <v>631</v>
      </c>
      <c r="G484" t="s">
        <v>672</v>
      </c>
      <c r="H484" t="s">
        <v>700</v>
      </c>
      <c r="I484" t="s">
        <v>1180</v>
      </c>
      <c r="J484" t="s">
        <v>1315</v>
      </c>
      <c r="K484">
        <v>43993</v>
      </c>
      <c r="L484">
        <v>0.204933078408942</v>
      </c>
      <c r="M484">
        <v>0.1095728171731842</v>
      </c>
      <c r="N484">
        <v>0.06</v>
      </c>
      <c r="O484">
        <v>0.201732444777039</v>
      </c>
      <c r="P484" t="s">
        <v>596</v>
      </c>
      <c r="Q484" t="s">
        <v>636</v>
      </c>
      <c r="R484">
        <v>0</v>
      </c>
      <c r="S484">
        <v>1.092976418181027</v>
      </c>
      <c r="T484">
        <v>2.96</v>
      </c>
      <c r="U484">
        <v>0.5945945945945946</v>
      </c>
      <c r="V484">
        <v>0.3917</v>
      </c>
      <c r="W484">
        <v>0.33</v>
      </c>
      <c r="X484">
        <v>0.360682217999739</v>
      </c>
      <c r="Y484">
        <v>-0.694259</v>
      </c>
      <c r="Z484">
        <v>0.9867330016583747</v>
      </c>
      <c r="AA484">
        <v>0.01449275362318841</v>
      </c>
      <c r="AB484">
        <v>0.6430868167202572</v>
      </c>
      <c r="AC484">
        <v>0.9935691318327975</v>
      </c>
      <c r="AD484">
        <v>0.9919614147909968</v>
      </c>
    </row>
    <row r="485" spans="1:30">
      <c r="A485" s="1" t="s">
        <v>492</v>
      </c>
      <c r="B485">
        <f>HYPERLINK("https://www.suredividend.com/sure-analysis-SNP/","China Petroleum &amp; Chemical Corp.")</f>
        <v>0</v>
      </c>
      <c r="C485">
        <v>44.45</v>
      </c>
      <c r="D485">
        <v>11287.12816</v>
      </c>
      <c r="E485" t="s">
        <v>662</v>
      </c>
      <c r="F485" t="s">
        <v>631</v>
      </c>
      <c r="G485" t="s">
        <v>673</v>
      </c>
      <c r="H485" t="s">
        <v>702</v>
      </c>
      <c r="I485" t="s">
        <v>1181</v>
      </c>
      <c r="J485" t="s">
        <v>1317</v>
      </c>
      <c r="K485">
        <v>43973</v>
      </c>
      <c r="L485">
        <v>0.09941003616636501</v>
      </c>
      <c r="M485">
        <v>0.07896738805357306</v>
      </c>
      <c r="N485">
        <v>0.03</v>
      </c>
      <c r="O485">
        <v>0.1719368532716228</v>
      </c>
      <c r="P485" t="s">
        <v>596</v>
      </c>
      <c r="Q485" t="s">
        <v>381</v>
      </c>
      <c r="R485">
        <v>0</v>
      </c>
      <c r="S485">
        <v>7.329833333333333</v>
      </c>
      <c r="T485">
        <v>65</v>
      </c>
      <c r="U485">
        <v>0.6838461538461539</v>
      </c>
      <c r="V485">
        <v>2.7271</v>
      </c>
      <c r="W485">
        <v>0.6</v>
      </c>
      <c r="X485">
        <v>4.3979</v>
      </c>
      <c r="Y485">
        <v>-0.277787</v>
      </c>
      <c r="Z485">
        <v>0.8905472636815921</v>
      </c>
      <c r="AA485">
        <v>0.2689210950080515</v>
      </c>
      <c r="AB485">
        <v>0.2540192926045016</v>
      </c>
      <c r="AC485">
        <v>0.9694533762057879</v>
      </c>
      <c r="AD485">
        <v>0.9871382636655949</v>
      </c>
    </row>
    <row r="486" spans="1:30">
      <c r="A486" s="1" t="s">
        <v>493</v>
      </c>
      <c r="B486">
        <f>HYPERLINK("https://www.suredividend.com/sure-analysis-GEL/","Genesis Energy LP")</f>
        <v>0</v>
      </c>
      <c r="C486">
        <v>6.52</v>
      </c>
      <c r="D486">
        <v>793.086111</v>
      </c>
      <c r="E486" t="s">
        <v>662</v>
      </c>
      <c r="F486" t="s">
        <v>632</v>
      </c>
      <c r="G486" t="s">
        <v>671</v>
      </c>
      <c r="H486" t="s">
        <v>702</v>
      </c>
      <c r="I486" t="s">
        <v>1182</v>
      </c>
      <c r="J486" t="s">
        <v>1317</v>
      </c>
      <c r="K486">
        <v>43978</v>
      </c>
      <c r="L486">
        <v>0.216383307573415</v>
      </c>
      <c r="M486">
        <v>0.06659362291916882</v>
      </c>
      <c r="N486">
        <v>0.03</v>
      </c>
      <c r="O486">
        <v>0.1653090387370948</v>
      </c>
      <c r="P486" t="s">
        <v>596</v>
      </c>
      <c r="Q486" t="s">
        <v>636</v>
      </c>
      <c r="R486">
        <v>0</v>
      </c>
      <c r="S486">
        <v>1.076923076923077</v>
      </c>
      <c r="T486">
        <v>9</v>
      </c>
      <c r="U486">
        <v>0.7244444444444444</v>
      </c>
      <c r="V486">
        <v>-2.7461</v>
      </c>
      <c r="W486">
        <v>1.3</v>
      </c>
      <c r="X486">
        <v>1.4</v>
      </c>
      <c r="Y486">
        <v>-0.698597</v>
      </c>
      <c r="Z486">
        <v>0.9917081260364843</v>
      </c>
      <c r="AA486">
        <v>0.01288244766505636</v>
      </c>
      <c r="AB486">
        <v>0.2540192926045016</v>
      </c>
      <c r="AC486">
        <v>0.95016077170418</v>
      </c>
      <c r="AD486">
        <v>0.9807073954983924</v>
      </c>
    </row>
    <row r="487" spans="1:30">
      <c r="A487" s="1" t="s">
        <v>494</v>
      </c>
      <c r="B487">
        <f>HYPERLINK("https://www.suredividend.com/sure-analysis-RDS.B/","Royal Dutch Shell Plc")</f>
        <v>0</v>
      </c>
      <c r="C487">
        <v>30.35</v>
      </c>
      <c r="D487">
        <v>55384.2096</v>
      </c>
      <c r="E487" t="s">
        <v>662</v>
      </c>
      <c r="F487" t="s">
        <v>631</v>
      </c>
      <c r="G487" t="s">
        <v>687</v>
      </c>
      <c r="H487" t="s">
        <v>702</v>
      </c>
      <c r="I487" t="s">
        <v>1183</v>
      </c>
      <c r="J487" t="s">
        <v>1317</v>
      </c>
      <c r="K487">
        <v>43963</v>
      </c>
      <c r="L487">
        <v>0.084168336673346</v>
      </c>
      <c r="M487">
        <v>0.01688314499904164</v>
      </c>
      <c r="N487">
        <v>0.11</v>
      </c>
      <c r="O487">
        <v>0.1598890710299963</v>
      </c>
      <c r="P487" t="s">
        <v>596</v>
      </c>
      <c r="Q487" t="s">
        <v>381</v>
      </c>
      <c r="R487">
        <v>0</v>
      </c>
      <c r="S487">
        <v>1.938461538461538</v>
      </c>
      <c r="T487">
        <v>33</v>
      </c>
      <c r="U487">
        <v>0.9196969696969698</v>
      </c>
      <c r="V487">
        <v>-2.9679</v>
      </c>
      <c r="W487">
        <v>1.3</v>
      </c>
      <c r="X487">
        <v>2.52</v>
      </c>
      <c r="Y487">
        <v>-0.490912</v>
      </c>
      <c r="Z487">
        <v>0.8623548922056385</v>
      </c>
      <c r="AA487">
        <v>0.07085346215780999</v>
      </c>
      <c r="AB487">
        <v>0.9340836012861736</v>
      </c>
      <c r="AC487">
        <v>0.7508038585209004</v>
      </c>
      <c r="AD487">
        <v>0.9694533762057879</v>
      </c>
    </row>
    <row r="488" spans="1:30">
      <c r="A488" s="1" t="s">
        <v>495</v>
      </c>
      <c r="B488">
        <f>HYPERLINK("https://www.suredividend.com/sure-analysis-BP/","BP Plc")</f>
        <v>0</v>
      </c>
      <c r="C488">
        <v>23.81</v>
      </c>
      <c r="D488">
        <v>78729.962417</v>
      </c>
      <c r="E488" t="s">
        <v>662</v>
      </c>
      <c r="F488" t="s">
        <v>631</v>
      </c>
      <c r="G488" t="s">
        <v>676</v>
      </c>
      <c r="H488" t="s">
        <v>702</v>
      </c>
      <c r="I488" t="s">
        <v>1184</v>
      </c>
      <c r="J488" t="s">
        <v>1317</v>
      </c>
      <c r="K488">
        <v>43956</v>
      </c>
      <c r="L488">
        <v>0.092340425531914</v>
      </c>
      <c r="M488">
        <v>0.001590898107663996</v>
      </c>
      <c r="N488">
        <v>0.09</v>
      </c>
      <c r="O488">
        <v>0.1577545098114401</v>
      </c>
      <c r="P488" t="s">
        <v>596</v>
      </c>
      <c r="Q488" t="s">
        <v>381</v>
      </c>
      <c r="R488">
        <v>3</v>
      </c>
      <c r="S488">
        <v>5.425</v>
      </c>
      <c r="T488">
        <v>24</v>
      </c>
      <c r="U488">
        <v>0.9920833333333333</v>
      </c>
      <c r="V488">
        <v>-6.5233</v>
      </c>
      <c r="W488">
        <v>0.4</v>
      </c>
      <c r="X488">
        <v>2.17</v>
      </c>
      <c r="Y488">
        <v>-0.381926</v>
      </c>
      <c r="Z488">
        <v>0.8772802653399668</v>
      </c>
      <c r="AA488">
        <v>0.143317230273752</v>
      </c>
      <c r="AB488">
        <v>0.8657556270096463</v>
      </c>
      <c r="AC488">
        <v>0.6655948553054662</v>
      </c>
      <c r="AD488">
        <v>0.9678456591639872</v>
      </c>
    </row>
    <row r="489" spans="1:30">
      <c r="A489" s="1" t="s">
        <v>496</v>
      </c>
      <c r="B489">
        <f>HYPERLINK("https://www.suredividend.com/sure-analysis-HFC/","HollyFrontier Corp.")</f>
        <v>0</v>
      </c>
      <c r="C489">
        <v>26.49</v>
      </c>
      <c r="D489">
        <v>4231.8318</v>
      </c>
      <c r="E489" t="s">
        <v>662</v>
      </c>
      <c r="F489" t="s">
        <v>631</v>
      </c>
      <c r="G489" t="s">
        <v>671</v>
      </c>
      <c r="H489" t="s">
        <v>702</v>
      </c>
      <c r="I489" t="s">
        <v>1185</v>
      </c>
      <c r="J489" t="s">
        <v>1317</v>
      </c>
      <c r="K489">
        <v>44053</v>
      </c>
      <c r="L489">
        <v>0.052833078101071</v>
      </c>
      <c r="M489">
        <v>0.08042973910298001</v>
      </c>
      <c r="N489">
        <v>0.04</v>
      </c>
      <c r="O489">
        <v>0.1568780125853322</v>
      </c>
      <c r="P489" t="s">
        <v>596</v>
      </c>
      <c r="Q489" t="s">
        <v>420</v>
      </c>
      <c r="R489">
        <v>2</v>
      </c>
      <c r="S489">
        <v>4.6</v>
      </c>
      <c r="T489">
        <v>39</v>
      </c>
      <c r="U489">
        <v>0.6792307692307692</v>
      </c>
      <c r="V489">
        <v>-1.0005</v>
      </c>
      <c r="W489">
        <v>0.3</v>
      </c>
      <c r="X489">
        <v>1.38</v>
      </c>
      <c r="Y489">
        <v>-0.5003919999999999</v>
      </c>
      <c r="Z489">
        <v>0.7114427860696517</v>
      </c>
      <c r="AA489">
        <v>0.06602254428341385</v>
      </c>
      <c r="AB489">
        <v>0.3858520900321543</v>
      </c>
      <c r="AC489">
        <v>0.977491961414791</v>
      </c>
      <c r="AD489">
        <v>0.9646302250803859</v>
      </c>
    </row>
    <row r="490" spans="1:30">
      <c r="A490" s="1" t="s">
        <v>497</v>
      </c>
      <c r="B490">
        <f>HYPERLINK("https://www.suredividend.com/sure-analysis-UBA/","Urstadt Biddle Properties, Inc.")</f>
        <v>0</v>
      </c>
      <c r="C490">
        <v>10.35</v>
      </c>
      <c r="D490">
        <v>412.280169</v>
      </c>
      <c r="E490" t="s">
        <v>666</v>
      </c>
      <c r="F490" t="s">
        <v>633</v>
      </c>
      <c r="G490" t="s">
        <v>671</v>
      </c>
      <c r="H490" t="s">
        <v>702</v>
      </c>
      <c r="I490" t="s">
        <v>1186</v>
      </c>
      <c r="J490" t="s">
        <v>1322</v>
      </c>
      <c r="K490">
        <v>44013</v>
      </c>
      <c r="L490">
        <v>0.107871720116618</v>
      </c>
      <c r="M490">
        <v>0.1043372318790821</v>
      </c>
      <c r="N490">
        <v>0</v>
      </c>
      <c r="O490">
        <v>0.1545426369933032</v>
      </c>
      <c r="P490" t="s">
        <v>596</v>
      </c>
      <c r="Q490" t="s">
        <v>636</v>
      </c>
      <c r="R490">
        <v>0</v>
      </c>
      <c r="S490">
        <v>1.11</v>
      </c>
      <c r="T490">
        <v>17</v>
      </c>
      <c r="U490">
        <v>0.6088235294117647</v>
      </c>
      <c r="V490">
        <v>0.4748</v>
      </c>
      <c r="W490">
        <v>1</v>
      </c>
      <c r="X490">
        <v>1.11</v>
      </c>
      <c r="Y490">
        <v>-0.523832</v>
      </c>
      <c r="Z490">
        <v>0.9170812603648425</v>
      </c>
      <c r="AA490">
        <v>0.05958132045088567</v>
      </c>
      <c r="AB490">
        <v>0.04662379421221865</v>
      </c>
      <c r="AC490">
        <v>0.9871382636655949</v>
      </c>
      <c r="AD490">
        <v>0.9614147909967846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15.35</v>
      </c>
      <c r="D491">
        <v>1615.3408</v>
      </c>
      <c r="E491" t="s">
        <v>662</v>
      </c>
      <c r="F491" t="s">
        <v>632</v>
      </c>
      <c r="G491" t="s">
        <v>671</v>
      </c>
      <c r="H491" t="s">
        <v>702</v>
      </c>
      <c r="I491" t="s">
        <v>1185</v>
      </c>
      <c r="J491" t="s">
        <v>1317</v>
      </c>
      <c r="K491">
        <v>44053</v>
      </c>
      <c r="L491">
        <v>0.154536553524804</v>
      </c>
      <c r="M491">
        <v>0.04358792222223506</v>
      </c>
      <c r="N491">
        <v>0.04</v>
      </c>
      <c r="O491">
        <v>0.1527710807046565</v>
      </c>
      <c r="P491" t="s">
        <v>596</v>
      </c>
      <c r="Q491" t="s">
        <v>636</v>
      </c>
      <c r="R491">
        <v>0</v>
      </c>
      <c r="S491">
        <v>1.127380952380952</v>
      </c>
      <c r="T491">
        <v>19</v>
      </c>
      <c r="U491">
        <v>0.8078947368421052</v>
      </c>
      <c r="V491">
        <v>2.1751</v>
      </c>
      <c r="W491">
        <v>2.1</v>
      </c>
      <c r="X491">
        <v>2.3675</v>
      </c>
      <c r="Y491">
        <v>-0.450781</v>
      </c>
      <c r="Z491">
        <v>0.9601990049751243</v>
      </c>
      <c r="AA491">
        <v>0.0966183574879227</v>
      </c>
      <c r="AB491">
        <v>0.3858520900321543</v>
      </c>
      <c r="AC491">
        <v>0.8697749196141479</v>
      </c>
      <c r="AD491">
        <v>0.959807073954984</v>
      </c>
    </row>
    <row r="492" spans="1:30">
      <c r="A492" s="1" t="s">
        <v>499</v>
      </c>
      <c r="B492">
        <f>HYPERLINK("https://www.suredividend.com/sure-analysis-OLN/","Olin Corp.")</f>
        <v>0</v>
      </c>
      <c r="C492">
        <v>11.19</v>
      </c>
      <c r="D492">
        <v>1782.26198</v>
      </c>
      <c r="E492" t="s">
        <v>667</v>
      </c>
      <c r="F492" t="s">
        <v>631</v>
      </c>
      <c r="G492" t="s">
        <v>671</v>
      </c>
      <c r="H492" t="s">
        <v>702</v>
      </c>
      <c r="I492" t="s">
        <v>1187</v>
      </c>
      <c r="J492" t="s">
        <v>1321</v>
      </c>
      <c r="K492">
        <v>43971</v>
      </c>
      <c r="L492">
        <v>0.070859167404783</v>
      </c>
      <c r="M492">
        <v>0.08723585698184122</v>
      </c>
      <c r="N492">
        <v>0.02</v>
      </c>
      <c r="O492">
        <v>0.15266790161508</v>
      </c>
      <c r="P492" t="s">
        <v>596</v>
      </c>
      <c r="Q492" t="s">
        <v>420</v>
      </c>
      <c r="R492">
        <v>0</v>
      </c>
      <c r="S492">
        <v>9.99</v>
      </c>
      <c r="T492">
        <v>17</v>
      </c>
      <c r="U492">
        <v>0.658235294117647</v>
      </c>
      <c r="V492">
        <v>-1.4826</v>
      </c>
      <c r="W492">
        <v>-1.25</v>
      </c>
      <c r="X492">
        <v>0.8</v>
      </c>
      <c r="Y492">
        <v>-0.383062</v>
      </c>
      <c r="Z492">
        <v>0.8192371475953566</v>
      </c>
      <c r="AA492">
        <v>0.14170692431562</v>
      </c>
      <c r="AB492">
        <v>0.157556270096463</v>
      </c>
      <c r="AC492">
        <v>0.9807073954983924</v>
      </c>
      <c r="AD492">
        <v>0.9581993569131833</v>
      </c>
    </row>
    <row r="493" spans="1:30">
      <c r="A493" s="1" t="s">
        <v>500</v>
      </c>
      <c r="B493">
        <f>HYPERLINK("https://www.suredividend.com/sure-analysis-NYMT/","New York Mortgage Trust, Inc.")</f>
        <v>0</v>
      </c>
      <c r="C493">
        <v>2.855</v>
      </c>
      <c r="D493">
        <v>1079.5499</v>
      </c>
      <c r="E493" t="s">
        <v>663</v>
      </c>
      <c r="F493" t="s">
        <v>631</v>
      </c>
      <c r="G493" t="s">
        <v>671</v>
      </c>
      <c r="H493" t="s">
        <v>701</v>
      </c>
      <c r="I493" t="s">
        <v>1188</v>
      </c>
      <c r="J493" t="s">
        <v>1322</v>
      </c>
      <c r="K493">
        <v>44050</v>
      </c>
      <c r="L493">
        <v>0.157342657342657</v>
      </c>
      <c r="M493">
        <v>0.06977088951986121</v>
      </c>
      <c r="N493">
        <v>0.01</v>
      </c>
      <c r="O493">
        <v>0.1502650360103954</v>
      </c>
      <c r="P493" t="s">
        <v>596</v>
      </c>
      <c r="Q493" t="s">
        <v>381</v>
      </c>
      <c r="R493">
        <v>0</v>
      </c>
      <c r="S493">
        <v>9.99</v>
      </c>
      <c r="T493">
        <v>4</v>
      </c>
      <c r="U493">
        <v>0.71375</v>
      </c>
      <c r="V493">
        <v>-1.0714</v>
      </c>
      <c r="W493">
        <v>-1.4</v>
      </c>
      <c r="X493">
        <v>0.45</v>
      </c>
      <c r="Y493">
        <v>-0.5560900000000001</v>
      </c>
      <c r="Z493">
        <v>0.9618573797678275</v>
      </c>
      <c r="AA493">
        <v>0.04830917874396135</v>
      </c>
      <c r="AB493">
        <v>0.08601286173633441</v>
      </c>
      <c r="AC493">
        <v>0.9581993569131833</v>
      </c>
      <c r="AD493">
        <v>0.9533762057877813</v>
      </c>
    </row>
    <row r="494" spans="1:30">
      <c r="A494" s="1" t="s">
        <v>501</v>
      </c>
      <c r="B494">
        <f>HYPERLINK("https://www.suredividend.com/sure-analysis-TOT/","Total SE")</f>
        <v>0</v>
      </c>
      <c r="C494">
        <v>39.72</v>
      </c>
      <c r="D494">
        <v>102903.249492</v>
      </c>
      <c r="E494" t="s">
        <v>662</v>
      </c>
      <c r="F494" t="s">
        <v>631</v>
      </c>
      <c r="G494" t="s">
        <v>685</v>
      </c>
      <c r="H494" t="s">
        <v>702</v>
      </c>
      <c r="I494" t="s">
        <v>1189</v>
      </c>
      <c r="J494" t="s">
        <v>1317</v>
      </c>
      <c r="K494">
        <v>44054</v>
      </c>
      <c r="L494">
        <v>0.07585054832950701</v>
      </c>
      <c r="M494">
        <v>0.02067784341660839</v>
      </c>
      <c r="N494">
        <v>0.07000000000000001</v>
      </c>
      <c r="O494">
        <v>0.1423215819680379</v>
      </c>
      <c r="P494" t="s">
        <v>596</v>
      </c>
      <c r="Q494" t="s">
        <v>381</v>
      </c>
      <c r="R494">
        <v>3</v>
      </c>
      <c r="S494">
        <v>2.124357142857143</v>
      </c>
      <c r="T494">
        <v>44</v>
      </c>
      <c r="U494">
        <v>0.9027272727272727</v>
      </c>
      <c r="V494">
        <v>-1.1568</v>
      </c>
      <c r="W494">
        <v>1.4</v>
      </c>
      <c r="X494">
        <v>2.9741</v>
      </c>
      <c r="Y494">
        <v>-0.210462</v>
      </c>
      <c r="Z494">
        <v>0.8325041459369819</v>
      </c>
      <c r="AA494">
        <v>0.3381642512077295</v>
      </c>
      <c r="AB494">
        <v>0.7355305466237942</v>
      </c>
      <c r="AC494">
        <v>0.7717041800643086</v>
      </c>
      <c r="AD494">
        <v>0.9437299035369775</v>
      </c>
    </row>
    <row r="495" spans="1:30">
      <c r="A495" s="1" t="s">
        <v>502</v>
      </c>
      <c r="B495">
        <f>HYPERLINK("https://www.suredividend.com/sure-analysis-SFL/","SFL Corp. Ltd.")</f>
        <v>0</v>
      </c>
      <c r="C495">
        <v>9.34</v>
      </c>
      <c r="D495">
        <v>1059.05139</v>
      </c>
      <c r="E495" t="s">
        <v>666</v>
      </c>
      <c r="F495" t="s">
        <v>631</v>
      </c>
      <c r="G495" t="s">
        <v>677</v>
      </c>
      <c r="H495" t="s">
        <v>702</v>
      </c>
      <c r="I495" t="s">
        <v>1190</v>
      </c>
      <c r="J495" t="s">
        <v>1315</v>
      </c>
      <c r="K495">
        <v>44013</v>
      </c>
      <c r="L495">
        <v>0.157835400225479</v>
      </c>
      <c r="M495">
        <v>-0.0008580021218076439</v>
      </c>
      <c r="N495">
        <v>0.061</v>
      </c>
      <c r="O495">
        <v>0.1421478837341077</v>
      </c>
      <c r="P495" t="s">
        <v>596</v>
      </c>
      <c r="Q495" t="s">
        <v>636</v>
      </c>
      <c r="R495">
        <v>0</v>
      </c>
      <c r="S495">
        <v>1.505376344086021</v>
      </c>
      <c r="T495">
        <v>9.300000000000001</v>
      </c>
      <c r="U495">
        <v>1.004301075268817</v>
      </c>
      <c r="V495">
        <v>-0.3409</v>
      </c>
      <c r="W495">
        <v>0.93</v>
      </c>
      <c r="X495">
        <v>1.4</v>
      </c>
      <c r="Y495">
        <v>-0.333591</v>
      </c>
      <c r="Z495">
        <v>0.9635157545605307</v>
      </c>
      <c r="AA495">
        <v>0.1948470209339775</v>
      </c>
      <c r="AB495">
        <v>0.6881028938906752</v>
      </c>
      <c r="AC495">
        <v>0.6479099678456592</v>
      </c>
      <c r="AD495">
        <v>0.9405144694533761</v>
      </c>
    </row>
    <row r="496" spans="1:30">
      <c r="A496" s="1" t="s">
        <v>503</v>
      </c>
      <c r="B496">
        <f>HYPERLINK("https://www.suredividend.com/sure-analysis-SU/","Suncor Energy, Inc.")</f>
        <v>0</v>
      </c>
      <c r="C496">
        <v>16.96</v>
      </c>
      <c r="D496">
        <v>25790.2865</v>
      </c>
      <c r="E496" t="s">
        <v>662</v>
      </c>
      <c r="F496" t="s">
        <v>631</v>
      </c>
      <c r="G496" t="s">
        <v>672</v>
      </c>
      <c r="H496" t="s">
        <v>702</v>
      </c>
      <c r="I496" t="s">
        <v>1191</v>
      </c>
      <c r="J496" t="s">
        <v>1317</v>
      </c>
      <c r="K496">
        <v>43972</v>
      </c>
      <c r="L496">
        <v>0.067031433365173</v>
      </c>
      <c r="M496">
        <v>0.03352462704646753</v>
      </c>
      <c r="N496">
        <v>0.08</v>
      </c>
      <c r="O496">
        <v>0.1421462142957359</v>
      </c>
      <c r="P496" t="s">
        <v>596</v>
      </c>
      <c r="Q496" t="s">
        <v>420</v>
      </c>
      <c r="R496">
        <v>0</v>
      </c>
      <c r="S496">
        <v>9.99</v>
      </c>
      <c r="T496">
        <v>20</v>
      </c>
      <c r="U496">
        <v>0.8480000000000001</v>
      </c>
      <c r="V496">
        <v>-2.6524</v>
      </c>
      <c r="W496">
        <v>-1.5</v>
      </c>
      <c r="X496">
        <v>1.13350153820508</v>
      </c>
      <c r="Y496">
        <v>-0.434661</v>
      </c>
      <c r="Z496">
        <v>0.7960199004975124</v>
      </c>
      <c r="AA496">
        <v>0.1127214170692432</v>
      </c>
      <c r="AB496">
        <v>0.8135048231511255</v>
      </c>
      <c r="AC496">
        <v>0.8263665594855305</v>
      </c>
      <c r="AD496">
        <v>0.9389067524115755</v>
      </c>
    </row>
    <row r="497" spans="1:30">
      <c r="A497" s="1" t="s">
        <v>504</v>
      </c>
      <c r="B497">
        <f>HYPERLINK("https://www.suredividend.com/sure-analysis-PSX/","Phillips 66")</f>
        <v>0</v>
      </c>
      <c r="C497">
        <v>64.11</v>
      </c>
      <c r="D497">
        <v>28328.53439</v>
      </c>
      <c r="E497" t="s">
        <v>662</v>
      </c>
      <c r="F497" t="s">
        <v>631</v>
      </c>
      <c r="G497" t="s">
        <v>671</v>
      </c>
      <c r="H497" t="s">
        <v>702</v>
      </c>
      <c r="I497" t="s">
        <v>1192</v>
      </c>
      <c r="J497" t="s">
        <v>1317</v>
      </c>
      <c r="K497">
        <v>44047</v>
      </c>
      <c r="L497">
        <v>0.055495606597811</v>
      </c>
      <c r="M497">
        <v>0.05553029313966751</v>
      </c>
      <c r="N497">
        <v>0.04</v>
      </c>
      <c r="O497">
        <v>0.138220089823629</v>
      </c>
      <c r="P497" t="s">
        <v>596</v>
      </c>
      <c r="Q497" t="s">
        <v>420</v>
      </c>
      <c r="R497">
        <v>7</v>
      </c>
      <c r="S497">
        <v>2.769230769230769</v>
      </c>
      <c r="T497">
        <v>84</v>
      </c>
      <c r="U497">
        <v>0.7632142857142857</v>
      </c>
      <c r="V497">
        <v>-2.7519</v>
      </c>
      <c r="W497">
        <v>1.3</v>
      </c>
      <c r="X497">
        <v>3.6</v>
      </c>
      <c r="Y497">
        <v>-0.375732</v>
      </c>
      <c r="Z497">
        <v>0.7230514096185737</v>
      </c>
      <c r="AA497">
        <v>0.1513687600644122</v>
      </c>
      <c r="AB497">
        <v>0.3858520900321543</v>
      </c>
      <c r="AC497">
        <v>0.9212218649517685</v>
      </c>
      <c r="AD497">
        <v>0.9308681672025724</v>
      </c>
    </row>
    <row r="498" spans="1:30">
      <c r="A498" s="1" t="s">
        <v>505</v>
      </c>
      <c r="B498">
        <f>HYPERLINK("https://www.suredividend.com/sure-analysis-LUV/","Southwest Airlines Co.")</f>
        <v>0</v>
      </c>
      <c r="C498">
        <v>35.29</v>
      </c>
      <c r="D498">
        <v>20639.62128</v>
      </c>
      <c r="E498" t="s">
        <v>663</v>
      </c>
      <c r="F498" t="s">
        <v>631</v>
      </c>
      <c r="G498" t="s">
        <v>671</v>
      </c>
      <c r="H498" t="s">
        <v>702</v>
      </c>
      <c r="I498" t="s">
        <v>1193</v>
      </c>
      <c r="J498" t="s">
        <v>1315</v>
      </c>
      <c r="K498">
        <v>44040</v>
      </c>
      <c r="L498">
        <v>0.015432980851671</v>
      </c>
      <c r="M498">
        <v>0.04510566929399062</v>
      </c>
      <c r="N498">
        <v>0.08</v>
      </c>
      <c r="O498">
        <v>0.1350948796141598</v>
      </c>
      <c r="P498" t="s">
        <v>596</v>
      </c>
      <c r="Q498" t="s">
        <v>596</v>
      </c>
      <c r="R498">
        <v>0</v>
      </c>
      <c r="S498">
        <v>9.99</v>
      </c>
      <c r="T498">
        <v>44</v>
      </c>
      <c r="U498">
        <v>0.8020454545454545</v>
      </c>
      <c r="V498">
        <v>0.4077</v>
      </c>
      <c r="W498">
        <v>-6.25</v>
      </c>
      <c r="X498">
        <v>0.54</v>
      </c>
      <c r="Y498">
        <v>-0.3408600000000001</v>
      </c>
      <c r="Z498">
        <v>0.154228855721393</v>
      </c>
      <c r="AA498">
        <v>0.1835748792270532</v>
      </c>
      <c r="AB498">
        <v>0.8135048231511255</v>
      </c>
      <c r="AC498">
        <v>0.8778135048231512</v>
      </c>
      <c r="AD498">
        <v>0.9244372990353698</v>
      </c>
    </row>
    <row r="499" spans="1:30">
      <c r="A499" s="1" t="s">
        <v>506</v>
      </c>
      <c r="B499">
        <f>HYPERLINK("https://www.suredividend.com/sure-analysis-MPC/","Marathon Petroleum Corp.")</f>
        <v>0</v>
      </c>
      <c r="C499">
        <v>36.95</v>
      </c>
      <c r="D499">
        <v>24160.34248</v>
      </c>
      <c r="E499" t="s">
        <v>662</v>
      </c>
      <c r="F499" t="s">
        <v>631</v>
      </c>
      <c r="G499" t="s">
        <v>671</v>
      </c>
      <c r="H499" t="s">
        <v>702</v>
      </c>
      <c r="I499" t="s">
        <v>951</v>
      </c>
      <c r="J499" t="s">
        <v>1317</v>
      </c>
      <c r="K499">
        <v>43964</v>
      </c>
      <c r="L499">
        <v>0.05978992728252001</v>
      </c>
      <c r="M499">
        <v>0.05807469395273412</v>
      </c>
      <c r="N499">
        <v>0.03</v>
      </c>
      <c r="O499">
        <v>0.1346573895206005</v>
      </c>
      <c r="P499" t="s">
        <v>596</v>
      </c>
      <c r="Q499" t="s">
        <v>420</v>
      </c>
      <c r="R499">
        <v>9</v>
      </c>
      <c r="S499">
        <v>9.99</v>
      </c>
      <c r="T499">
        <v>49</v>
      </c>
      <c r="U499">
        <v>0.7540816326530613</v>
      </c>
      <c r="V499">
        <v>-11.8833</v>
      </c>
      <c r="W499">
        <v>-1.8</v>
      </c>
      <c r="X499">
        <v>2.22</v>
      </c>
      <c r="Y499">
        <v>-0.259491</v>
      </c>
      <c r="Z499">
        <v>0.7512437810945274</v>
      </c>
      <c r="AA499">
        <v>0.28341384863124</v>
      </c>
      <c r="AB499">
        <v>0.2540192926045016</v>
      </c>
      <c r="AC499">
        <v>0.9356913183279743</v>
      </c>
      <c r="AD499">
        <v>0.9228295819935691</v>
      </c>
    </row>
    <row r="500" spans="1:30">
      <c r="A500" s="1" t="s">
        <v>507</v>
      </c>
      <c r="B500">
        <f>HYPERLINK("https://www.suredividend.com/sure-analysis-CMA/","Comerica, Inc.")</f>
        <v>0</v>
      </c>
      <c r="C500">
        <v>42.15</v>
      </c>
      <c r="D500">
        <v>5706.16056</v>
      </c>
      <c r="E500" t="s">
        <v>661</v>
      </c>
      <c r="F500" t="s">
        <v>631</v>
      </c>
      <c r="G500" t="s">
        <v>671</v>
      </c>
      <c r="H500" t="s">
        <v>702</v>
      </c>
      <c r="I500" t="s">
        <v>1194</v>
      </c>
      <c r="J500" t="s">
        <v>1312</v>
      </c>
      <c r="K500">
        <v>44035</v>
      </c>
      <c r="L500">
        <v>0.06578947368421001</v>
      </c>
      <c r="M500">
        <v>0.05466132892740361</v>
      </c>
      <c r="N500">
        <v>0.03</v>
      </c>
      <c r="O500">
        <v>0.132797907198656</v>
      </c>
      <c r="P500" t="s">
        <v>596</v>
      </c>
      <c r="Q500" t="s">
        <v>420</v>
      </c>
      <c r="R500">
        <v>11</v>
      </c>
      <c r="S500">
        <v>1.8</v>
      </c>
      <c r="T500">
        <v>55</v>
      </c>
      <c r="U500">
        <v>0.7663636363636364</v>
      </c>
      <c r="V500">
        <v>4.1966</v>
      </c>
      <c r="W500">
        <v>1.5</v>
      </c>
      <c r="X500">
        <v>2.7</v>
      </c>
      <c r="Y500">
        <v>-0.366972</v>
      </c>
      <c r="Z500">
        <v>0.7893864013266999</v>
      </c>
      <c r="AA500">
        <v>0.1626409017713366</v>
      </c>
      <c r="AB500">
        <v>0.2540192926045016</v>
      </c>
      <c r="AC500">
        <v>0.9180064308681672</v>
      </c>
      <c r="AD500">
        <v>0.9180064308681672</v>
      </c>
    </row>
    <row r="501" spans="1:30">
      <c r="A501" s="1" t="s">
        <v>508</v>
      </c>
      <c r="B501">
        <f>HYPERLINK("https://www.suredividend.com/sure-analysis-CIM/","Chimera Investment Corp.")</f>
        <v>0</v>
      </c>
      <c r="C501">
        <v>8.93</v>
      </c>
      <c r="D501">
        <v>1657.8712</v>
      </c>
      <c r="E501" t="s">
        <v>662</v>
      </c>
      <c r="F501" t="s">
        <v>631</v>
      </c>
      <c r="G501" t="s">
        <v>671</v>
      </c>
      <c r="H501" t="s">
        <v>702</v>
      </c>
      <c r="I501" t="s">
        <v>1195</v>
      </c>
      <c r="J501" t="s">
        <v>1322</v>
      </c>
      <c r="K501">
        <v>43977</v>
      </c>
      <c r="L501">
        <v>0.201793721973094</v>
      </c>
      <c r="M501">
        <v>0.04067472712348774</v>
      </c>
      <c r="N501">
        <v>0.01</v>
      </c>
      <c r="O501">
        <v>0.130042076093482</v>
      </c>
      <c r="P501" t="s">
        <v>596</v>
      </c>
      <c r="Q501" t="s">
        <v>636</v>
      </c>
      <c r="R501">
        <v>0</v>
      </c>
      <c r="S501">
        <v>1.285714285714286</v>
      </c>
      <c r="T501">
        <v>10.9</v>
      </c>
      <c r="U501">
        <v>0.8192660550458715</v>
      </c>
      <c r="V501">
        <v>-1.382</v>
      </c>
      <c r="W501">
        <v>1.4</v>
      </c>
      <c r="X501">
        <v>1.8</v>
      </c>
      <c r="Y501">
        <v>-0.567622</v>
      </c>
      <c r="Z501">
        <v>0.9850746268656717</v>
      </c>
      <c r="AA501">
        <v>0.04347826086956522</v>
      </c>
      <c r="AB501">
        <v>0.08601286173633441</v>
      </c>
      <c r="AC501">
        <v>0.8569131832797428</v>
      </c>
      <c r="AD501">
        <v>0.9083601286173634</v>
      </c>
    </row>
    <row r="502" spans="1:30">
      <c r="A502" s="1" t="s">
        <v>509</v>
      </c>
      <c r="B502">
        <f>HYPERLINK("https://www.suredividend.com/sure-analysis-CEO/","CNOOC Ltd.")</f>
        <v>0</v>
      </c>
      <c r="C502">
        <v>113.26</v>
      </c>
      <c r="D502">
        <v>49808.751</v>
      </c>
      <c r="E502" t="s">
        <v>662</v>
      </c>
      <c r="F502" t="s">
        <v>631</v>
      </c>
      <c r="G502" t="s">
        <v>694</v>
      </c>
      <c r="H502" t="s">
        <v>702</v>
      </c>
      <c r="I502" t="s">
        <v>1196</v>
      </c>
      <c r="J502" t="s">
        <v>1317</v>
      </c>
      <c r="K502">
        <v>43984</v>
      </c>
      <c r="L502">
        <v>0.08031982789530201</v>
      </c>
      <c r="M502">
        <v>-0.1376899643221025</v>
      </c>
      <c r="N502">
        <v>0.25</v>
      </c>
      <c r="O502">
        <v>0.1291528114753395</v>
      </c>
      <c r="P502" t="s">
        <v>596</v>
      </c>
      <c r="Q502" t="s">
        <v>381</v>
      </c>
      <c r="R502">
        <v>3</v>
      </c>
      <c r="S502">
        <v>1.493413333333333</v>
      </c>
      <c r="T502">
        <v>54</v>
      </c>
      <c r="U502">
        <v>2.097407407407407</v>
      </c>
      <c r="V502">
        <v>19.7958</v>
      </c>
      <c r="W502">
        <v>6</v>
      </c>
      <c r="X502">
        <v>8.96048</v>
      </c>
      <c r="Y502">
        <v>-0.291615</v>
      </c>
      <c r="Z502">
        <v>0.8507462686567164</v>
      </c>
      <c r="AA502">
        <v>0.2479871175523349</v>
      </c>
      <c r="AB502">
        <v>0.997588424437299</v>
      </c>
      <c r="AC502">
        <v>0.03054662379421222</v>
      </c>
      <c r="AD502">
        <v>0.9019292604501608</v>
      </c>
    </row>
    <row r="503" spans="1:30">
      <c r="A503" s="1" t="s">
        <v>510</v>
      </c>
      <c r="B503">
        <f>HYPERLINK("https://www.suredividend.com/sure-analysis-APLE/","Apple Hospitality REIT, Inc.")</f>
        <v>0</v>
      </c>
      <c r="C503">
        <v>10.12</v>
      </c>
      <c r="D503">
        <v>2261.18821</v>
      </c>
      <c r="E503" t="s">
        <v>666</v>
      </c>
      <c r="F503" t="s">
        <v>633</v>
      </c>
      <c r="G503" t="s">
        <v>671</v>
      </c>
      <c r="H503" t="s">
        <v>702</v>
      </c>
      <c r="I503" t="s">
        <v>1197</v>
      </c>
      <c r="J503" t="s">
        <v>1322</v>
      </c>
      <c r="K503">
        <v>43998</v>
      </c>
      <c r="L503">
        <v>0.069101678183613</v>
      </c>
      <c r="M503">
        <v>0.05136270678555044</v>
      </c>
      <c r="N503">
        <v>0.039</v>
      </c>
      <c r="O503">
        <v>0.1289982910154224</v>
      </c>
      <c r="P503" t="s">
        <v>596</v>
      </c>
      <c r="Q503" t="s">
        <v>420</v>
      </c>
      <c r="R503">
        <v>0</v>
      </c>
      <c r="S503">
        <v>3.5</v>
      </c>
      <c r="T503">
        <v>13</v>
      </c>
      <c r="U503">
        <v>0.7784615384615384</v>
      </c>
      <c r="V503">
        <v>-0.0427</v>
      </c>
      <c r="W503">
        <v>0.2</v>
      </c>
      <c r="X503">
        <v>0.7000000000000001</v>
      </c>
      <c r="Y503">
        <v>-0.3804</v>
      </c>
      <c r="Z503">
        <v>0.8076285240464345</v>
      </c>
      <c r="AA503">
        <v>0.1465378421900161</v>
      </c>
      <c r="AB503">
        <v>0.3360128617363344</v>
      </c>
      <c r="AC503">
        <v>0.9035369774919615</v>
      </c>
      <c r="AD503">
        <v>0.9003215434083601</v>
      </c>
    </row>
    <row r="504" spans="1:30">
      <c r="A504" s="1" t="s">
        <v>511</v>
      </c>
      <c r="B504">
        <f>HYPERLINK("https://www.suredividend.com/sure-analysis-VLO/","Valero Energy Corp.")</f>
        <v>0</v>
      </c>
      <c r="C504">
        <v>53.65</v>
      </c>
      <c r="D504">
        <v>21835.38735</v>
      </c>
      <c r="E504" t="s">
        <v>662</v>
      </c>
      <c r="F504" t="s">
        <v>631</v>
      </c>
      <c r="G504" t="s">
        <v>671</v>
      </c>
      <c r="H504" t="s">
        <v>702</v>
      </c>
      <c r="I504" t="s">
        <v>1198</v>
      </c>
      <c r="J504" t="s">
        <v>1317</v>
      </c>
      <c r="K504">
        <v>44047</v>
      </c>
      <c r="L504">
        <v>0.07021475256769301</v>
      </c>
      <c r="M504">
        <v>0.02935313758761504</v>
      </c>
      <c r="N504">
        <v>0.04</v>
      </c>
      <c r="O504">
        <v>0.1254117131129342</v>
      </c>
      <c r="P504" t="s">
        <v>596</v>
      </c>
      <c r="Q504" t="s">
        <v>420</v>
      </c>
      <c r="R504">
        <v>10</v>
      </c>
      <c r="S504">
        <v>9.99</v>
      </c>
      <c r="T504">
        <v>62</v>
      </c>
      <c r="U504">
        <v>0.8653225806451613</v>
      </c>
      <c r="V504">
        <v>2.5948</v>
      </c>
      <c r="W504">
        <v>-1.8</v>
      </c>
      <c r="X504">
        <v>3.76</v>
      </c>
      <c r="Y504">
        <v>-0.331386</v>
      </c>
      <c r="Z504">
        <v>0.8142620232172472</v>
      </c>
      <c r="AA504">
        <v>0.1964573268921095</v>
      </c>
      <c r="AB504">
        <v>0.3858520900321543</v>
      </c>
      <c r="AC504">
        <v>0.8102893890675241</v>
      </c>
      <c r="AD504">
        <v>0.8842443729903537</v>
      </c>
    </row>
    <row r="505" spans="1:30">
      <c r="A505" s="1" t="s">
        <v>512</v>
      </c>
      <c r="B505">
        <f>HYPERLINK("https://www.suredividend.com/sure-analysis-CRT/","Cross Timbers Royalty Trust")</f>
        <v>0</v>
      </c>
      <c r="C505">
        <v>6.05</v>
      </c>
      <c r="D505">
        <v>37.32</v>
      </c>
      <c r="E505" t="s">
        <v>662</v>
      </c>
      <c r="F505" t="s">
        <v>631</v>
      </c>
      <c r="G505" t="s">
        <v>671</v>
      </c>
      <c r="H505" t="s">
        <v>702</v>
      </c>
      <c r="J505" t="s">
        <v>1317</v>
      </c>
      <c r="K505">
        <v>43984</v>
      </c>
      <c r="L505">
        <v>0.160313022508038</v>
      </c>
      <c r="M505">
        <v>0.008131151974167583</v>
      </c>
      <c r="N505">
        <v>0</v>
      </c>
      <c r="O505">
        <v>0.1228808522716014</v>
      </c>
      <c r="P505" t="s">
        <v>596</v>
      </c>
      <c r="Q505" t="s">
        <v>636</v>
      </c>
      <c r="R505">
        <v>0</v>
      </c>
      <c r="S505">
        <v>1.107941111111111</v>
      </c>
      <c r="T505">
        <v>6.3</v>
      </c>
      <c r="U505">
        <v>0.9603174603174603</v>
      </c>
      <c r="V505">
        <v>0.9972000000000001</v>
      </c>
      <c r="W505">
        <v>0.9</v>
      </c>
      <c r="X505">
        <v>0.997147</v>
      </c>
      <c r="Y505">
        <v>-0.352041</v>
      </c>
      <c r="Z505">
        <v>0.9651741293532338</v>
      </c>
      <c r="AA505">
        <v>0.1755233494363929</v>
      </c>
      <c r="AB505">
        <v>0.04662379421221865</v>
      </c>
      <c r="AC505">
        <v>0.6993569131832796</v>
      </c>
      <c r="AD505">
        <v>0.8762057877813505</v>
      </c>
    </row>
    <row r="506" spans="1:30">
      <c r="A506" s="1" t="s">
        <v>513</v>
      </c>
      <c r="B506">
        <f>HYPERLINK("https://www.suredividend.com/sure-analysis-HBAN/","Huntington Bancshares, Inc.")</f>
        <v>0</v>
      </c>
      <c r="C506">
        <v>10.085</v>
      </c>
      <c r="D506">
        <v>10040.8497</v>
      </c>
      <c r="E506" t="s">
        <v>661</v>
      </c>
      <c r="F506" t="s">
        <v>631</v>
      </c>
      <c r="G506" t="s">
        <v>671</v>
      </c>
      <c r="H506" t="s">
        <v>701</v>
      </c>
      <c r="I506" t="s">
        <v>1199</v>
      </c>
      <c r="J506" t="s">
        <v>1312</v>
      </c>
      <c r="K506">
        <v>44042</v>
      </c>
      <c r="L506">
        <v>0.060790273556231</v>
      </c>
      <c r="M506">
        <v>0.03538309225350256</v>
      </c>
      <c r="N506">
        <v>0.04</v>
      </c>
      <c r="O506">
        <v>0.1222328488285913</v>
      </c>
      <c r="P506" t="s">
        <v>596</v>
      </c>
      <c r="Q506" t="s">
        <v>420</v>
      </c>
      <c r="R506">
        <v>10</v>
      </c>
      <c r="S506">
        <v>1.5</v>
      </c>
      <c r="T506">
        <v>12</v>
      </c>
      <c r="U506">
        <v>0.8404166666666667</v>
      </c>
      <c r="V506">
        <v>0.7901</v>
      </c>
      <c r="W506">
        <v>0.4</v>
      </c>
      <c r="X506">
        <v>0.6000000000000001</v>
      </c>
      <c r="Y506">
        <v>-0.256923</v>
      </c>
      <c r="Z506">
        <v>0.7595356550580431</v>
      </c>
      <c r="AA506">
        <v>0.285024154589372</v>
      </c>
      <c r="AB506">
        <v>0.3858520900321543</v>
      </c>
      <c r="AC506">
        <v>0.8392282958199356</v>
      </c>
      <c r="AD506">
        <v>0.8681672025723473</v>
      </c>
    </row>
    <row r="507" spans="1:30">
      <c r="A507" s="1" t="s">
        <v>514</v>
      </c>
      <c r="B507">
        <f>HYPERLINK("https://www.suredividend.com/sure-analysis-XOM/","Exxon Mobil Corp.")</f>
        <v>0</v>
      </c>
      <c r="C507">
        <v>44.97</v>
      </c>
      <c r="D507">
        <v>188198.5173</v>
      </c>
      <c r="E507" t="s">
        <v>662</v>
      </c>
      <c r="F507" t="s">
        <v>631</v>
      </c>
      <c r="G507" t="s">
        <v>671</v>
      </c>
      <c r="H507" t="s">
        <v>702</v>
      </c>
      <c r="I507" t="s">
        <v>1200</v>
      </c>
      <c r="J507" t="s">
        <v>1317</v>
      </c>
      <c r="K507">
        <v>44050</v>
      </c>
      <c r="L507">
        <v>0.078184677600539</v>
      </c>
      <c r="M507">
        <v>-0.01357225155415542</v>
      </c>
      <c r="N507">
        <v>0.08</v>
      </c>
      <c r="O507">
        <v>0.1211160222618501</v>
      </c>
      <c r="P507" t="s">
        <v>596</v>
      </c>
      <c r="Q507" t="s">
        <v>420</v>
      </c>
      <c r="R507">
        <v>37</v>
      </c>
      <c r="S507">
        <v>9.99</v>
      </c>
      <c r="T507">
        <v>42</v>
      </c>
      <c r="U507">
        <v>1.070714285714286</v>
      </c>
      <c r="V507">
        <v>1.6793</v>
      </c>
      <c r="W507">
        <v>-0.4</v>
      </c>
      <c r="X507">
        <v>3.48</v>
      </c>
      <c r="Y507">
        <v>-0.399834</v>
      </c>
      <c r="Z507">
        <v>0.8457711442786069</v>
      </c>
      <c r="AA507">
        <v>0.1336553945249598</v>
      </c>
      <c r="AB507">
        <v>0.8135048231511255</v>
      </c>
      <c r="AC507">
        <v>0.5707395498392284</v>
      </c>
      <c r="AD507">
        <v>0.8649517684887459</v>
      </c>
    </row>
    <row r="508" spans="1:30">
      <c r="A508" s="1" t="s">
        <v>515</v>
      </c>
      <c r="B508">
        <f>HYPERLINK("https://www.suredividend.com/sure-analysis-CVX/","Chevron Corp.")</f>
        <v>0</v>
      </c>
      <c r="C508">
        <v>89.62</v>
      </c>
      <c r="D508">
        <v>167550.1371</v>
      </c>
      <c r="E508" t="s">
        <v>662</v>
      </c>
      <c r="F508" t="s">
        <v>631</v>
      </c>
      <c r="G508" t="s">
        <v>671</v>
      </c>
      <c r="H508" t="s">
        <v>702</v>
      </c>
      <c r="I508" t="s">
        <v>1201</v>
      </c>
      <c r="J508" t="s">
        <v>1317</v>
      </c>
      <c r="K508">
        <v>44050</v>
      </c>
      <c r="L508">
        <v>0.055276941936921</v>
      </c>
      <c r="M508">
        <v>-0.05095057534336889</v>
      </c>
      <c r="N508">
        <v>0.13</v>
      </c>
      <c r="O508">
        <v>0.113923671148606</v>
      </c>
      <c r="P508" t="s">
        <v>596</v>
      </c>
      <c r="Q508" t="s">
        <v>420</v>
      </c>
      <c r="R508">
        <v>33</v>
      </c>
      <c r="S508">
        <v>9.99</v>
      </c>
      <c r="T508">
        <v>69</v>
      </c>
      <c r="U508">
        <v>1.298840579710145</v>
      </c>
      <c r="V508">
        <v>-4.6882</v>
      </c>
      <c r="W508">
        <v>-0.7</v>
      </c>
      <c r="X508">
        <v>4.96</v>
      </c>
      <c r="Y508">
        <v>-0.295626</v>
      </c>
      <c r="Z508">
        <v>0.7213930348258707</v>
      </c>
      <c r="AA508">
        <v>0.2399355877616747</v>
      </c>
      <c r="AB508">
        <v>0.9630225080385852</v>
      </c>
      <c r="AC508">
        <v>0.3135048231511254</v>
      </c>
      <c r="AD508">
        <v>0.8504823151125401</v>
      </c>
    </row>
    <row r="509" spans="1:30">
      <c r="A509" s="1" t="s">
        <v>516</v>
      </c>
      <c r="B509">
        <f>HYPERLINK("https://www.suredividend.com/sure-analysis-ABEV/","Ambev SA")</f>
        <v>0</v>
      </c>
      <c r="C509">
        <v>2.48</v>
      </c>
      <c r="D509">
        <v>38231.3358</v>
      </c>
      <c r="E509" t="s">
        <v>660</v>
      </c>
      <c r="F509" t="s">
        <v>631</v>
      </c>
      <c r="G509" t="s">
        <v>686</v>
      </c>
      <c r="H509" t="s">
        <v>702</v>
      </c>
      <c r="I509" t="s">
        <v>1202</v>
      </c>
      <c r="J509" t="s">
        <v>1320</v>
      </c>
      <c r="K509">
        <v>43993</v>
      </c>
      <c r="L509">
        <v>0.04971193415637801</v>
      </c>
      <c r="M509">
        <v>0.0449640742801718</v>
      </c>
      <c r="N509">
        <v>0.03</v>
      </c>
      <c r="O509">
        <v>0.1132732290897125</v>
      </c>
      <c r="P509" t="s">
        <v>596</v>
      </c>
      <c r="Q509" t="s">
        <v>420</v>
      </c>
      <c r="R509">
        <v>0</v>
      </c>
      <c r="S509">
        <v>1.208</v>
      </c>
      <c r="T509">
        <v>3.09</v>
      </c>
      <c r="U509">
        <v>0.8025889967637541</v>
      </c>
      <c r="V509">
        <v>0.1334</v>
      </c>
      <c r="W509">
        <v>0.1</v>
      </c>
      <c r="X509">
        <v>0.1208</v>
      </c>
      <c r="Y509">
        <v>-0.5282</v>
      </c>
      <c r="Z509">
        <v>0.6849087893864013</v>
      </c>
      <c r="AA509">
        <v>0.05636070853462158</v>
      </c>
      <c r="AB509">
        <v>0.2540192926045016</v>
      </c>
      <c r="AC509">
        <v>0.8762057877813505</v>
      </c>
      <c r="AD509">
        <v>0.8472668810289389</v>
      </c>
    </row>
    <row r="510" spans="1:30">
      <c r="A510" s="1" t="s">
        <v>517</v>
      </c>
      <c r="B510">
        <f>HYPERLINK("https://www.suredividend.com/sure-analysis-SCM/","Stellus Capital Investment Corp.")</f>
        <v>0</v>
      </c>
      <c r="C510">
        <v>8.609999999999999</v>
      </c>
      <c r="D510">
        <v>168.35904</v>
      </c>
      <c r="E510" t="s">
        <v>663</v>
      </c>
      <c r="F510" t="s">
        <v>631</v>
      </c>
      <c r="G510" t="s">
        <v>671</v>
      </c>
      <c r="H510" t="s">
        <v>702</v>
      </c>
      <c r="I510" t="s">
        <v>1203</v>
      </c>
      <c r="J510" t="s">
        <v>1312</v>
      </c>
      <c r="K510">
        <v>43983</v>
      </c>
      <c r="L510">
        <v>0.133842592592592</v>
      </c>
      <c r="M510">
        <v>-0.01458908809266646</v>
      </c>
      <c r="N510">
        <v>0.02</v>
      </c>
      <c r="O510">
        <v>0.1124717137509901</v>
      </c>
      <c r="P510" t="s">
        <v>596</v>
      </c>
      <c r="Q510" t="s">
        <v>636</v>
      </c>
      <c r="R510">
        <v>0</v>
      </c>
      <c r="S510">
        <v>1.1564</v>
      </c>
      <c r="T510">
        <v>8</v>
      </c>
      <c r="U510">
        <v>1.07625</v>
      </c>
      <c r="V510">
        <v>0.3266</v>
      </c>
      <c r="W510">
        <v>1</v>
      </c>
      <c r="X510">
        <v>1.1564</v>
      </c>
      <c r="Y510">
        <v>-0.411765</v>
      </c>
      <c r="Z510">
        <v>0.9469320066334991</v>
      </c>
      <c r="AA510">
        <v>0.1272141706924316</v>
      </c>
      <c r="AB510">
        <v>0.157556270096463</v>
      </c>
      <c r="AC510">
        <v>0.5578778135048231</v>
      </c>
      <c r="AD510">
        <v>0.842443729903537</v>
      </c>
    </row>
    <row r="511" spans="1:30">
      <c r="A511" s="1" t="s">
        <v>518</v>
      </c>
      <c r="B511">
        <f>HYPERLINK("https://www.suredividend.com/sure-analysis-LMRK/","Landmark Infrastructure Partners LP")</f>
        <v>0</v>
      </c>
      <c r="C511">
        <v>10.34</v>
      </c>
      <c r="D511">
        <v>271.3407</v>
      </c>
      <c r="E511" t="s">
        <v>666</v>
      </c>
      <c r="F511" t="s">
        <v>632</v>
      </c>
      <c r="G511" t="s">
        <v>671</v>
      </c>
      <c r="H511" t="s">
        <v>701</v>
      </c>
      <c r="I511" t="s">
        <v>1204</v>
      </c>
      <c r="J511" t="s">
        <v>1322</v>
      </c>
      <c r="K511">
        <v>44012</v>
      </c>
      <c r="L511">
        <v>0.122300469483568</v>
      </c>
      <c r="M511">
        <v>0.01245196889366262</v>
      </c>
      <c r="N511">
        <v>0.025</v>
      </c>
      <c r="O511">
        <v>0.1102800298004665</v>
      </c>
      <c r="P511" t="s">
        <v>596</v>
      </c>
      <c r="Q511" t="s">
        <v>381</v>
      </c>
      <c r="R511">
        <v>0</v>
      </c>
      <c r="S511">
        <v>1.3025</v>
      </c>
      <c r="T511">
        <v>11</v>
      </c>
      <c r="U511">
        <v>0.9399999999999999</v>
      </c>
      <c r="V511">
        <v>-0.2439</v>
      </c>
      <c r="W511">
        <v>1</v>
      </c>
      <c r="X511">
        <v>1.3025</v>
      </c>
      <c r="Y511">
        <v>-0.354064</v>
      </c>
      <c r="Z511">
        <v>0.933665008291874</v>
      </c>
      <c r="AA511">
        <v>0.1723027375201288</v>
      </c>
      <c r="AB511">
        <v>0.1969453376205788</v>
      </c>
      <c r="AC511">
        <v>0.7202572347266881</v>
      </c>
      <c r="AD511">
        <v>0.8295819935691319</v>
      </c>
    </row>
    <row r="512" spans="1:30">
      <c r="A512" s="1" t="s">
        <v>519</v>
      </c>
      <c r="B512">
        <f>HYPERLINK("https://www.suredividend.com/sure-analysis-AXS/","AXIS Capital Holdings Ltd.")</f>
        <v>0</v>
      </c>
      <c r="C512">
        <v>45.74</v>
      </c>
      <c r="D512">
        <v>3775.254026</v>
      </c>
      <c r="E512" t="s">
        <v>663</v>
      </c>
      <c r="F512" t="s">
        <v>631</v>
      </c>
      <c r="G512" t="s">
        <v>677</v>
      </c>
      <c r="H512" t="s">
        <v>702</v>
      </c>
      <c r="I512" t="s">
        <v>1205</v>
      </c>
      <c r="J512" t="s">
        <v>1312</v>
      </c>
      <c r="K512">
        <v>44052</v>
      </c>
      <c r="L512">
        <v>0.036400178651183</v>
      </c>
      <c r="M512">
        <v>0.02598600468470247</v>
      </c>
      <c r="N512">
        <v>0.05</v>
      </c>
      <c r="O512">
        <v>0.1065174485617895</v>
      </c>
      <c r="P512" t="s">
        <v>596</v>
      </c>
      <c r="Q512" t="s">
        <v>596</v>
      </c>
      <c r="R512">
        <v>18</v>
      </c>
      <c r="S512">
        <v>4.657142857142857</v>
      </c>
      <c r="T512">
        <v>52</v>
      </c>
      <c r="U512">
        <v>0.8796153846153847</v>
      </c>
      <c r="V512">
        <v>-0.6577000000000001</v>
      </c>
      <c r="W512">
        <v>0.35</v>
      </c>
      <c r="X512">
        <v>1.63</v>
      </c>
      <c r="Y512">
        <v>-0.310447</v>
      </c>
      <c r="Z512">
        <v>0.5356550580431177</v>
      </c>
      <c r="AA512">
        <v>0.2270531400966184</v>
      </c>
      <c r="AB512">
        <v>0.5168810289389068</v>
      </c>
      <c r="AC512">
        <v>0.7942122186495177</v>
      </c>
      <c r="AD512">
        <v>0.8135048231511255</v>
      </c>
    </row>
    <row r="513" spans="1:30">
      <c r="A513" s="1" t="s">
        <v>520</v>
      </c>
      <c r="B513">
        <f>HYPERLINK("https://www.suredividend.com/sure-analysis-WFC/","Wells Fargo &amp; Co.")</f>
        <v>0</v>
      </c>
      <c r="C513">
        <v>25.32</v>
      </c>
      <c r="D513">
        <v>101765.235</v>
      </c>
      <c r="E513" t="s">
        <v>663</v>
      </c>
      <c r="F513" t="s">
        <v>631</v>
      </c>
      <c r="G513" t="s">
        <v>671</v>
      </c>
      <c r="H513" t="s">
        <v>702</v>
      </c>
      <c r="I513" t="s">
        <v>1206</v>
      </c>
      <c r="J513" t="s">
        <v>1312</v>
      </c>
      <c r="K513">
        <v>44027</v>
      </c>
      <c r="L513">
        <v>0.082591093117408</v>
      </c>
      <c r="M513">
        <v>0.05441129065156214</v>
      </c>
      <c r="N513">
        <v>0.03</v>
      </c>
      <c r="O513">
        <v>0.1056663287586193</v>
      </c>
      <c r="P513" t="s">
        <v>596</v>
      </c>
      <c r="Q513" t="s">
        <v>381</v>
      </c>
      <c r="R513">
        <v>0</v>
      </c>
      <c r="S513">
        <v>2.04</v>
      </c>
      <c r="T513">
        <v>33</v>
      </c>
      <c r="U513">
        <v>0.7672727272727273</v>
      </c>
      <c r="V513">
        <v>0.8869</v>
      </c>
      <c r="W513">
        <v>1</v>
      </c>
      <c r="X513">
        <v>2.04</v>
      </c>
      <c r="Y513">
        <v>-0.459698</v>
      </c>
      <c r="Z513">
        <v>0.8590381426202321</v>
      </c>
      <c r="AA513">
        <v>0.08856682769726248</v>
      </c>
      <c r="AB513">
        <v>0.2540192926045016</v>
      </c>
      <c r="AC513">
        <v>0.9163987138263665</v>
      </c>
      <c r="AD513">
        <v>0.8102893890675241</v>
      </c>
    </row>
    <row r="514" spans="1:30">
      <c r="A514" s="1" t="s">
        <v>521</v>
      </c>
      <c r="B514">
        <f>HYPERLINK("https://www.suredividend.com/sure-analysis-WSR/","Whitestone REIT")</f>
        <v>0</v>
      </c>
      <c r="C514">
        <v>7.13</v>
      </c>
      <c r="D514">
        <v>301.909868</v>
      </c>
      <c r="E514" t="s">
        <v>669</v>
      </c>
      <c r="F514" t="s">
        <v>633</v>
      </c>
      <c r="G514" t="s">
        <v>671</v>
      </c>
      <c r="H514" t="s">
        <v>702</v>
      </c>
      <c r="I514" t="s">
        <v>1207</v>
      </c>
      <c r="J514" t="s">
        <v>1322</v>
      </c>
      <c r="K514">
        <v>44014</v>
      </c>
      <c r="L514">
        <v>0.109396914446002</v>
      </c>
      <c r="M514">
        <v>0.04768468609603027</v>
      </c>
      <c r="N514">
        <v>0</v>
      </c>
      <c r="O514">
        <v>0.1025067810689739</v>
      </c>
      <c r="P514" t="s">
        <v>596</v>
      </c>
      <c r="Q514" t="s">
        <v>381</v>
      </c>
      <c r="R514">
        <v>0</v>
      </c>
      <c r="S514">
        <v>1.164179104477612</v>
      </c>
      <c r="T514">
        <v>9</v>
      </c>
      <c r="U514">
        <v>0.7922222222222222</v>
      </c>
      <c r="V514">
        <v>0.4814000000000001</v>
      </c>
      <c r="W514">
        <v>0.67</v>
      </c>
      <c r="X514">
        <v>0.78</v>
      </c>
      <c r="Y514">
        <v>-0.456592</v>
      </c>
      <c r="Z514">
        <v>0.9187396351575455</v>
      </c>
      <c r="AA514">
        <v>0.09017713365539452</v>
      </c>
      <c r="AB514">
        <v>0.04662379421221865</v>
      </c>
      <c r="AC514">
        <v>0.8890675241157556</v>
      </c>
      <c r="AD514">
        <v>0.7942122186495177</v>
      </c>
    </row>
    <row r="515" spans="1:30">
      <c r="A515" s="1" t="s">
        <v>522</v>
      </c>
      <c r="B515">
        <f>HYPERLINK("https://www.suredividend.com/sure-analysis-MAC/","Macerich Co.")</f>
        <v>0</v>
      </c>
      <c r="C515">
        <v>8.18</v>
      </c>
      <c r="D515">
        <v>1975.71026</v>
      </c>
      <c r="E515" t="s">
        <v>662</v>
      </c>
      <c r="F515" t="s">
        <v>633</v>
      </c>
      <c r="G515" t="s">
        <v>671</v>
      </c>
      <c r="H515" t="s">
        <v>702</v>
      </c>
      <c r="I515" t="s">
        <v>1208</v>
      </c>
      <c r="J515" t="s">
        <v>1322</v>
      </c>
      <c r="K515">
        <v>43971</v>
      </c>
      <c r="L515">
        <v>0.364520048602673</v>
      </c>
      <c r="M515">
        <v>0.07965646204412757</v>
      </c>
      <c r="N515">
        <v>-0.02</v>
      </c>
      <c r="O515">
        <v>0.1006793786710263</v>
      </c>
      <c r="P515" t="s">
        <v>596</v>
      </c>
      <c r="Q515" t="s">
        <v>636</v>
      </c>
      <c r="R515">
        <v>0</v>
      </c>
      <c r="S515">
        <v>1.25</v>
      </c>
      <c r="T515">
        <v>12</v>
      </c>
      <c r="U515">
        <v>0.6816666666666666</v>
      </c>
      <c r="V515">
        <v>0.9754</v>
      </c>
      <c r="W515">
        <v>2.4</v>
      </c>
      <c r="X515">
        <v>3</v>
      </c>
      <c r="Y515">
        <v>-0.7466109999999999</v>
      </c>
      <c r="Z515">
        <v>0.998341625207297</v>
      </c>
      <c r="AA515">
        <v>0.004830917874396135</v>
      </c>
      <c r="AB515">
        <v>0.01366559485530546</v>
      </c>
      <c r="AC515">
        <v>0.9726688102893891</v>
      </c>
      <c r="AD515">
        <v>0.7845659163987138</v>
      </c>
    </row>
    <row r="516" spans="1:30">
      <c r="A516" s="1" t="s">
        <v>523</v>
      </c>
      <c r="B516">
        <f>HYPERLINK("https://www.suredividend.com/sure-analysis-GAIN/","Gladstone Investment Corp.")</f>
        <v>0</v>
      </c>
      <c r="C516">
        <v>9.625</v>
      </c>
      <c r="D516">
        <v>320.42825</v>
      </c>
      <c r="E516" t="s">
        <v>659</v>
      </c>
      <c r="F516" t="s">
        <v>634</v>
      </c>
      <c r="G516" t="s">
        <v>671</v>
      </c>
      <c r="H516" t="s">
        <v>701</v>
      </c>
      <c r="I516" t="s">
        <v>1096</v>
      </c>
      <c r="J516" t="s">
        <v>1312</v>
      </c>
      <c r="K516">
        <v>43977</v>
      </c>
      <c r="L516">
        <v>0.08580310880829001</v>
      </c>
      <c r="M516">
        <v>-0.01333810902068877</v>
      </c>
      <c r="N516">
        <v>0.04</v>
      </c>
      <c r="O516">
        <v>0.09879175148689834</v>
      </c>
      <c r="P516" t="s">
        <v>596</v>
      </c>
      <c r="Q516" t="s">
        <v>381</v>
      </c>
      <c r="R516">
        <v>9</v>
      </c>
      <c r="S516">
        <v>1.273846153846154</v>
      </c>
      <c r="T516">
        <v>9</v>
      </c>
      <c r="U516">
        <v>1.069444444444444</v>
      </c>
      <c r="V516">
        <v>-0.3956</v>
      </c>
      <c r="W516">
        <v>0.65</v>
      </c>
      <c r="X516">
        <v>0.8280000000000001</v>
      </c>
      <c r="Y516">
        <v>-0.176318</v>
      </c>
      <c r="Z516">
        <v>0.8673300165837479</v>
      </c>
      <c r="AA516">
        <v>0.391304347826087</v>
      </c>
      <c r="AB516">
        <v>0.3858520900321543</v>
      </c>
      <c r="AC516">
        <v>0.5739549839228296</v>
      </c>
      <c r="AD516">
        <v>0.7749196141479099</v>
      </c>
    </row>
    <row r="517" spans="1:30">
      <c r="A517" s="1" t="s">
        <v>524</v>
      </c>
      <c r="B517">
        <f>HYPERLINK("https://www.suredividend.com/sure-analysis-IMO/","Imperial Oil Ltd.")</f>
        <v>0</v>
      </c>
      <c r="C517">
        <v>16.89</v>
      </c>
      <c r="D517">
        <v>12259.0859</v>
      </c>
      <c r="E517" t="s">
        <v>662</v>
      </c>
      <c r="F517" t="s">
        <v>631</v>
      </c>
      <c r="G517" t="s">
        <v>672</v>
      </c>
      <c r="H517" t="s">
        <v>703</v>
      </c>
      <c r="I517" t="s">
        <v>1209</v>
      </c>
      <c r="J517" t="s">
        <v>1317</v>
      </c>
      <c r="K517">
        <v>43965</v>
      </c>
      <c r="L517">
        <v>0.03925816967894601</v>
      </c>
      <c r="M517">
        <v>0.03437989153325427</v>
      </c>
      <c r="N517">
        <v>0.03</v>
      </c>
      <c r="O517">
        <v>0.09574672521783212</v>
      </c>
      <c r="P517" t="s">
        <v>596</v>
      </c>
      <c r="Q517" t="s">
        <v>420</v>
      </c>
      <c r="R517">
        <v>4</v>
      </c>
      <c r="S517">
        <v>9.99</v>
      </c>
      <c r="T517">
        <v>20</v>
      </c>
      <c r="U517">
        <v>0.8445</v>
      </c>
      <c r="V517">
        <v>-0.009900000000000001</v>
      </c>
      <c r="W517">
        <v>-1.3</v>
      </c>
      <c r="X517">
        <v>0.655611433638408</v>
      </c>
      <c r="Y517">
        <v>-0.35066</v>
      </c>
      <c r="Z517">
        <v>0.5688225538971807</v>
      </c>
      <c r="AA517">
        <v>0.177133655394525</v>
      </c>
      <c r="AB517">
        <v>0.2540192926045016</v>
      </c>
      <c r="AC517">
        <v>0.8327974276527331</v>
      </c>
      <c r="AD517">
        <v>0.752411575562701</v>
      </c>
    </row>
    <row r="518" spans="1:30">
      <c r="A518" s="1" t="s">
        <v>525</v>
      </c>
      <c r="B518">
        <f>HYPERLINK("https://www.suredividend.com/sure-analysis-COP/","ConocoPhillips")</f>
        <v>0</v>
      </c>
      <c r="C518">
        <v>39.71</v>
      </c>
      <c r="D518">
        <v>42516.6748</v>
      </c>
      <c r="E518" t="s">
        <v>662</v>
      </c>
      <c r="F518" t="s">
        <v>631</v>
      </c>
      <c r="G518" t="s">
        <v>671</v>
      </c>
      <c r="H518" t="s">
        <v>702</v>
      </c>
      <c r="I518" t="s">
        <v>1210</v>
      </c>
      <c r="J518" t="s">
        <v>1317</v>
      </c>
      <c r="K518">
        <v>43962</v>
      </c>
      <c r="L518">
        <v>0.039480322906155</v>
      </c>
      <c r="M518">
        <v>-0.0249348568516744</v>
      </c>
      <c r="N518">
        <v>0.09</v>
      </c>
      <c r="O518">
        <v>0.09533438126074945</v>
      </c>
      <c r="P518" t="s">
        <v>596</v>
      </c>
      <c r="Q518" t="s">
        <v>420</v>
      </c>
      <c r="R518">
        <v>4</v>
      </c>
      <c r="S518">
        <v>9.99</v>
      </c>
      <c r="T518">
        <v>35</v>
      </c>
      <c r="U518">
        <v>1.134571428571429</v>
      </c>
      <c r="V518">
        <v>2.052</v>
      </c>
      <c r="W518">
        <v>-0.9</v>
      </c>
      <c r="X518">
        <v>1.565</v>
      </c>
      <c r="Y518">
        <v>-0.304522</v>
      </c>
      <c r="Z518">
        <v>0.5737976782752903</v>
      </c>
      <c r="AA518">
        <v>0.2318840579710145</v>
      </c>
      <c r="AB518">
        <v>0.8657556270096463</v>
      </c>
      <c r="AC518">
        <v>0.4967845659163987</v>
      </c>
      <c r="AD518">
        <v>0.747588424437299</v>
      </c>
    </row>
    <row r="519" spans="1:30">
      <c r="A519" s="1" t="s">
        <v>526</v>
      </c>
      <c r="B519">
        <f>HYPERLINK("https://www.suredividend.com/sure-analysis-RCL/","Royal Caribbean Cruises Ltd.")</f>
        <v>0</v>
      </c>
      <c r="C519">
        <v>58.67</v>
      </c>
      <c r="D519">
        <v>11999.85435</v>
      </c>
      <c r="E519" t="s">
        <v>663</v>
      </c>
      <c r="F519" t="s">
        <v>631</v>
      </c>
      <c r="G519" t="s">
        <v>671</v>
      </c>
      <c r="H519" t="s">
        <v>702</v>
      </c>
      <c r="I519" t="s">
        <v>1211</v>
      </c>
      <c r="J519" t="s">
        <v>1313</v>
      </c>
      <c r="K519">
        <v>43974</v>
      </c>
      <c r="L519">
        <v>0.04083057058105</v>
      </c>
      <c r="M519">
        <v>0.03594426468378153</v>
      </c>
      <c r="N519">
        <v>0.04</v>
      </c>
      <c r="O519">
        <v>0.09215198531769109</v>
      </c>
      <c r="P519" t="s">
        <v>596</v>
      </c>
      <c r="Q519" t="s">
        <v>596</v>
      </c>
      <c r="R519">
        <v>0</v>
      </c>
      <c r="S519">
        <v>9.99</v>
      </c>
      <c r="T519">
        <v>70</v>
      </c>
      <c r="U519">
        <v>0.8381428571428572</v>
      </c>
      <c r="V519">
        <v>-9.2172</v>
      </c>
      <c r="W519">
        <v>-11</v>
      </c>
      <c r="X519">
        <v>2.34</v>
      </c>
      <c r="Y519">
        <v>-0.525241</v>
      </c>
      <c r="Z519">
        <v>0.5887230514096186</v>
      </c>
      <c r="AA519">
        <v>0.05797101449275362</v>
      </c>
      <c r="AB519">
        <v>0.3858520900321543</v>
      </c>
      <c r="AC519">
        <v>0.8408360128617364</v>
      </c>
      <c r="AD519">
        <v>0.7315112540192926</v>
      </c>
    </row>
    <row r="520" spans="1:30">
      <c r="A520" s="1" t="s">
        <v>527</v>
      </c>
      <c r="B520">
        <f>HYPERLINK("https://www.suredividend.com/sure-analysis-SIX/","Six Flags Entertainment Corp.")</f>
        <v>0</v>
      </c>
      <c r="C520">
        <v>20.18</v>
      </c>
      <c r="D520">
        <v>1669.80943</v>
      </c>
      <c r="E520" t="s">
        <v>662</v>
      </c>
      <c r="F520" t="s">
        <v>631</v>
      </c>
      <c r="G520" t="s">
        <v>671</v>
      </c>
      <c r="H520" t="s">
        <v>702</v>
      </c>
      <c r="I520" t="s">
        <v>1212</v>
      </c>
      <c r="J520" t="s">
        <v>1313</v>
      </c>
      <c r="K520">
        <v>43963</v>
      </c>
      <c r="L520">
        <v>0.096446700507614</v>
      </c>
      <c r="M520">
        <v>0.05995766666266333</v>
      </c>
      <c r="N520">
        <v>0.03</v>
      </c>
      <c r="O520">
        <v>0.09175639666254343</v>
      </c>
      <c r="P520" t="s">
        <v>596</v>
      </c>
      <c r="Q520" t="s">
        <v>420</v>
      </c>
      <c r="R520">
        <v>0</v>
      </c>
      <c r="S520">
        <v>9.99</v>
      </c>
      <c r="T520">
        <v>27</v>
      </c>
      <c r="U520">
        <v>0.7474074074074074</v>
      </c>
      <c r="V520">
        <v>-0.6164000000000001</v>
      </c>
      <c r="W520">
        <v>-1.8</v>
      </c>
      <c r="X520">
        <v>1.9</v>
      </c>
      <c r="Y520">
        <v>-0.657473</v>
      </c>
      <c r="Z520">
        <v>0.8839137645107794</v>
      </c>
      <c r="AA520">
        <v>0.02576489533011272</v>
      </c>
      <c r="AB520">
        <v>0.2540192926045016</v>
      </c>
      <c r="AC520">
        <v>0.9405144694533761</v>
      </c>
      <c r="AD520">
        <v>0.729903536977492</v>
      </c>
    </row>
    <row r="521" spans="1:30">
      <c r="A521" s="1" t="s">
        <v>528</v>
      </c>
      <c r="B521">
        <f>HYPERLINK("https://www.suredividend.com/sure-analysis-HSBC/","HSBC Holdings Plc")</f>
        <v>0</v>
      </c>
      <c r="C521">
        <v>22.49</v>
      </c>
      <c r="D521">
        <v>88348.1418</v>
      </c>
      <c r="E521" t="s">
        <v>668</v>
      </c>
      <c r="F521" t="s">
        <v>631</v>
      </c>
      <c r="G521" t="s">
        <v>676</v>
      </c>
      <c r="H521" t="s">
        <v>702</v>
      </c>
      <c r="I521" t="s">
        <v>1213</v>
      </c>
      <c r="J521" t="s">
        <v>1312</v>
      </c>
      <c r="K521">
        <v>43971</v>
      </c>
      <c r="L521">
        <v>0.09451360073766701</v>
      </c>
      <c r="M521">
        <v>-0.0231944735408619</v>
      </c>
      <c r="N521">
        <v>0.02</v>
      </c>
      <c r="O521">
        <v>0.09143237950297567</v>
      </c>
      <c r="P521" t="s">
        <v>596</v>
      </c>
      <c r="Q521" t="s">
        <v>381</v>
      </c>
      <c r="R521">
        <v>0</v>
      </c>
      <c r="S521">
        <v>1.25</v>
      </c>
      <c r="T521">
        <v>20</v>
      </c>
      <c r="U521">
        <v>1.1245</v>
      </c>
      <c r="V521">
        <v>-0.1499</v>
      </c>
      <c r="W521">
        <v>1.64</v>
      </c>
      <c r="X521">
        <v>2.05</v>
      </c>
      <c r="Y521">
        <v>-0.443546</v>
      </c>
      <c r="Z521">
        <v>0.8805970149253731</v>
      </c>
      <c r="AA521">
        <v>0.1014492753623188</v>
      </c>
      <c r="AB521">
        <v>0.157556270096463</v>
      </c>
      <c r="AC521">
        <v>0.5064308681672025</v>
      </c>
      <c r="AD521">
        <v>0.7266881028938907</v>
      </c>
    </row>
    <row r="522" spans="1:30">
      <c r="A522" s="1" t="s">
        <v>529</v>
      </c>
      <c r="B522">
        <f>HYPERLINK("https://www.suredividend.com/sure-analysis-CVA/","Covanta Holding Corp.")</f>
        <v>0</v>
      </c>
      <c r="C522">
        <v>10.04</v>
      </c>
      <c r="D522">
        <v>1333.0182</v>
      </c>
      <c r="E522" t="s">
        <v>668</v>
      </c>
      <c r="F522" t="s">
        <v>631</v>
      </c>
      <c r="G522" t="s">
        <v>671</v>
      </c>
      <c r="H522" t="s">
        <v>702</v>
      </c>
      <c r="I522" t="s">
        <v>1214</v>
      </c>
      <c r="J522" t="s">
        <v>1315</v>
      </c>
      <c r="K522">
        <v>44020</v>
      </c>
      <c r="L522">
        <v>0.082178217821782</v>
      </c>
      <c r="M522">
        <v>-0.04203363431607399</v>
      </c>
      <c r="N522">
        <v>0.1</v>
      </c>
      <c r="O522">
        <v>0.090667338717906</v>
      </c>
      <c r="P522" t="s">
        <v>596</v>
      </c>
      <c r="Q522" t="s">
        <v>420</v>
      </c>
      <c r="R522">
        <v>0</v>
      </c>
      <c r="S522">
        <v>9.99</v>
      </c>
      <c r="T522">
        <v>8.1</v>
      </c>
      <c r="U522">
        <v>1.239506172839506</v>
      </c>
      <c r="V522">
        <v>-0.1443</v>
      </c>
      <c r="W522">
        <v>-0.41</v>
      </c>
      <c r="X522">
        <v>0.8300000000000001</v>
      </c>
      <c r="Y522">
        <v>-0.400473</v>
      </c>
      <c r="Z522">
        <v>0.857379767827529</v>
      </c>
      <c r="AA522">
        <v>0.1320450885668277</v>
      </c>
      <c r="AB522">
        <v>0.907556270096463</v>
      </c>
      <c r="AC522">
        <v>0.3874598070739549</v>
      </c>
      <c r="AD522">
        <v>0.7218649517684887</v>
      </c>
    </row>
    <row r="523" spans="1:30">
      <c r="A523" s="1" t="s">
        <v>530</v>
      </c>
      <c r="B523">
        <f>HYPERLINK("https://www.suredividend.com/sure-analysis-PBR/","Petróleo Brasileiro SA")</f>
        <v>0</v>
      </c>
      <c r="C523">
        <v>8.779999999999999</v>
      </c>
      <c r="D523">
        <v>32857.433265</v>
      </c>
      <c r="E523" t="s">
        <v>660</v>
      </c>
      <c r="F523" t="s">
        <v>631</v>
      </c>
      <c r="G523" t="s">
        <v>686</v>
      </c>
      <c r="H523" t="s">
        <v>702</v>
      </c>
      <c r="I523" t="s">
        <v>1215</v>
      </c>
      <c r="J523" t="s">
        <v>1317</v>
      </c>
      <c r="K523">
        <v>43993</v>
      </c>
      <c r="L523">
        <v>0.018973612684031</v>
      </c>
      <c r="M523">
        <v>-0.01843493217443526</v>
      </c>
      <c r="N523">
        <v>0.1</v>
      </c>
      <c r="O523">
        <v>0.08911038192315734</v>
      </c>
      <c r="P523" t="s">
        <v>596</v>
      </c>
      <c r="Q523" t="s">
        <v>596</v>
      </c>
      <c r="R523">
        <v>0</v>
      </c>
      <c r="S523">
        <v>9.99</v>
      </c>
      <c r="T523">
        <v>8</v>
      </c>
      <c r="U523">
        <v>1.0975</v>
      </c>
      <c r="V523">
        <v>-1.089</v>
      </c>
      <c r="W523">
        <v>-1</v>
      </c>
      <c r="X523">
        <v>0.167537</v>
      </c>
      <c r="Y523">
        <v>-0.4108</v>
      </c>
      <c r="Z523">
        <v>0.2437810945273632</v>
      </c>
      <c r="AA523">
        <v>0.1288244766505636</v>
      </c>
      <c r="AB523">
        <v>0.907556270096463</v>
      </c>
      <c r="AC523">
        <v>0.5401929260450161</v>
      </c>
      <c r="AD523">
        <v>0.7090032154340836</v>
      </c>
    </row>
    <row r="524" spans="1:30">
      <c r="A524" s="1" t="s">
        <v>531</v>
      </c>
      <c r="B524">
        <f>HYPERLINK("https://www.suredividend.com/sure-analysis-LADR/","Ladder Capital Corp.")</f>
        <v>0</v>
      </c>
      <c r="C524">
        <v>8.279999999999999</v>
      </c>
      <c r="D524">
        <v>993.264591</v>
      </c>
      <c r="E524" t="s">
        <v>667</v>
      </c>
      <c r="F524" t="s">
        <v>633</v>
      </c>
      <c r="G524" t="s">
        <v>671</v>
      </c>
      <c r="H524" t="s">
        <v>702</v>
      </c>
      <c r="I524" t="s">
        <v>1216</v>
      </c>
      <c r="J524" t="s">
        <v>1322</v>
      </c>
      <c r="K524">
        <v>44000</v>
      </c>
      <c r="L524">
        <v>0.147878787878787</v>
      </c>
      <c r="M524">
        <v>-0.01959349232124408</v>
      </c>
      <c r="N524">
        <v>0.02</v>
      </c>
      <c r="O524">
        <v>0.0889078233352838</v>
      </c>
      <c r="P524" t="s">
        <v>596</v>
      </c>
      <c r="Q524" t="s">
        <v>636</v>
      </c>
      <c r="R524">
        <v>0</v>
      </c>
      <c r="S524">
        <v>1.232323232323232</v>
      </c>
      <c r="T524">
        <v>7.5</v>
      </c>
      <c r="U524">
        <v>1.104</v>
      </c>
      <c r="V524">
        <v>0.4511</v>
      </c>
      <c r="W524">
        <v>0.99</v>
      </c>
      <c r="X524">
        <v>1.22</v>
      </c>
      <c r="Y524">
        <v>-0.537146</v>
      </c>
      <c r="Z524">
        <v>0.9585406301824213</v>
      </c>
      <c r="AA524">
        <v>0.05475040257648953</v>
      </c>
      <c r="AB524">
        <v>0.157556270096463</v>
      </c>
      <c r="AC524">
        <v>0.5305466237942122</v>
      </c>
      <c r="AD524">
        <v>0.7041800643086816</v>
      </c>
    </row>
    <row r="525" spans="1:30">
      <c r="A525" s="1" t="s">
        <v>532</v>
      </c>
      <c r="B525">
        <f>HYPERLINK("https://www.suredividend.com/sure-analysis-SSREY/","Swiss Re AG")</f>
        <v>0</v>
      </c>
      <c r="C525">
        <v>19.69</v>
      </c>
      <c r="D525">
        <v>22111.652465</v>
      </c>
      <c r="E525" t="s">
        <v>670</v>
      </c>
      <c r="F525" t="s">
        <v>631</v>
      </c>
      <c r="G525" t="s">
        <v>675</v>
      </c>
      <c r="H525" t="s">
        <v>700</v>
      </c>
      <c r="I525" t="s">
        <v>1217</v>
      </c>
      <c r="J525" t="s">
        <v>1312</v>
      </c>
      <c r="K525">
        <v>44045</v>
      </c>
      <c r="L525">
        <v>0.07671406805485001</v>
      </c>
      <c r="M525">
        <v>-0.02895212757626631</v>
      </c>
      <c r="N525">
        <v>0.05</v>
      </c>
      <c r="O525">
        <v>0.08582945209989545</v>
      </c>
      <c r="P525" t="s">
        <v>596</v>
      </c>
      <c r="Q525" t="s">
        <v>420</v>
      </c>
      <c r="R525">
        <v>5</v>
      </c>
      <c r="S525">
        <v>7.552499999999999</v>
      </c>
      <c r="T525">
        <v>17</v>
      </c>
      <c r="U525">
        <v>1.158235294117647</v>
      </c>
      <c r="V525">
        <v>-1.1859</v>
      </c>
      <c r="W525">
        <v>0.2</v>
      </c>
      <c r="X525">
        <v>1.5105</v>
      </c>
      <c r="Y525">
        <v>-0.209802</v>
      </c>
      <c r="Z525">
        <v>0.8391376451077943</v>
      </c>
      <c r="AA525">
        <v>0.3446054750402576</v>
      </c>
      <c r="AB525">
        <v>0.5168810289389068</v>
      </c>
      <c r="AC525">
        <v>0.4758842443729903</v>
      </c>
      <c r="AD525">
        <v>0.6897106109324759</v>
      </c>
    </row>
    <row r="526" spans="1:30">
      <c r="A526" s="1" t="s">
        <v>533</v>
      </c>
      <c r="B526">
        <f>HYPERLINK("https://www.suredividend.com/sure-analysis-PTR/","PetroChina Co., Ltd.")</f>
        <v>0</v>
      </c>
      <c r="C526">
        <v>34.86</v>
      </c>
      <c r="D526">
        <v>7405.7139</v>
      </c>
      <c r="E526" t="s">
        <v>662</v>
      </c>
      <c r="F526" t="s">
        <v>631</v>
      </c>
      <c r="G526" t="s">
        <v>673</v>
      </c>
      <c r="H526" t="s">
        <v>702</v>
      </c>
      <c r="J526" t="s">
        <v>1317</v>
      </c>
      <c r="K526">
        <v>43972</v>
      </c>
      <c r="L526">
        <v>0.016851225071225</v>
      </c>
      <c r="M526">
        <v>-0.01697509894147264</v>
      </c>
      <c r="N526">
        <v>0.07000000000000001</v>
      </c>
      <c r="O526">
        <v>0.08341486637321527</v>
      </c>
      <c r="P526" t="s">
        <v>596</v>
      </c>
      <c r="Q526" t="s">
        <v>596</v>
      </c>
      <c r="R526">
        <v>1</v>
      </c>
      <c r="S526">
        <v>9.99</v>
      </c>
      <c r="T526">
        <v>32</v>
      </c>
      <c r="U526">
        <v>1.089375</v>
      </c>
      <c r="V526">
        <v>0.5756</v>
      </c>
      <c r="W526">
        <v>-0.7</v>
      </c>
      <c r="X526">
        <v>0.5914779999999999</v>
      </c>
      <c r="Y526">
        <v>-0.309055</v>
      </c>
      <c r="Z526">
        <v>0.1857379767827529</v>
      </c>
      <c r="AA526">
        <v>0.2286634460547504</v>
      </c>
      <c r="AB526">
        <v>0.7355305466237942</v>
      </c>
      <c r="AC526">
        <v>0.5434083601286174</v>
      </c>
      <c r="AD526">
        <v>0.6784565916398714</v>
      </c>
    </row>
    <row r="527" spans="1:30">
      <c r="A527" s="1" t="s">
        <v>534</v>
      </c>
      <c r="B527">
        <f>HYPERLINK("https://www.suredividend.com/sure-analysis-DTEGY/","Deutsche Telekom AG")</f>
        <v>0</v>
      </c>
      <c r="C527">
        <v>17.54</v>
      </c>
      <c r="D527">
        <v>83191.082566</v>
      </c>
      <c r="E527" t="s">
        <v>662</v>
      </c>
      <c r="F527" t="s">
        <v>631</v>
      </c>
      <c r="G527" t="s">
        <v>678</v>
      </c>
      <c r="H527" t="s">
        <v>700</v>
      </c>
      <c r="I527" t="s">
        <v>1218</v>
      </c>
      <c r="J527" t="s">
        <v>1319</v>
      </c>
      <c r="K527">
        <v>43978</v>
      </c>
      <c r="L527">
        <v>0.075809578107183</v>
      </c>
      <c r="M527">
        <v>-0.006234612222558722</v>
      </c>
      <c r="N527">
        <v>0.06</v>
      </c>
      <c r="O527">
        <v>0.0830609001234317</v>
      </c>
      <c r="P527" t="s">
        <v>596</v>
      </c>
      <c r="Q527" t="s">
        <v>381</v>
      </c>
      <c r="R527">
        <v>0</v>
      </c>
      <c r="S527">
        <v>1.208818181818182</v>
      </c>
      <c r="T527">
        <v>17</v>
      </c>
      <c r="U527">
        <v>1.031764705882353</v>
      </c>
      <c r="V527">
        <v>0.9098000000000001</v>
      </c>
      <c r="W527">
        <v>1.1</v>
      </c>
      <c r="X527">
        <v>1.3297</v>
      </c>
      <c r="Y527">
        <v>0.079385</v>
      </c>
      <c r="Z527">
        <v>0.8308457711442786</v>
      </c>
      <c r="AA527">
        <v>0.7246376811594203</v>
      </c>
      <c r="AB527">
        <v>0.6430868167202572</v>
      </c>
      <c r="AC527">
        <v>0.6205787781350482</v>
      </c>
      <c r="AD527">
        <v>0.6752411575562701</v>
      </c>
    </row>
    <row r="528" spans="1:30">
      <c r="A528" s="1" t="s">
        <v>535</v>
      </c>
      <c r="B528">
        <f>HYPERLINK("https://www.suredividend.com/sure-analysis-SBRA/","Sabra Health Care REIT, Inc.")</f>
        <v>0</v>
      </c>
      <c r="C528">
        <v>15.51</v>
      </c>
      <c r="D528">
        <v>3204.69599</v>
      </c>
      <c r="E528" t="s">
        <v>666</v>
      </c>
      <c r="F528" t="s">
        <v>633</v>
      </c>
      <c r="G528" t="s">
        <v>671</v>
      </c>
      <c r="H528" t="s">
        <v>701</v>
      </c>
      <c r="I528" t="s">
        <v>1219</v>
      </c>
      <c r="J528" t="s">
        <v>1322</v>
      </c>
      <c r="K528">
        <v>43972</v>
      </c>
      <c r="L528">
        <v>0.105837075048107</v>
      </c>
      <c r="M528">
        <v>-0.02027712656255709</v>
      </c>
      <c r="N528">
        <v>0.031</v>
      </c>
      <c r="O528">
        <v>0.08254233602189087</v>
      </c>
      <c r="P528" t="s">
        <v>596</v>
      </c>
      <c r="Q528" t="s">
        <v>636</v>
      </c>
      <c r="R528">
        <v>0</v>
      </c>
      <c r="S528">
        <v>1.1</v>
      </c>
      <c r="T528">
        <v>14</v>
      </c>
      <c r="U528">
        <v>1.107857142857143</v>
      </c>
      <c r="V528">
        <v>0.6385000000000001</v>
      </c>
      <c r="W528">
        <v>1.5</v>
      </c>
      <c r="X528">
        <v>1.65</v>
      </c>
      <c r="Y528">
        <v>-0.272983</v>
      </c>
      <c r="Z528">
        <v>0.9104477611940298</v>
      </c>
      <c r="AA528">
        <v>0.2721417069243156</v>
      </c>
      <c r="AB528">
        <v>0.3030546623794212</v>
      </c>
      <c r="AC528">
        <v>0.527331189710611</v>
      </c>
      <c r="AD528">
        <v>0.6736334405144695</v>
      </c>
    </row>
    <row r="529" spans="1:30">
      <c r="A529" s="1" t="s">
        <v>536</v>
      </c>
      <c r="B529">
        <f>HYPERLINK("https://www.suredividend.com/sure-analysis-BKR/","Baker Hughes Co.")</f>
        <v>0</v>
      </c>
      <c r="C529">
        <v>17.18</v>
      </c>
      <c r="D529">
        <v>17842.574087</v>
      </c>
      <c r="E529" t="s">
        <v>662</v>
      </c>
      <c r="F529" t="s">
        <v>631</v>
      </c>
      <c r="G529" t="s">
        <v>671</v>
      </c>
      <c r="H529" t="s">
        <v>702</v>
      </c>
      <c r="I529" t="s">
        <v>1220</v>
      </c>
      <c r="J529" t="s">
        <v>1317</v>
      </c>
      <c r="K529">
        <v>43962</v>
      </c>
      <c r="L529">
        <v>0.041714947856315</v>
      </c>
      <c r="M529">
        <v>-0.05423325662472411</v>
      </c>
      <c r="N529">
        <v>0.11</v>
      </c>
      <c r="O529">
        <v>0.08223857140631963</v>
      </c>
      <c r="P529" t="s">
        <v>596</v>
      </c>
      <c r="Q529" t="s">
        <v>420</v>
      </c>
      <c r="R529">
        <v>0</v>
      </c>
      <c r="S529">
        <v>3.6</v>
      </c>
      <c r="T529">
        <v>13</v>
      </c>
      <c r="U529">
        <v>1.321538461538462</v>
      </c>
      <c r="V529">
        <v>-15.7626</v>
      </c>
      <c r="W529">
        <v>0.2</v>
      </c>
      <c r="X529">
        <v>0.72</v>
      </c>
      <c r="Y529">
        <v>-0.313587</v>
      </c>
      <c r="Z529">
        <v>0.6003316749585407</v>
      </c>
      <c r="AA529">
        <v>0.2238325281803543</v>
      </c>
      <c r="AB529">
        <v>0.9340836012861736</v>
      </c>
      <c r="AC529">
        <v>0.2974276527331189</v>
      </c>
      <c r="AD529">
        <v>0.6720257234726688</v>
      </c>
    </row>
    <row r="530" spans="1:30">
      <c r="A530" s="1" t="s">
        <v>537</v>
      </c>
      <c r="B530">
        <f>HYPERLINK("https://www.suredividend.com/sure-analysis-BXMT/","Blackstone Mortgage Trust, Inc.")</f>
        <v>0</v>
      </c>
      <c r="C530">
        <v>25.46</v>
      </c>
      <c r="D530">
        <v>3616.91378</v>
      </c>
      <c r="E530" t="s">
        <v>666</v>
      </c>
      <c r="F530" t="s">
        <v>633</v>
      </c>
      <c r="G530" t="s">
        <v>671</v>
      </c>
      <c r="H530" t="s">
        <v>702</v>
      </c>
      <c r="I530" t="s">
        <v>1221</v>
      </c>
      <c r="J530" t="s">
        <v>1322</v>
      </c>
      <c r="K530">
        <v>44001</v>
      </c>
      <c r="L530">
        <v>0.100242522231204</v>
      </c>
      <c r="M530">
        <v>-0.02011775768455104</v>
      </c>
      <c r="N530">
        <v>0.018</v>
      </c>
      <c r="O530">
        <v>0.08078861850105268</v>
      </c>
      <c r="P530" t="s">
        <v>596</v>
      </c>
      <c r="Q530" t="s">
        <v>381</v>
      </c>
      <c r="R530">
        <v>0</v>
      </c>
      <c r="S530">
        <v>1.092511013215859</v>
      </c>
      <c r="T530">
        <v>23</v>
      </c>
      <c r="U530">
        <v>1.10695652173913</v>
      </c>
      <c r="V530">
        <v>0.8756</v>
      </c>
      <c r="W530">
        <v>2.27</v>
      </c>
      <c r="X530">
        <v>2.48</v>
      </c>
      <c r="Y530">
        <v>-0.328375</v>
      </c>
      <c r="Z530">
        <v>0.8955223880597015</v>
      </c>
      <c r="AA530">
        <v>0.2061191626409018</v>
      </c>
      <c r="AB530">
        <v>0.1197749196141479</v>
      </c>
      <c r="AC530">
        <v>0.5289389067524116</v>
      </c>
      <c r="AD530">
        <v>0.6543408360128617</v>
      </c>
    </row>
    <row r="531" spans="1:30">
      <c r="A531" s="1" t="s">
        <v>538</v>
      </c>
      <c r="B531">
        <f>HYPERLINK("https://www.suredividend.com/sure-analysis-SPKE/","Spark Energy, Inc.")</f>
        <v>0</v>
      </c>
      <c r="C531">
        <v>8.4</v>
      </c>
      <c r="D531">
        <v>300.096504</v>
      </c>
      <c r="E531" t="s">
        <v>662</v>
      </c>
      <c r="F531" t="s">
        <v>631</v>
      </c>
      <c r="G531" t="s">
        <v>671</v>
      </c>
      <c r="H531" t="s">
        <v>701</v>
      </c>
      <c r="I531" t="s">
        <v>1222</v>
      </c>
      <c r="J531" t="s">
        <v>1314</v>
      </c>
      <c r="K531">
        <v>43980</v>
      </c>
      <c r="L531">
        <v>0.08569739952718601</v>
      </c>
      <c r="M531">
        <v>-0.1807499405785012</v>
      </c>
      <c r="N531">
        <v>0.229</v>
      </c>
      <c r="O531">
        <v>0.07999425947572503</v>
      </c>
      <c r="P531" t="s">
        <v>596</v>
      </c>
      <c r="Q531" t="s">
        <v>381</v>
      </c>
      <c r="R531">
        <v>0</v>
      </c>
      <c r="S531">
        <v>2.9</v>
      </c>
      <c r="T531">
        <v>3.1</v>
      </c>
      <c r="U531">
        <v>2.709677419354839</v>
      </c>
      <c r="V531">
        <v>1.5809</v>
      </c>
      <c r="W531">
        <v>0.25</v>
      </c>
      <c r="X531">
        <v>0.725</v>
      </c>
      <c r="Y531">
        <v>-0.222942</v>
      </c>
      <c r="Z531">
        <v>0.8640132669983416</v>
      </c>
      <c r="AA531">
        <v>0.320450885668277</v>
      </c>
      <c r="AB531">
        <v>0.9935691318327975</v>
      </c>
      <c r="AC531">
        <v>0.01286173633440514</v>
      </c>
      <c r="AD531">
        <v>0.6463022508038585</v>
      </c>
    </row>
    <row r="532" spans="1:30">
      <c r="A532" s="1" t="s">
        <v>539</v>
      </c>
      <c r="B532">
        <f>HYPERLINK("https://www.suredividend.com/sure-analysis-FUN/","Cedar Fair LP")</f>
        <v>0</v>
      </c>
      <c r="C532">
        <v>28.12</v>
      </c>
      <c r="D532">
        <v>1548.665439</v>
      </c>
      <c r="E532" t="s">
        <v>665</v>
      </c>
      <c r="F532" t="s">
        <v>631</v>
      </c>
      <c r="G532" t="s">
        <v>671</v>
      </c>
      <c r="H532" t="s">
        <v>702</v>
      </c>
      <c r="I532" t="s">
        <v>1223</v>
      </c>
      <c r="J532" t="s">
        <v>1313</v>
      </c>
      <c r="K532">
        <v>44052</v>
      </c>
      <c r="L532">
        <v>0.102343463932625</v>
      </c>
      <c r="M532">
        <v>-0.0008549456789590515</v>
      </c>
      <c r="N532">
        <v>0.05</v>
      </c>
      <c r="O532">
        <v>0.0791875170342986</v>
      </c>
      <c r="P532" t="s">
        <v>596</v>
      </c>
      <c r="Q532" t="s">
        <v>420</v>
      </c>
      <c r="R532">
        <v>0</v>
      </c>
      <c r="S532">
        <v>9.99</v>
      </c>
      <c r="T532">
        <v>28</v>
      </c>
      <c r="U532">
        <v>1.004285714285714</v>
      </c>
      <c r="V532">
        <v>-2.7646</v>
      </c>
      <c r="W532">
        <v>-8.4</v>
      </c>
      <c r="X532">
        <v>2.795</v>
      </c>
      <c r="Y532">
        <v>-0.486528</v>
      </c>
      <c r="Z532">
        <v>0.9071310116086235</v>
      </c>
      <c r="AA532">
        <v>0.07407407407407407</v>
      </c>
      <c r="AB532">
        <v>0.5168810289389068</v>
      </c>
      <c r="AC532">
        <v>0.6495176848874599</v>
      </c>
      <c r="AD532">
        <v>0.6382636655948553</v>
      </c>
    </row>
    <row r="533" spans="1:30">
      <c r="A533" s="1" t="s">
        <v>540</v>
      </c>
      <c r="B533">
        <f>HYPERLINK("https://www.suredividend.com/sure-analysis-AGNC/","AGNC Investment Corp.")</f>
        <v>0</v>
      </c>
      <c r="C533">
        <v>13.79</v>
      </c>
      <c r="D533">
        <v>7715.895</v>
      </c>
      <c r="E533" t="s">
        <v>666</v>
      </c>
      <c r="F533" t="s">
        <v>633</v>
      </c>
      <c r="G533" t="s">
        <v>671</v>
      </c>
      <c r="H533" t="s">
        <v>701</v>
      </c>
      <c r="I533" t="s">
        <v>1224</v>
      </c>
      <c r="J533" t="s">
        <v>1322</v>
      </c>
      <c r="K533">
        <v>43971</v>
      </c>
      <c r="L533">
        <v>0.129589632829373</v>
      </c>
      <c r="M533">
        <v>-0.1031802906312588</v>
      </c>
      <c r="N533">
        <v>0.118</v>
      </c>
      <c r="O533">
        <v>0.07881645138189119</v>
      </c>
      <c r="P533" t="s">
        <v>596</v>
      </c>
      <c r="Q533" t="s">
        <v>381</v>
      </c>
      <c r="R533">
        <v>0</v>
      </c>
      <c r="S533">
        <v>1.8</v>
      </c>
      <c r="T533">
        <v>8</v>
      </c>
      <c r="U533">
        <v>1.72375</v>
      </c>
      <c r="V533">
        <v>-1.686</v>
      </c>
      <c r="W533">
        <v>1</v>
      </c>
      <c r="X533">
        <v>1.8</v>
      </c>
      <c r="Y533">
        <v>-0.1973</v>
      </c>
      <c r="Z533">
        <v>0.9436152570480928</v>
      </c>
      <c r="AA533">
        <v>0.3639291465378422</v>
      </c>
      <c r="AB533">
        <v>0.9389067524115755</v>
      </c>
      <c r="AC533">
        <v>0.1028938906752412</v>
      </c>
      <c r="AD533">
        <v>0.635048231511254</v>
      </c>
    </row>
    <row r="534" spans="1:30">
      <c r="A534" s="1" t="s">
        <v>541</v>
      </c>
      <c r="B534">
        <f>HYPERLINK("https://www.suredividend.com/sure-analysis-INN/","Summit Hotel Properties, Inc.")</f>
        <v>0</v>
      </c>
      <c r="C534">
        <v>6.33</v>
      </c>
      <c r="D534">
        <v>666.996385</v>
      </c>
      <c r="E534" t="s">
        <v>666</v>
      </c>
      <c r="F534" t="s">
        <v>633</v>
      </c>
      <c r="G534" t="s">
        <v>671</v>
      </c>
      <c r="H534" t="s">
        <v>702</v>
      </c>
      <c r="I534" t="s">
        <v>1225</v>
      </c>
      <c r="J534" t="s">
        <v>1322</v>
      </c>
      <c r="K534">
        <v>43978</v>
      </c>
      <c r="L534">
        <v>0.08571428571428501</v>
      </c>
      <c r="M534">
        <v>-0.01065102520541028</v>
      </c>
      <c r="N534">
        <v>0.046</v>
      </c>
      <c r="O534">
        <v>0.07868760566251431</v>
      </c>
      <c r="P534" t="s">
        <v>596</v>
      </c>
      <c r="Q534" t="s">
        <v>420</v>
      </c>
      <c r="R534">
        <v>0</v>
      </c>
      <c r="S534">
        <v>10.8</v>
      </c>
      <c r="T534">
        <v>6</v>
      </c>
      <c r="U534">
        <v>1.055</v>
      </c>
      <c r="W534">
        <v>0.05</v>
      </c>
      <c r="X534">
        <v>0.54</v>
      </c>
      <c r="Y534">
        <v>-0.473043</v>
      </c>
      <c r="Z534">
        <v>0.8656716417910448</v>
      </c>
      <c r="AA534">
        <v>0.08212560386473429</v>
      </c>
      <c r="AB534">
        <v>0.4509646302250804</v>
      </c>
      <c r="AC534">
        <v>0.5932475884244373</v>
      </c>
      <c r="AD534">
        <v>0.6334405144694534</v>
      </c>
    </row>
    <row r="535" spans="1:30">
      <c r="A535" s="1" t="s">
        <v>542</v>
      </c>
      <c r="B535">
        <f>HYPERLINK("https://www.suredividend.com/sure-analysis-OXY/","Occidental Petroleum Corp.")</f>
        <v>0</v>
      </c>
      <c r="C535">
        <v>15.16</v>
      </c>
      <c r="D535">
        <v>15131.96896</v>
      </c>
      <c r="E535" t="s">
        <v>662</v>
      </c>
      <c r="F535" t="s">
        <v>631</v>
      </c>
      <c r="G535" t="s">
        <v>671</v>
      </c>
      <c r="H535" t="s">
        <v>702</v>
      </c>
      <c r="I535" t="s">
        <v>1226</v>
      </c>
      <c r="J535" t="s">
        <v>1317</v>
      </c>
      <c r="K535">
        <v>43976</v>
      </c>
      <c r="L535">
        <v>0.191140776699029</v>
      </c>
      <c r="M535">
        <v>0.03493878033834785</v>
      </c>
      <c r="N535">
        <v>0.02</v>
      </c>
      <c r="O535">
        <v>0.07803837492708099</v>
      </c>
      <c r="P535" t="s">
        <v>596</v>
      </c>
      <c r="Q535" t="s">
        <v>381</v>
      </c>
      <c r="R535">
        <v>0</v>
      </c>
      <c r="S535">
        <v>9.99</v>
      </c>
      <c r="T535">
        <v>18</v>
      </c>
      <c r="U535">
        <v>0.8422222222222222</v>
      </c>
      <c r="V535">
        <v>-4.2181</v>
      </c>
      <c r="W535">
        <v>-4</v>
      </c>
      <c r="X535">
        <v>3.15</v>
      </c>
      <c r="Y535">
        <v>-0.672183</v>
      </c>
      <c r="Z535">
        <v>0.9834162520729685</v>
      </c>
      <c r="AA535">
        <v>0.02093397745571659</v>
      </c>
      <c r="AB535">
        <v>0.157556270096463</v>
      </c>
      <c r="AC535">
        <v>0.8360128617363344</v>
      </c>
      <c r="AD535">
        <v>0.6254019292604501</v>
      </c>
    </row>
    <row r="536" spans="1:30">
      <c r="A536" s="1" t="s">
        <v>543</v>
      </c>
      <c r="B536">
        <f>HYPERLINK("https://www.suredividend.com/sure-analysis-R/","Ryder System, Inc.")</f>
        <v>0</v>
      </c>
      <c r="C536">
        <v>38.88</v>
      </c>
      <c r="D536">
        <v>2062.336416</v>
      </c>
      <c r="E536" t="s">
        <v>661</v>
      </c>
      <c r="F536" t="s">
        <v>631</v>
      </c>
      <c r="G536" t="s">
        <v>671</v>
      </c>
      <c r="H536" t="s">
        <v>702</v>
      </c>
      <c r="I536" t="s">
        <v>1227</v>
      </c>
      <c r="J536" t="s">
        <v>1315</v>
      </c>
      <c r="K536">
        <v>44042</v>
      </c>
      <c r="L536">
        <v>0.05845511482254601</v>
      </c>
      <c r="M536">
        <v>-0.02080687043133966</v>
      </c>
      <c r="N536">
        <v>0.05</v>
      </c>
      <c r="O536">
        <v>0.07781096489591466</v>
      </c>
      <c r="P536" t="s">
        <v>596</v>
      </c>
      <c r="Q536" t="s">
        <v>420</v>
      </c>
      <c r="R536">
        <v>15</v>
      </c>
      <c r="S536">
        <v>9.99</v>
      </c>
      <c r="T536">
        <v>35</v>
      </c>
      <c r="U536">
        <v>1.110857142857143</v>
      </c>
      <c r="V536">
        <v>-6.2916</v>
      </c>
      <c r="W536">
        <v>-2</v>
      </c>
      <c r="X536">
        <v>2.24</v>
      </c>
      <c r="Y536">
        <v>-0.249549</v>
      </c>
      <c r="Z536">
        <v>0.7412935323383084</v>
      </c>
      <c r="AA536">
        <v>0.2962962962962963</v>
      </c>
      <c r="AB536">
        <v>0.5168810289389068</v>
      </c>
      <c r="AC536">
        <v>0.5241157556270096</v>
      </c>
      <c r="AD536">
        <v>0.6237942122186495</v>
      </c>
    </row>
    <row r="537" spans="1:30">
      <c r="A537" s="1" t="s">
        <v>544</v>
      </c>
      <c r="B537">
        <f>HYPERLINK("https://www.suredividend.com/sure-analysis-ALK/","Alaska Air Group, Inc.")</f>
        <v>0</v>
      </c>
      <c r="C537">
        <v>38.98</v>
      </c>
      <c r="D537">
        <v>4852.87</v>
      </c>
      <c r="E537" t="s">
        <v>663</v>
      </c>
      <c r="F537" t="s">
        <v>631</v>
      </c>
      <c r="G537" t="s">
        <v>671</v>
      </c>
      <c r="H537" t="s">
        <v>702</v>
      </c>
      <c r="I537" t="s">
        <v>1228</v>
      </c>
      <c r="J537" t="s">
        <v>1315</v>
      </c>
      <c r="K537">
        <v>43959</v>
      </c>
      <c r="L537">
        <v>0.027388535031847</v>
      </c>
      <c r="M537">
        <v>0.02452407528596501</v>
      </c>
      <c r="N537">
        <v>0.04</v>
      </c>
      <c r="O537">
        <v>0.07718828401029731</v>
      </c>
      <c r="P537" t="s">
        <v>596</v>
      </c>
      <c r="Q537" t="s">
        <v>596</v>
      </c>
      <c r="R537">
        <v>0</v>
      </c>
      <c r="S537">
        <v>9.99</v>
      </c>
      <c r="T537">
        <v>44</v>
      </c>
      <c r="U537">
        <v>0.8859090909090909</v>
      </c>
      <c r="V537">
        <v>0.4573</v>
      </c>
      <c r="W537">
        <v>-6.2</v>
      </c>
      <c r="X537">
        <v>1.075</v>
      </c>
      <c r="Y537">
        <v>-0.432667</v>
      </c>
      <c r="Z537">
        <v>0.3864013266998342</v>
      </c>
      <c r="AA537">
        <v>0.1143317230273752</v>
      </c>
      <c r="AB537">
        <v>0.3858520900321543</v>
      </c>
      <c r="AC537">
        <v>0.7861736334405144</v>
      </c>
      <c r="AD537">
        <v>0.6221864951768489</v>
      </c>
    </row>
    <row r="538" spans="1:30">
      <c r="A538" s="1" t="s">
        <v>545</v>
      </c>
      <c r="B538">
        <f>HYPERLINK("https://www.suredividend.com/sure-analysis-CAKE/","Cheesecake Factory, Inc.")</f>
        <v>0</v>
      </c>
      <c r="C538">
        <v>26.97</v>
      </c>
      <c r="D538">
        <v>1197.471714</v>
      </c>
      <c r="E538" t="s">
        <v>665</v>
      </c>
      <c r="F538" t="s">
        <v>631</v>
      </c>
      <c r="G538" t="s">
        <v>671</v>
      </c>
      <c r="H538" t="s">
        <v>701</v>
      </c>
      <c r="I538" t="s">
        <v>1229</v>
      </c>
      <c r="J538" t="s">
        <v>1313</v>
      </c>
      <c r="K538">
        <v>44043</v>
      </c>
      <c r="L538">
        <v>0.04100227790432801</v>
      </c>
      <c r="M538">
        <v>-0.04880913744972182</v>
      </c>
      <c r="N538">
        <v>0.12</v>
      </c>
      <c r="O538">
        <v>0.07647607449568006</v>
      </c>
      <c r="P538" t="s">
        <v>596</v>
      </c>
      <c r="Q538" t="s">
        <v>596</v>
      </c>
      <c r="R538">
        <v>0</v>
      </c>
      <c r="S538">
        <v>9.99</v>
      </c>
      <c r="T538">
        <v>21</v>
      </c>
      <c r="U538">
        <v>1.284285714285714</v>
      </c>
      <c r="V538">
        <v>-3.2342</v>
      </c>
      <c r="W538">
        <v>-1.95</v>
      </c>
      <c r="X538">
        <v>1.08</v>
      </c>
      <c r="Y538">
        <v>-0.373576</v>
      </c>
      <c r="Z538">
        <v>0.5920398009950248</v>
      </c>
      <c r="AA538">
        <v>0.1561996779388084</v>
      </c>
      <c r="AB538">
        <v>0.9485530546623794</v>
      </c>
      <c r="AC538">
        <v>0.3376205787781351</v>
      </c>
      <c r="AD538">
        <v>0.6093247588424437</v>
      </c>
    </row>
    <row r="539" spans="1:30">
      <c r="A539" s="1" t="s">
        <v>546</v>
      </c>
      <c r="B539">
        <f>HYPERLINK("https://www.suredividend.com/sure-analysis-CNQ/","Canadian Natural Resources Ltd.")</f>
        <v>0</v>
      </c>
      <c r="C539">
        <v>20.55</v>
      </c>
      <c r="D539">
        <v>23959.4465</v>
      </c>
      <c r="E539" t="s">
        <v>662</v>
      </c>
      <c r="F539" t="s">
        <v>631</v>
      </c>
      <c r="G539" t="s">
        <v>672</v>
      </c>
      <c r="H539" t="s">
        <v>702</v>
      </c>
      <c r="J539" t="s">
        <v>1317</v>
      </c>
      <c r="K539">
        <v>43983</v>
      </c>
      <c r="L539">
        <v>0.058688150803152</v>
      </c>
      <c r="M539">
        <v>-0.06102098471980433</v>
      </c>
      <c r="N539">
        <v>0.1</v>
      </c>
      <c r="O539">
        <v>0.07636548837011259</v>
      </c>
      <c r="P539" t="s">
        <v>596</v>
      </c>
      <c r="Q539" t="s">
        <v>420</v>
      </c>
      <c r="R539">
        <v>4</v>
      </c>
      <c r="S539">
        <v>9.99</v>
      </c>
      <c r="T539">
        <v>15</v>
      </c>
      <c r="U539">
        <v>1.37</v>
      </c>
      <c r="V539">
        <v>0.0427</v>
      </c>
      <c r="W539">
        <v>-1.9</v>
      </c>
      <c r="X539">
        <v>1.19078257979596</v>
      </c>
      <c r="Y539">
        <v>-0.185276</v>
      </c>
      <c r="Z539">
        <v>0.7446102819237147</v>
      </c>
      <c r="AA539">
        <v>0.3752012882447665</v>
      </c>
      <c r="AB539">
        <v>0.907556270096463</v>
      </c>
      <c r="AC539">
        <v>0.2572347266881029</v>
      </c>
      <c r="AD539">
        <v>0.6061093247588425</v>
      </c>
    </row>
    <row r="540" spans="1:30">
      <c r="A540" s="1" t="s">
        <v>547</v>
      </c>
      <c r="B540">
        <f>HYPERLINK("https://www.suredividend.com/sure-analysis-ARI/","Apollo Commercial Real Estate Finance, Inc.")</f>
        <v>0</v>
      </c>
      <c r="C540">
        <v>9.6</v>
      </c>
      <c r="D540">
        <v>1447.0778</v>
      </c>
      <c r="E540" t="s">
        <v>666</v>
      </c>
      <c r="F540" t="s">
        <v>633</v>
      </c>
      <c r="G540" t="s">
        <v>671</v>
      </c>
      <c r="H540" t="s">
        <v>702</v>
      </c>
      <c r="I540" t="s">
        <v>1230</v>
      </c>
      <c r="J540" t="s">
        <v>1322</v>
      </c>
      <c r="K540">
        <v>44000</v>
      </c>
      <c r="L540">
        <v>0.170408163265306</v>
      </c>
      <c r="M540">
        <v>0.006173308542779088</v>
      </c>
      <c r="N540">
        <v>-0.042</v>
      </c>
      <c r="O540">
        <v>0.07561846139577999</v>
      </c>
      <c r="P540" t="s">
        <v>596</v>
      </c>
      <c r="Q540" t="s">
        <v>636</v>
      </c>
      <c r="R540">
        <v>0</v>
      </c>
      <c r="S540">
        <v>1.346774193548387</v>
      </c>
      <c r="T540">
        <v>9.9</v>
      </c>
      <c r="U540">
        <v>0.9696969696969696</v>
      </c>
      <c r="V540">
        <v>0.1122</v>
      </c>
      <c r="W540">
        <v>1.24</v>
      </c>
      <c r="X540">
        <v>1.67</v>
      </c>
      <c r="Y540">
        <v>-0.5010519999999999</v>
      </c>
      <c r="Z540">
        <v>0.9734660033167496</v>
      </c>
      <c r="AA540">
        <v>0.06441223832528181</v>
      </c>
      <c r="AB540">
        <v>0.006430868167202572</v>
      </c>
      <c r="AC540">
        <v>0.6881028938906752</v>
      </c>
      <c r="AD540">
        <v>0.5980707395498392</v>
      </c>
    </row>
    <row r="541" spans="1:30">
      <c r="A541" s="1" t="s">
        <v>548</v>
      </c>
      <c r="B541">
        <f>HYPERLINK("https://www.suredividend.com/sure-analysis-BA/","The Boeing Co.")</f>
        <v>0</v>
      </c>
      <c r="C541">
        <v>180.13</v>
      </c>
      <c r="D541">
        <v>101267.79509</v>
      </c>
      <c r="E541" t="s">
        <v>665</v>
      </c>
      <c r="F541" t="s">
        <v>631</v>
      </c>
      <c r="G541" t="s">
        <v>671</v>
      </c>
      <c r="H541" t="s">
        <v>702</v>
      </c>
      <c r="I541" t="s">
        <v>1231</v>
      </c>
      <c r="J541" t="s">
        <v>1315</v>
      </c>
      <c r="K541">
        <v>44041</v>
      </c>
      <c r="L541">
        <v>0.022908422050052</v>
      </c>
      <c r="M541">
        <v>0.02012503432775281</v>
      </c>
      <c r="N541">
        <v>0.054</v>
      </c>
      <c r="O541">
        <v>0.07521178618145141</v>
      </c>
      <c r="P541" t="s">
        <v>596</v>
      </c>
      <c r="Q541" t="s">
        <v>596</v>
      </c>
      <c r="R541">
        <v>0</v>
      </c>
      <c r="S541">
        <v>9.99</v>
      </c>
      <c r="T541">
        <v>199</v>
      </c>
      <c r="U541">
        <v>0.9051758793969849</v>
      </c>
      <c r="V541">
        <v>-5.0347</v>
      </c>
      <c r="W541">
        <v>-5.38</v>
      </c>
      <c r="X541">
        <v>4.11</v>
      </c>
      <c r="Y541">
        <v>-0.494515</v>
      </c>
      <c r="Z541">
        <v>0.3101160862354893</v>
      </c>
      <c r="AA541">
        <v>0.06924315619967794</v>
      </c>
      <c r="AB541">
        <v>0.5836012861736335</v>
      </c>
      <c r="AC541">
        <v>0.7636655948553055</v>
      </c>
      <c r="AD541">
        <v>0.5948553054662379</v>
      </c>
    </row>
    <row r="542" spans="1:30">
      <c r="A542" s="1" t="s">
        <v>549</v>
      </c>
      <c r="B542">
        <f>HYPERLINK("https://www.suredividend.com/sure-analysis-AM/","Antero Midstream Corp.")</f>
        <v>0</v>
      </c>
      <c r="C542">
        <v>7</v>
      </c>
      <c r="D542">
        <v>3507.75392</v>
      </c>
      <c r="E542" t="s">
        <v>666</v>
      </c>
      <c r="F542" t="s">
        <v>631</v>
      </c>
      <c r="G542" t="s">
        <v>671</v>
      </c>
      <c r="H542" t="s">
        <v>702</v>
      </c>
      <c r="I542" t="s">
        <v>1232</v>
      </c>
      <c r="J542" t="s">
        <v>1317</v>
      </c>
      <c r="K542">
        <v>43999</v>
      </c>
      <c r="L542">
        <v>0.167119565217391</v>
      </c>
      <c r="M542">
        <v>-0.06508012385152984</v>
      </c>
      <c r="N542">
        <v>0.07000000000000001</v>
      </c>
      <c r="O542">
        <v>0.07421482483960129</v>
      </c>
      <c r="P542" t="s">
        <v>596</v>
      </c>
      <c r="Q542" t="s">
        <v>381</v>
      </c>
      <c r="R542">
        <v>0</v>
      </c>
      <c r="S542">
        <v>1.892307692307692</v>
      </c>
      <c r="T542">
        <v>5</v>
      </c>
      <c r="U542">
        <v>1.4</v>
      </c>
      <c r="V542">
        <v>-1.4897</v>
      </c>
      <c r="W542">
        <v>0.65</v>
      </c>
      <c r="X542">
        <v>1.23</v>
      </c>
      <c r="Y542">
        <v>-0.095176</v>
      </c>
      <c r="Z542">
        <v>0.9701492537313433</v>
      </c>
      <c r="AA542">
        <v>0.4847020933977456</v>
      </c>
      <c r="AB542">
        <v>0.7355305466237942</v>
      </c>
      <c r="AC542">
        <v>0.2379421221864952</v>
      </c>
      <c r="AD542">
        <v>0.5884244372990354</v>
      </c>
    </row>
    <row r="543" spans="1:30">
      <c r="A543" s="1" t="s">
        <v>550</v>
      </c>
      <c r="B543">
        <f>HYPERLINK("https://www.suredividend.com/sure-analysis-MAIN/","Main Street Capital Corp.")</f>
        <v>0</v>
      </c>
      <c r="C543">
        <v>32.54</v>
      </c>
      <c r="D543">
        <v>2141.784529</v>
      </c>
      <c r="E543" t="s">
        <v>667</v>
      </c>
      <c r="F543" t="s">
        <v>631</v>
      </c>
      <c r="G543" t="s">
        <v>671</v>
      </c>
      <c r="H543" t="s">
        <v>702</v>
      </c>
      <c r="I543" t="s">
        <v>1233</v>
      </c>
      <c r="J543" t="s">
        <v>1312</v>
      </c>
      <c r="K543">
        <v>43922</v>
      </c>
      <c r="L543">
        <v>0.07452287185701301</v>
      </c>
      <c r="M543">
        <v>-0.03663859531539138</v>
      </c>
      <c r="N543">
        <v>0.02</v>
      </c>
      <c r="O543">
        <v>0.07188552808116389</v>
      </c>
      <c r="P543" t="s">
        <v>596</v>
      </c>
      <c r="Q543" t="s">
        <v>381</v>
      </c>
      <c r="R543">
        <v>5</v>
      </c>
      <c r="S543">
        <v>1.23</v>
      </c>
      <c r="T543">
        <v>27</v>
      </c>
      <c r="U543">
        <v>1.205185185185185</v>
      </c>
      <c r="V543">
        <v>-1.2056</v>
      </c>
      <c r="W543">
        <v>2</v>
      </c>
      <c r="X543">
        <v>2.46</v>
      </c>
      <c r="Y543">
        <v>-0.249473</v>
      </c>
      <c r="Z543">
        <v>0.8291873963515755</v>
      </c>
      <c r="AA543">
        <v>0.2979066022544283</v>
      </c>
      <c r="AB543">
        <v>0.157556270096463</v>
      </c>
      <c r="AC543">
        <v>0.4196141479099678</v>
      </c>
      <c r="AD543">
        <v>0.572347266881029</v>
      </c>
    </row>
    <row r="544" spans="1:30">
      <c r="A544" s="1" t="s">
        <v>551</v>
      </c>
      <c r="B544">
        <f>HYPERLINK("https://www.suredividend.com/sure-analysis-HST/","Host Hotels &amp; Resorts, Inc.")</f>
        <v>0</v>
      </c>
      <c r="C544">
        <v>11.67</v>
      </c>
      <c r="D544">
        <v>8378.524439999999</v>
      </c>
      <c r="E544" t="s">
        <v>662</v>
      </c>
      <c r="F544" t="s">
        <v>633</v>
      </c>
      <c r="G544" t="s">
        <v>671</v>
      </c>
      <c r="H544" t="s">
        <v>702</v>
      </c>
      <c r="I544" t="s">
        <v>1234</v>
      </c>
      <c r="J544" t="s">
        <v>1322</v>
      </c>
      <c r="K544">
        <v>43969</v>
      </c>
      <c r="L544">
        <v>0.05050505050505</v>
      </c>
      <c r="M544">
        <v>0.05148741866760775</v>
      </c>
      <c r="N544">
        <v>0</v>
      </c>
      <c r="O544">
        <v>0.07172316417218627</v>
      </c>
      <c r="P544" t="s">
        <v>596</v>
      </c>
      <c r="Q544" t="s">
        <v>420</v>
      </c>
      <c r="R544">
        <v>0</v>
      </c>
      <c r="S544">
        <v>4.000000000000001</v>
      </c>
      <c r="T544">
        <v>15</v>
      </c>
      <c r="U544">
        <v>0.778</v>
      </c>
      <c r="V544">
        <v>0.1155</v>
      </c>
      <c r="W544">
        <v>0.15</v>
      </c>
      <c r="X544">
        <v>0.6000000000000001</v>
      </c>
      <c r="Y544">
        <v>-0.315476</v>
      </c>
      <c r="Z544">
        <v>0.6948590381426202</v>
      </c>
      <c r="AA544">
        <v>0.2206119162640902</v>
      </c>
      <c r="AB544">
        <v>0.04662379421221865</v>
      </c>
      <c r="AC544">
        <v>0.9051446945337621</v>
      </c>
      <c r="AD544">
        <v>0.5707395498392284</v>
      </c>
    </row>
    <row r="545" spans="1:30">
      <c r="A545" s="1" t="s">
        <v>552</v>
      </c>
      <c r="B545">
        <f>HYPERLINK("https://www.suredividend.com/sure-analysis-LVS/","Las Vegas Sands Corp.")</f>
        <v>0</v>
      </c>
      <c r="C545">
        <v>51</v>
      </c>
      <c r="D545">
        <v>36295.91856</v>
      </c>
      <c r="E545" t="s">
        <v>659</v>
      </c>
      <c r="F545" t="s">
        <v>631</v>
      </c>
      <c r="G545" t="s">
        <v>671</v>
      </c>
      <c r="H545" t="s">
        <v>702</v>
      </c>
      <c r="I545" t="s">
        <v>1235</v>
      </c>
      <c r="J545" t="s">
        <v>1313</v>
      </c>
      <c r="K545">
        <v>44042</v>
      </c>
      <c r="L545">
        <v>0.049031986531986</v>
      </c>
      <c r="M545">
        <v>0.01149727415513624</v>
      </c>
      <c r="N545">
        <v>0.04</v>
      </c>
      <c r="O545">
        <v>0.07050548165834325</v>
      </c>
      <c r="P545" t="s">
        <v>596</v>
      </c>
      <c r="Q545" t="s">
        <v>420</v>
      </c>
      <c r="R545">
        <v>0</v>
      </c>
      <c r="S545">
        <v>11.65</v>
      </c>
      <c r="T545">
        <v>54</v>
      </c>
      <c r="U545">
        <v>0.9444444444444444</v>
      </c>
      <c r="V545">
        <v>0.4386</v>
      </c>
      <c r="W545">
        <v>0.2</v>
      </c>
      <c r="X545">
        <v>2.33</v>
      </c>
      <c r="Y545">
        <v>-0.201157</v>
      </c>
      <c r="Z545">
        <v>0.681592039800995</v>
      </c>
      <c r="AA545">
        <v>0.359098228663446</v>
      </c>
      <c r="AB545">
        <v>0.3858520900321543</v>
      </c>
      <c r="AC545">
        <v>0.7154340836012862</v>
      </c>
      <c r="AD545">
        <v>0.5530546623794212</v>
      </c>
    </row>
    <row r="546" spans="1:30">
      <c r="A546" s="1" t="s">
        <v>553</v>
      </c>
      <c r="B546">
        <f>HYPERLINK("https://www.suredividend.com/sure-analysis-SBUX/","Starbucks Corp.")</f>
        <v>0</v>
      </c>
      <c r="C546">
        <v>78.89</v>
      </c>
      <c r="D546">
        <v>90562.42999999999</v>
      </c>
      <c r="E546" t="s">
        <v>661</v>
      </c>
      <c r="F546" t="s">
        <v>631</v>
      </c>
      <c r="G546" t="s">
        <v>671</v>
      </c>
      <c r="H546" t="s">
        <v>701</v>
      </c>
      <c r="I546" t="s">
        <v>1236</v>
      </c>
      <c r="J546" t="s">
        <v>1313</v>
      </c>
      <c r="K546">
        <v>44042</v>
      </c>
      <c r="L546">
        <v>0.020524073835032</v>
      </c>
      <c r="M546">
        <v>-0.04704159095189209</v>
      </c>
      <c r="N546">
        <v>0.1</v>
      </c>
      <c r="O546">
        <v>0.0691648196520338</v>
      </c>
      <c r="P546" t="s">
        <v>596</v>
      </c>
      <c r="Q546" t="s">
        <v>596</v>
      </c>
      <c r="R546">
        <v>10</v>
      </c>
      <c r="S546">
        <v>1.766666666666666</v>
      </c>
      <c r="T546">
        <v>62</v>
      </c>
      <c r="U546">
        <v>1.27241935483871</v>
      </c>
      <c r="V546">
        <v>1.1278</v>
      </c>
      <c r="W546">
        <v>0.9</v>
      </c>
      <c r="X546">
        <v>1.59</v>
      </c>
      <c r="Y546">
        <v>-0.212735</v>
      </c>
      <c r="Z546">
        <v>0.2802653399668325</v>
      </c>
      <c r="AA546">
        <v>0.3349436392914654</v>
      </c>
      <c r="AB546">
        <v>0.907556270096463</v>
      </c>
      <c r="AC546">
        <v>0.3440514469453376</v>
      </c>
      <c r="AD546">
        <v>0.5466237942122186</v>
      </c>
    </row>
    <row r="547" spans="1:30">
      <c r="A547" s="1" t="s">
        <v>554</v>
      </c>
      <c r="B547">
        <f>HYPERLINK("https://www.suredividend.com/sure-analysis-SLB/","Schlumberger NV")</f>
        <v>0</v>
      </c>
      <c r="C547">
        <v>20.3</v>
      </c>
      <c r="D547">
        <v>28067.382</v>
      </c>
      <c r="E547" t="s">
        <v>662</v>
      </c>
      <c r="F547" t="s">
        <v>631</v>
      </c>
      <c r="G547" t="s">
        <v>671</v>
      </c>
      <c r="H547" t="s">
        <v>702</v>
      </c>
      <c r="I547" t="s">
        <v>1237</v>
      </c>
      <c r="J547" t="s">
        <v>1317</v>
      </c>
      <c r="K547">
        <v>44047</v>
      </c>
      <c r="L547">
        <v>0.08036597428288801</v>
      </c>
      <c r="M547">
        <v>-0.002973293480330264</v>
      </c>
      <c r="N547">
        <v>0.05</v>
      </c>
      <c r="O547">
        <v>0.06884408625270377</v>
      </c>
      <c r="P547" t="s">
        <v>596</v>
      </c>
      <c r="Q547" t="s">
        <v>420</v>
      </c>
      <c r="R547">
        <v>0</v>
      </c>
      <c r="S547">
        <v>16.25</v>
      </c>
      <c r="T547">
        <v>20</v>
      </c>
      <c r="U547">
        <v>1.015</v>
      </c>
      <c r="V547">
        <v>-15.7702</v>
      </c>
      <c r="W547">
        <v>0.1</v>
      </c>
      <c r="X547">
        <v>1.625</v>
      </c>
      <c r="Y547">
        <v>-0.442488</v>
      </c>
      <c r="Z547">
        <v>0.8524046434494196</v>
      </c>
      <c r="AA547">
        <v>0.1030595813204509</v>
      </c>
      <c r="AB547">
        <v>0.5168810289389068</v>
      </c>
      <c r="AC547">
        <v>0.6414790996784566</v>
      </c>
      <c r="AD547">
        <v>0.5434083601286174</v>
      </c>
    </row>
    <row r="548" spans="1:30">
      <c r="A548" s="1" t="s">
        <v>555</v>
      </c>
      <c r="B548">
        <f>HYPERLINK("https://www.suredividend.com/sure-analysis-CODI/","Compass Diversified Holdings")</f>
        <v>0</v>
      </c>
      <c r="C548">
        <v>17.49</v>
      </c>
      <c r="D548">
        <v>1144.187</v>
      </c>
      <c r="E548" t="s">
        <v>659</v>
      </c>
      <c r="F548" t="s">
        <v>631</v>
      </c>
      <c r="G548" t="s">
        <v>671</v>
      </c>
      <c r="H548" t="s">
        <v>702</v>
      </c>
      <c r="I548" t="s">
        <v>1238</v>
      </c>
      <c r="J548" t="s">
        <v>1315</v>
      </c>
      <c r="K548">
        <v>43969</v>
      </c>
      <c r="L548">
        <v>0.08167895632444601</v>
      </c>
      <c r="M548">
        <v>-0.04353816529230115</v>
      </c>
      <c r="N548">
        <v>0.04</v>
      </c>
      <c r="O548">
        <v>0.0673920864057389</v>
      </c>
      <c r="P548" t="s">
        <v>596</v>
      </c>
      <c r="Q548" t="s">
        <v>381</v>
      </c>
      <c r="R548">
        <v>0</v>
      </c>
      <c r="S548">
        <v>1.252173913043478</v>
      </c>
      <c r="T548">
        <v>14</v>
      </c>
      <c r="U548">
        <v>1.249285714285714</v>
      </c>
      <c r="V548">
        <v>-2.1031</v>
      </c>
      <c r="W548">
        <v>1.15</v>
      </c>
      <c r="X548">
        <v>1.44</v>
      </c>
      <c r="Y548">
        <v>-0.105072</v>
      </c>
      <c r="Z548">
        <v>0.8557213930348259</v>
      </c>
      <c r="AA548">
        <v>0.4750402576489533</v>
      </c>
      <c r="AB548">
        <v>0.3858520900321543</v>
      </c>
      <c r="AC548">
        <v>0.3745980707395498</v>
      </c>
      <c r="AD548">
        <v>0.5353697749196141</v>
      </c>
    </row>
    <row r="549" spans="1:30">
      <c r="A549" s="1" t="s">
        <v>556</v>
      </c>
      <c r="B549">
        <f>HYPERLINK("https://www.suredividend.com/sure-analysis-ALARF/","Alaris Royalty Corp.")</f>
        <v>0</v>
      </c>
      <c r="C549">
        <v>10.14</v>
      </c>
      <c r="D549">
        <v>360.820746</v>
      </c>
      <c r="E549" t="s">
        <v>662</v>
      </c>
      <c r="F549" t="s">
        <v>631</v>
      </c>
      <c r="G549" t="s">
        <v>672</v>
      </c>
      <c r="H549" t="s">
        <v>700</v>
      </c>
      <c r="I549" t="s">
        <v>1239</v>
      </c>
      <c r="J549" t="s">
        <v>1312</v>
      </c>
      <c r="K549">
        <v>43985</v>
      </c>
      <c r="L549">
        <v>0.112510045822492</v>
      </c>
      <c r="M549">
        <v>-0.03240837815518183</v>
      </c>
      <c r="N549">
        <v>0.02</v>
      </c>
      <c r="O549">
        <v>0.06654858137462183</v>
      </c>
      <c r="P549" t="s">
        <v>596</v>
      </c>
      <c r="Q549" t="s">
        <v>381</v>
      </c>
      <c r="R549">
        <v>0</v>
      </c>
      <c r="S549">
        <v>9.99</v>
      </c>
      <c r="T549">
        <v>8.6</v>
      </c>
      <c r="U549">
        <v>1.179069767441861</v>
      </c>
      <c r="V549">
        <v>-0.7301000000000001</v>
      </c>
      <c r="W549">
        <v>-1</v>
      </c>
      <c r="X549">
        <v>1.14085186464007</v>
      </c>
      <c r="Y549">
        <v>-0.322913</v>
      </c>
      <c r="Z549">
        <v>0.9253731343283582</v>
      </c>
      <c r="AA549">
        <v>0.214170692431562</v>
      </c>
      <c r="AB549">
        <v>0.157556270096463</v>
      </c>
      <c r="AC549">
        <v>0.4485530546623794</v>
      </c>
      <c r="AD549">
        <v>0.527331189710611</v>
      </c>
    </row>
    <row r="550" spans="1:30">
      <c r="A550" s="1" t="s">
        <v>557</v>
      </c>
      <c r="B550">
        <f>HYPERLINK("https://www.suredividend.com/sure-analysis-SJR/","Shaw Communications, Inc.")</f>
        <v>0</v>
      </c>
      <c r="C550">
        <v>18.84</v>
      </c>
      <c r="D550">
        <v>9560.362800000001</v>
      </c>
      <c r="E550" t="s">
        <v>667</v>
      </c>
      <c r="F550" t="s">
        <v>631</v>
      </c>
      <c r="G550" t="s">
        <v>672</v>
      </c>
      <c r="H550" t="s">
        <v>702</v>
      </c>
      <c r="I550" t="s">
        <v>1240</v>
      </c>
      <c r="J550" t="s">
        <v>1319</v>
      </c>
      <c r="K550">
        <v>44049</v>
      </c>
      <c r="L550">
        <v>0.06357296137339001</v>
      </c>
      <c r="M550">
        <v>-0.02617569600024883</v>
      </c>
      <c r="N550">
        <v>0.05</v>
      </c>
      <c r="O550">
        <v>0.06379307807989432</v>
      </c>
      <c r="P550" t="s">
        <v>596</v>
      </c>
      <c r="Q550" t="s">
        <v>420</v>
      </c>
      <c r="R550">
        <v>0</v>
      </c>
      <c r="S550">
        <v>1.221649484536083</v>
      </c>
      <c r="T550">
        <v>16.5</v>
      </c>
      <c r="U550">
        <v>1.141818181818182</v>
      </c>
      <c r="V550">
        <v>0.9707</v>
      </c>
      <c r="W550">
        <v>0.97</v>
      </c>
      <c r="X550">
        <v>1.185</v>
      </c>
      <c r="Y550">
        <v>-0.05462</v>
      </c>
      <c r="Z550">
        <v>0.7744610281923715</v>
      </c>
      <c r="AA550">
        <v>0.5587761674718197</v>
      </c>
      <c r="AB550">
        <v>0.5168810289389068</v>
      </c>
      <c r="AC550">
        <v>0.4919614147909968</v>
      </c>
      <c r="AD550">
        <v>0.5128617363344051</v>
      </c>
    </row>
    <row r="551" spans="1:30">
      <c r="A551" s="1" t="s">
        <v>558</v>
      </c>
      <c r="B551">
        <f>HYPERLINK("https://www.suredividend.com/sure-analysis-ARR/","ARMOUR Residential REIT, Inc.")</f>
        <v>0</v>
      </c>
      <c r="C551">
        <v>9.68</v>
      </c>
      <c r="D551">
        <v>640.42803</v>
      </c>
      <c r="E551" t="s">
        <v>666</v>
      </c>
      <c r="F551" t="s">
        <v>633</v>
      </c>
      <c r="G551" t="s">
        <v>671</v>
      </c>
      <c r="H551" t="s">
        <v>702</v>
      </c>
      <c r="I551" t="s">
        <v>1241</v>
      </c>
      <c r="J551" t="s">
        <v>1322</v>
      </c>
      <c r="K551">
        <v>44001</v>
      </c>
      <c r="L551">
        <v>0.163636363636363</v>
      </c>
      <c r="M551">
        <v>-0.02112152421872593</v>
      </c>
      <c r="N551">
        <v>0.002</v>
      </c>
      <c r="O551">
        <v>0.06176530914265199</v>
      </c>
      <c r="P551" t="s">
        <v>596</v>
      </c>
      <c r="Q551" t="s">
        <v>636</v>
      </c>
      <c r="R551">
        <v>0</v>
      </c>
      <c r="S551">
        <v>1.306451612903226</v>
      </c>
      <c r="T551">
        <v>8.699999999999999</v>
      </c>
      <c r="U551">
        <v>1.11264367816092</v>
      </c>
      <c r="V551">
        <v>-5.4857</v>
      </c>
      <c r="W551">
        <v>1.24</v>
      </c>
      <c r="X551">
        <v>1.62</v>
      </c>
      <c r="Y551">
        <v>-0.454391</v>
      </c>
      <c r="Z551">
        <v>0.966832504145937</v>
      </c>
      <c r="AA551">
        <v>0.09500805152979065</v>
      </c>
      <c r="AB551">
        <v>0.07234726688102894</v>
      </c>
      <c r="AC551">
        <v>0.5192926045016076</v>
      </c>
      <c r="AD551">
        <v>0.5032154340836013</v>
      </c>
    </row>
    <row r="552" spans="1:30">
      <c r="A552" s="1" t="s">
        <v>559</v>
      </c>
      <c r="B552">
        <f>HYPERLINK("https://www.suredividend.com/sure-analysis-E/","Eni SpA")</f>
        <v>0</v>
      </c>
      <c r="C552">
        <v>19.03</v>
      </c>
      <c r="D552">
        <v>33582.010617</v>
      </c>
      <c r="E552" t="s">
        <v>662</v>
      </c>
      <c r="F552" t="s">
        <v>631</v>
      </c>
      <c r="G552" t="s">
        <v>693</v>
      </c>
      <c r="H552" t="s">
        <v>702</v>
      </c>
      <c r="I552" t="s">
        <v>1242</v>
      </c>
      <c r="J552" t="s">
        <v>1317</v>
      </c>
      <c r="K552">
        <v>43949</v>
      </c>
      <c r="L552">
        <v>0.100675531914893</v>
      </c>
      <c r="M552">
        <v>-0.04647849079927902</v>
      </c>
      <c r="N552">
        <v>0.06</v>
      </c>
      <c r="O552">
        <v>0.05977079309927369</v>
      </c>
      <c r="P552" t="s">
        <v>596</v>
      </c>
      <c r="Q552" t="s">
        <v>420</v>
      </c>
      <c r="R552">
        <v>0</v>
      </c>
      <c r="S552">
        <v>9.99</v>
      </c>
      <c r="T552">
        <v>15</v>
      </c>
      <c r="U552">
        <v>1.268666666666667</v>
      </c>
      <c r="V552">
        <v>-5.3695</v>
      </c>
      <c r="W552">
        <v>-1.8</v>
      </c>
      <c r="X552">
        <v>1.8927</v>
      </c>
      <c r="Y552">
        <v>-0.380333</v>
      </c>
      <c r="Z552">
        <v>0.9004975124378108</v>
      </c>
      <c r="AA552">
        <v>0.1481481481481481</v>
      </c>
      <c r="AB552">
        <v>0.6430868167202572</v>
      </c>
      <c r="AC552">
        <v>0.3553054662379422</v>
      </c>
      <c r="AD552">
        <v>0.4871382636655949</v>
      </c>
    </row>
    <row r="553" spans="1:30">
      <c r="A553" s="1" t="s">
        <v>560</v>
      </c>
      <c r="B553">
        <f>HYPERLINK("https://www.suredividend.com/sure-analysis-VGR/","Vector Group Ltd.")</f>
        <v>0</v>
      </c>
      <c r="C553">
        <v>10.03</v>
      </c>
      <c r="D553">
        <v>1487.9862</v>
      </c>
      <c r="E553" t="s">
        <v>660</v>
      </c>
      <c r="F553" t="s">
        <v>631</v>
      </c>
      <c r="G553" t="s">
        <v>671</v>
      </c>
      <c r="H553" t="s">
        <v>702</v>
      </c>
      <c r="I553" t="s">
        <v>1243</v>
      </c>
      <c r="J553" t="s">
        <v>1320</v>
      </c>
      <c r="K553">
        <v>43985</v>
      </c>
      <c r="L553">
        <v>0.121497158907458</v>
      </c>
      <c r="M553">
        <v>-0.04422028111599097</v>
      </c>
      <c r="N553">
        <v>0.03</v>
      </c>
      <c r="O553">
        <v>0.05764869116638494</v>
      </c>
      <c r="P553" t="s">
        <v>596</v>
      </c>
      <c r="Q553" t="s">
        <v>381</v>
      </c>
      <c r="R553">
        <v>0</v>
      </c>
      <c r="S553">
        <v>2.880371669708536</v>
      </c>
      <c r="T553">
        <v>8</v>
      </c>
      <c r="U553">
        <v>1.25375</v>
      </c>
      <c r="V553">
        <v>0.4364</v>
      </c>
      <c r="W553">
        <v>0.41</v>
      </c>
      <c r="X553">
        <v>1.1809523845805</v>
      </c>
      <c r="Y553">
        <v>-0.158556</v>
      </c>
      <c r="Z553">
        <v>0.9320066334991708</v>
      </c>
      <c r="AA553">
        <v>0.4138486312399356</v>
      </c>
      <c r="AB553">
        <v>0.2540192926045016</v>
      </c>
      <c r="AC553">
        <v>0.3665594855305466</v>
      </c>
      <c r="AD553">
        <v>0.4726688102893891</v>
      </c>
    </row>
    <row r="554" spans="1:30">
      <c r="A554" s="1" t="s">
        <v>561</v>
      </c>
      <c r="B554">
        <f>HYPERLINK("https://www.suredividend.com/sure-analysis-RRD/","R.R. Donnelley &amp; Sons Co.")</f>
        <v>0</v>
      </c>
      <c r="C554">
        <v>1.37</v>
      </c>
      <c r="D554">
        <v>92.10599999999999</v>
      </c>
      <c r="E554" t="s">
        <v>661</v>
      </c>
      <c r="F554" t="s">
        <v>631</v>
      </c>
      <c r="G554" t="s">
        <v>671</v>
      </c>
      <c r="H554" t="s">
        <v>702</v>
      </c>
      <c r="I554" t="s">
        <v>1244</v>
      </c>
      <c r="J554" t="s">
        <v>1315</v>
      </c>
      <c r="K554">
        <v>44042</v>
      </c>
      <c r="L554">
        <v>0.069767441860465</v>
      </c>
      <c r="M554">
        <v>0.05611299775839163</v>
      </c>
      <c r="N554">
        <v>0</v>
      </c>
      <c r="O554">
        <v>0.05611299775839163</v>
      </c>
      <c r="P554" t="s">
        <v>596</v>
      </c>
      <c r="Q554" t="s">
        <v>420</v>
      </c>
      <c r="R554">
        <v>0</v>
      </c>
      <c r="S554">
        <v>9.99</v>
      </c>
      <c r="T554">
        <v>1.8</v>
      </c>
      <c r="U554">
        <v>0.7611111111111112</v>
      </c>
      <c r="V554">
        <v>-2.0561</v>
      </c>
      <c r="W554">
        <v>-1</v>
      </c>
      <c r="X554">
        <v>0.09</v>
      </c>
      <c r="Y554">
        <v>-0.335</v>
      </c>
      <c r="Z554">
        <v>0.8126036484245439</v>
      </c>
      <c r="AA554">
        <v>0.1900161030595813</v>
      </c>
      <c r="AB554">
        <v>0.04662379421221865</v>
      </c>
      <c r="AC554">
        <v>0.9260450160771704</v>
      </c>
      <c r="AD554">
        <v>0.4662379421221865</v>
      </c>
    </row>
    <row r="555" spans="1:30">
      <c r="A555" s="1" t="s">
        <v>562</v>
      </c>
      <c r="B555">
        <f>HYPERLINK("https://www.suredividend.com/sure-analysis-M/","Macy's, Inc.")</f>
        <v>0</v>
      </c>
      <c r="C555">
        <v>7.03</v>
      </c>
      <c r="D555">
        <v>2215.0779</v>
      </c>
      <c r="E555" t="s">
        <v>659</v>
      </c>
      <c r="F555" t="s">
        <v>631</v>
      </c>
      <c r="G555" t="s">
        <v>671</v>
      </c>
      <c r="H555" t="s">
        <v>702</v>
      </c>
      <c r="I555" t="s">
        <v>1245</v>
      </c>
      <c r="J555" t="s">
        <v>1313</v>
      </c>
      <c r="K555">
        <v>44015</v>
      </c>
      <c r="L555">
        <v>0.211484593837535</v>
      </c>
      <c r="M555">
        <v>0.05064848080867357</v>
      </c>
      <c r="N555">
        <v>-0.03</v>
      </c>
      <c r="O555">
        <v>0.05593250278015027</v>
      </c>
      <c r="P555" t="s">
        <v>596</v>
      </c>
      <c r="Q555" t="s">
        <v>381</v>
      </c>
      <c r="R555">
        <v>0</v>
      </c>
      <c r="S555">
        <v>9.99</v>
      </c>
      <c r="T555">
        <v>9</v>
      </c>
      <c r="U555">
        <v>0.7811111111111111</v>
      </c>
      <c r="V555">
        <v>-10.1481</v>
      </c>
      <c r="W555">
        <v>-4</v>
      </c>
      <c r="X555">
        <v>1.51</v>
      </c>
      <c r="Y555">
        <v>-0.674213</v>
      </c>
      <c r="Z555">
        <v>0.990049751243781</v>
      </c>
      <c r="AA555">
        <v>0.01932367149758454</v>
      </c>
      <c r="AB555">
        <v>0.008842443729903537</v>
      </c>
      <c r="AC555">
        <v>0.9019292604501608</v>
      </c>
      <c r="AD555">
        <v>0.4646302250803858</v>
      </c>
    </row>
    <row r="556" spans="1:30">
      <c r="A556" s="1" t="s">
        <v>563</v>
      </c>
      <c r="B556">
        <f>HYPERLINK("https://www.suredividend.com/sure-analysis-NOV/","National Oilwell Varco, Inc.")</f>
        <v>0</v>
      </c>
      <c r="C556">
        <v>13.05</v>
      </c>
      <c r="D556">
        <v>4822.48728</v>
      </c>
      <c r="E556" t="s">
        <v>662</v>
      </c>
      <c r="F556" t="s">
        <v>631</v>
      </c>
      <c r="G556" t="s">
        <v>671</v>
      </c>
      <c r="H556" t="s">
        <v>702</v>
      </c>
      <c r="I556" t="s">
        <v>1246</v>
      </c>
      <c r="J556" t="s">
        <v>1317</v>
      </c>
      <c r="K556">
        <v>43971</v>
      </c>
      <c r="L556">
        <v>0.01207729468599</v>
      </c>
      <c r="M556">
        <v>0.04160221363363736</v>
      </c>
      <c r="N556">
        <v>0</v>
      </c>
      <c r="O556">
        <v>0.05430843702389487</v>
      </c>
      <c r="P556" t="s">
        <v>596</v>
      </c>
      <c r="Q556" t="s">
        <v>596</v>
      </c>
      <c r="R556">
        <v>0</v>
      </c>
      <c r="S556">
        <v>9.99</v>
      </c>
      <c r="T556">
        <v>16</v>
      </c>
      <c r="U556">
        <v>0.815625</v>
      </c>
      <c r="V556">
        <v>-7.2328</v>
      </c>
      <c r="W556">
        <v>-0.5</v>
      </c>
      <c r="X556">
        <v>0.15</v>
      </c>
      <c r="Y556">
        <v>-0.424664</v>
      </c>
      <c r="Z556">
        <v>0.1011608623548922</v>
      </c>
      <c r="AA556">
        <v>0.1207729468599034</v>
      </c>
      <c r="AB556">
        <v>0.04662379421221865</v>
      </c>
      <c r="AC556">
        <v>0.8665594855305465</v>
      </c>
      <c r="AD556">
        <v>0.4517684887459807</v>
      </c>
    </row>
    <row r="557" spans="1:30">
      <c r="A557" s="1" t="s">
        <v>564</v>
      </c>
      <c r="B557">
        <f>HYPERLINK("https://www.suredividend.com/sure-analysis-TWO/","Two Harbors Investment Corp.")</f>
        <v>0</v>
      </c>
      <c r="C557">
        <v>5.57</v>
      </c>
      <c r="D557">
        <v>1592.97474</v>
      </c>
      <c r="E557" t="s">
        <v>666</v>
      </c>
      <c r="F557" t="s">
        <v>633</v>
      </c>
      <c r="G557" t="s">
        <v>671</v>
      </c>
      <c r="H557" t="s">
        <v>702</v>
      </c>
      <c r="I557" t="s">
        <v>1247</v>
      </c>
      <c r="J557" t="s">
        <v>1322</v>
      </c>
      <c r="K557">
        <v>44019</v>
      </c>
      <c r="L557">
        <v>0.170103092783505</v>
      </c>
      <c r="M557">
        <v>-0.04176624863066014</v>
      </c>
      <c r="N557">
        <v>0.001</v>
      </c>
      <c r="O557">
        <v>0.05413172478450989</v>
      </c>
      <c r="P557" t="s">
        <v>596</v>
      </c>
      <c r="Q557" t="s">
        <v>381</v>
      </c>
      <c r="R557">
        <v>0</v>
      </c>
      <c r="S557">
        <v>1.98</v>
      </c>
      <c r="T557">
        <v>4.5</v>
      </c>
      <c r="U557">
        <v>1.237777777777778</v>
      </c>
      <c r="V557">
        <v>-6.1366</v>
      </c>
      <c r="W557">
        <v>0.5</v>
      </c>
      <c r="X557">
        <v>0.99</v>
      </c>
      <c r="Y557">
        <v>-0.594096</v>
      </c>
      <c r="Z557">
        <v>0.9718076285240465</v>
      </c>
      <c r="AA557">
        <v>0.03381642512077294</v>
      </c>
      <c r="AB557">
        <v>0.0707395498392283</v>
      </c>
      <c r="AC557">
        <v>0.3922829581993569</v>
      </c>
      <c r="AD557">
        <v>0.4501607717041801</v>
      </c>
    </row>
    <row r="558" spans="1:30">
      <c r="A558" s="1" t="s">
        <v>565</v>
      </c>
      <c r="B558">
        <f>HYPERLINK("https://www.suredividend.com/sure-analysis-PSO/","Pearson Plc")</f>
        <v>0</v>
      </c>
      <c r="C558">
        <v>8.130000000000001</v>
      </c>
      <c r="D558">
        <v>5958.93045</v>
      </c>
      <c r="E558" t="s">
        <v>659</v>
      </c>
      <c r="F558" t="s">
        <v>631</v>
      </c>
      <c r="G558" t="s">
        <v>676</v>
      </c>
      <c r="H558" t="s">
        <v>702</v>
      </c>
      <c r="I558" t="s">
        <v>1248</v>
      </c>
      <c r="J558" t="s">
        <v>1319</v>
      </c>
      <c r="K558">
        <v>44052</v>
      </c>
      <c r="L558">
        <v>0.030716981132075</v>
      </c>
      <c r="M558">
        <v>0.006555550630457541</v>
      </c>
      <c r="N558">
        <v>0.02</v>
      </c>
      <c r="O558">
        <v>0.05197814252581101</v>
      </c>
      <c r="P558" t="s">
        <v>596</v>
      </c>
      <c r="Q558" t="s">
        <v>596</v>
      </c>
      <c r="R558">
        <v>0</v>
      </c>
      <c r="S558">
        <v>1.221</v>
      </c>
      <c r="T558">
        <v>8.4</v>
      </c>
      <c r="U558">
        <v>0.9678571428571429</v>
      </c>
      <c r="V558">
        <v>0.4303</v>
      </c>
      <c r="W558">
        <v>0.2</v>
      </c>
      <c r="X558">
        <v>0.2442</v>
      </c>
      <c r="Y558">
        <v>-0.236581</v>
      </c>
      <c r="Z558">
        <v>0.4394693200663349</v>
      </c>
      <c r="AA558">
        <v>0.3043478260869565</v>
      </c>
      <c r="AB558">
        <v>0.157556270096463</v>
      </c>
      <c r="AC558">
        <v>0.6897106109324759</v>
      </c>
      <c r="AD558">
        <v>0.4405144694533762</v>
      </c>
    </row>
    <row r="559" spans="1:30">
      <c r="A559" s="1" t="s">
        <v>566</v>
      </c>
      <c r="B559">
        <f>HYPERLINK("https://www.suredividend.com/sure-analysis-ORC/","Orchid Island Capital, Inc.")</f>
        <v>0</v>
      </c>
      <c r="C559">
        <v>5.03</v>
      </c>
      <c r="D559">
        <v>337.72557</v>
      </c>
      <c r="E559" t="s">
        <v>666</v>
      </c>
      <c r="F559" t="s">
        <v>633</v>
      </c>
      <c r="G559" t="s">
        <v>671</v>
      </c>
      <c r="H559" t="s">
        <v>702</v>
      </c>
      <c r="I559" t="s">
        <v>1249</v>
      </c>
      <c r="J559" t="s">
        <v>1322</v>
      </c>
      <c r="K559">
        <v>44015</v>
      </c>
      <c r="L559">
        <v>0.173529411764705</v>
      </c>
      <c r="M559">
        <v>-0.04479100985844175</v>
      </c>
      <c r="N559">
        <v>-0.019</v>
      </c>
      <c r="O559">
        <v>0.05054660925372678</v>
      </c>
      <c r="P559" t="s">
        <v>596</v>
      </c>
      <c r="Q559" t="s">
        <v>636</v>
      </c>
      <c r="R559">
        <v>0</v>
      </c>
      <c r="S559">
        <v>1.164473684210526</v>
      </c>
      <c r="T559">
        <v>4</v>
      </c>
      <c r="U559">
        <v>1.2575</v>
      </c>
      <c r="V559">
        <v>-0.5219</v>
      </c>
      <c r="W559">
        <v>0.76</v>
      </c>
      <c r="X559">
        <v>0.885</v>
      </c>
      <c r="Y559">
        <v>-0.195513</v>
      </c>
      <c r="Z559">
        <v>0.9751243781094527</v>
      </c>
      <c r="AA559">
        <v>0.3671497584541063</v>
      </c>
      <c r="AB559">
        <v>0.01607717041800643</v>
      </c>
      <c r="AC559">
        <v>0.3617363344051447</v>
      </c>
      <c r="AD559">
        <v>0.4260450160771704</v>
      </c>
    </row>
    <row r="560" spans="1:30">
      <c r="A560" s="1" t="s">
        <v>567</v>
      </c>
      <c r="B560">
        <f>HYPERLINK("https://www.suredividend.com/sure-analysis-WPP/","WPP Plc")</f>
        <v>0</v>
      </c>
      <c r="C560">
        <v>41.77</v>
      </c>
      <c r="D560">
        <v>9916.489777000001</v>
      </c>
      <c r="E560" t="s">
        <v>663</v>
      </c>
      <c r="F560" t="s">
        <v>631</v>
      </c>
      <c r="G560" t="s">
        <v>676</v>
      </c>
      <c r="H560" t="s">
        <v>702</v>
      </c>
      <c r="I560" t="s">
        <v>1250</v>
      </c>
      <c r="J560" t="s">
        <v>1319</v>
      </c>
      <c r="K560">
        <v>43990</v>
      </c>
      <c r="L560">
        <v>0.092525390625</v>
      </c>
      <c r="M560">
        <v>-0.003714347044737054</v>
      </c>
      <c r="N560">
        <v>0.03</v>
      </c>
      <c r="O560">
        <v>0.0502754270394985</v>
      </c>
      <c r="P560" t="s">
        <v>596</v>
      </c>
      <c r="Q560" t="s">
        <v>381</v>
      </c>
      <c r="R560">
        <v>0</v>
      </c>
      <c r="S560">
        <v>1.26328</v>
      </c>
      <c r="T560">
        <v>41</v>
      </c>
      <c r="U560">
        <v>1.018780487804878</v>
      </c>
      <c r="V560">
        <v>3.6111</v>
      </c>
      <c r="W560">
        <v>3</v>
      </c>
      <c r="X560">
        <v>3.78984</v>
      </c>
      <c r="Y560">
        <v>-0.283582</v>
      </c>
      <c r="Z560">
        <v>0.8789386401326699</v>
      </c>
      <c r="AA560">
        <v>0.2576489533011272</v>
      </c>
      <c r="AB560">
        <v>0.2540192926045016</v>
      </c>
      <c r="AC560">
        <v>0.6382636655948553</v>
      </c>
      <c r="AD560">
        <v>0.4212218649517685</v>
      </c>
    </row>
    <row r="561" spans="1:30">
      <c r="A561" s="1" t="s">
        <v>568</v>
      </c>
      <c r="B561">
        <f>HYPERLINK("https://www.suredividend.com/sure-analysis-KIM/","Kimco Realty Corp.")</f>
        <v>0</v>
      </c>
      <c r="C561">
        <v>12.46</v>
      </c>
      <c r="D561">
        <v>5220.32328</v>
      </c>
      <c r="E561" t="s">
        <v>666</v>
      </c>
      <c r="F561" t="s">
        <v>633</v>
      </c>
      <c r="G561" t="s">
        <v>671</v>
      </c>
      <c r="H561" t="s">
        <v>702</v>
      </c>
      <c r="I561" t="s">
        <v>1251</v>
      </c>
      <c r="J561" t="s">
        <v>1322</v>
      </c>
      <c r="K561">
        <v>44012</v>
      </c>
      <c r="L561">
        <v>0.06959403479701701</v>
      </c>
      <c r="M561">
        <v>-0.1014112779836771</v>
      </c>
      <c r="N561">
        <v>0.11</v>
      </c>
      <c r="O561">
        <v>0.05006560984988484</v>
      </c>
      <c r="P561" t="s">
        <v>596</v>
      </c>
      <c r="Q561" t="s">
        <v>381</v>
      </c>
      <c r="R561">
        <v>0</v>
      </c>
      <c r="S561">
        <v>1.150684931506849</v>
      </c>
      <c r="T561">
        <v>7.3</v>
      </c>
      <c r="U561">
        <v>1.706849315068493</v>
      </c>
      <c r="V561">
        <v>2.2629</v>
      </c>
      <c r="W561">
        <v>0.73</v>
      </c>
      <c r="X561">
        <v>0.84</v>
      </c>
      <c r="Y561">
        <v>-0.374738</v>
      </c>
      <c r="Z561">
        <v>0.8092868988391376</v>
      </c>
      <c r="AA561">
        <v>0.1529790660225443</v>
      </c>
      <c r="AB561">
        <v>0.9340836012861736</v>
      </c>
      <c r="AC561">
        <v>0.1061093247588424</v>
      </c>
      <c r="AD561">
        <v>0.4196141479099678</v>
      </c>
    </row>
    <row r="562" spans="1:30">
      <c r="A562" s="1" t="s">
        <v>569</v>
      </c>
      <c r="B562">
        <f>HYPERLINK("https://www.suredividend.com/sure-analysis-CAE/","CAE, Inc.")</f>
        <v>0</v>
      </c>
      <c r="C562">
        <v>16.48</v>
      </c>
      <c r="D562">
        <v>4216.73835</v>
      </c>
      <c r="E562" t="s">
        <v>662</v>
      </c>
      <c r="F562" t="s">
        <v>631</v>
      </c>
      <c r="G562" t="s">
        <v>672</v>
      </c>
      <c r="H562" t="s">
        <v>702</v>
      </c>
      <c r="I562" t="s">
        <v>1252</v>
      </c>
      <c r="J562" t="s">
        <v>1315</v>
      </c>
      <c r="K562">
        <v>43978</v>
      </c>
      <c r="L562">
        <v>0.020362388805849</v>
      </c>
      <c r="M562">
        <v>-0.01864348423220252</v>
      </c>
      <c r="N562">
        <v>0.07000000000000001</v>
      </c>
      <c r="O562">
        <v>0.05005147187154346</v>
      </c>
      <c r="P562" t="s">
        <v>596</v>
      </c>
      <c r="Q562" t="s">
        <v>596</v>
      </c>
      <c r="R562">
        <v>0</v>
      </c>
      <c r="S562">
        <v>1.077170367829427</v>
      </c>
      <c r="T562">
        <v>15</v>
      </c>
      <c r="U562">
        <v>1.098666666666667</v>
      </c>
      <c r="V562">
        <v>0.8804000000000001</v>
      </c>
      <c r="W562">
        <v>0.3</v>
      </c>
      <c r="X562">
        <v>0.323151110348828</v>
      </c>
      <c r="Y562">
        <v>-0.441554</v>
      </c>
      <c r="Z562">
        <v>0.2752902155887231</v>
      </c>
      <c r="AA562">
        <v>0.1046698872785829</v>
      </c>
      <c r="AB562">
        <v>0.7355305466237942</v>
      </c>
      <c r="AC562">
        <v>0.5369774919614148</v>
      </c>
      <c r="AD562">
        <v>0.4180064308681672</v>
      </c>
    </row>
    <row r="563" spans="1:30">
      <c r="A563" s="1" t="s">
        <v>570</v>
      </c>
      <c r="B563">
        <f>HYPERLINK("https://www.suredividend.com/sure-analysis-TCO/","Taubman Centers, Inc.")</f>
        <v>0</v>
      </c>
      <c r="C563">
        <v>38.34</v>
      </c>
      <c r="D563">
        <v>2354.324434</v>
      </c>
      <c r="E563" t="s">
        <v>659</v>
      </c>
      <c r="F563" t="s">
        <v>633</v>
      </c>
      <c r="G563" t="s">
        <v>671</v>
      </c>
      <c r="H563" t="s">
        <v>702</v>
      </c>
      <c r="I563" t="s">
        <v>1253</v>
      </c>
      <c r="J563" t="s">
        <v>1322</v>
      </c>
      <c r="K563">
        <v>43976</v>
      </c>
      <c r="L563">
        <v>0.07066213033237301</v>
      </c>
      <c r="M563">
        <v>-0.03550590303752121</v>
      </c>
      <c r="N563">
        <v>0.02</v>
      </c>
      <c r="O563">
        <v>0.04956167750925022</v>
      </c>
      <c r="P563" t="s">
        <v>596</v>
      </c>
      <c r="Q563" t="s">
        <v>381</v>
      </c>
      <c r="R563">
        <v>10</v>
      </c>
      <c r="S563">
        <v>1.35</v>
      </c>
      <c r="T563">
        <v>32</v>
      </c>
      <c r="U563">
        <v>1.198125</v>
      </c>
      <c r="V563">
        <v>-2.206</v>
      </c>
      <c r="W563">
        <v>2</v>
      </c>
      <c r="X563">
        <v>2.7</v>
      </c>
      <c r="Y563">
        <v>-0.071601</v>
      </c>
      <c r="Z563">
        <v>0.8175787728026533</v>
      </c>
      <c r="AA563">
        <v>0.5314009661835749</v>
      </c>
      <c r="AB563">
        <v>0.157556270096463</v>
      </c>
      <c r="AC563">
        <v>0.4268488745980707</v>
      </c>
      <c r="AD563">
        <v>0.4163987138263666</v>
      </c>
    </row>
    <row r="564" spans="1:30">
      <c r="A564" s="1" t="s">
        <v>571</v>
      </c>
      <c r="B564">
        <f>HYPERLINK("https://www.suredividend.com/sure-analysis-HP/","Helmerich &amp; Payne, Inc.")</f>
        <v>0</v>
      </c>
      <c r="C564">
        <v>19.42</v>
      </c>
      <c r="D564">
        <v>2087.22276</v>
      </c>
      <c r="E564" t="s">
        <v>662</v>
      </c>
      <c r="F564" t="s">
        <v>631</v>
      </c>
      <c r="G564" t="s">
        <v>671</v>
      </c>
      <c r="H564" t="s">
        <v>702</v>
      </c>
      <c r="I564" t="s">
        <v>1254</v>
      </c>
      <c r="J564" t="s">
        <v>1317</v>
      </c>
      <c r="K564">
        <v>43962</v>
      </c>
      <c r="L564">
        <v>0.122554067971163</v>
      </c>
      <c r="M564">
        <v>-0.142570035307391</v>
      </c>
      <c r="N564">
        <v>0.17</v>
      </c>
      <c r="O564">
        <v>0.04954754223059554</v>
      </c>
      <c r="P564" t="s">
        <v>596</v>
      </c>
      <c r="Q564" t="s">
        <v>381</v>
      </c>
      <c r="R564">
        <v>0</v>
      </c>
      <c r="S564">
        <v>9.99</v>
      </c>
      <c r="T564">
        <v>9</v>
      </c>
      <c r="U564">
        <v>2.157777777777778</v>
      </c>
      <c r="V564">
        <v>-3.6668</v>
      </c>
      <c r="W564">
        <v>-1.1</v>
      </c>
      <c r="X564">
        <v>2.38</v>
      </c>
      <c r="Y564">
        <v>-0.5805279999999999</v>
      </c>
      <c r="Z564">
        <v>0.9353233830845771</v>
      </c>
      <c r="AA564">
        <v>0.03864734299516908</v>
      </c>
      <c r="AB564">
        <v>0.9871382636655949</v>
      </c>
      <c r="AC564">
        <v>0.02572347266881029</v>
      </c>
      <c r="AD564">
        <v>0.4131832797427653</v>
      </c>
    </row>
    <row r="565" spans="1:30">
      <c r="A565" s="1" t="s">
        <v>572</v>
      </c>
      <c r="B565">
        <f>HYPERLINK("https://www.suredividend.com/sure-analysis-EQM/","EQM Midstream Partners LP")</f>
        <v>0</v>
      </c>
      <c r="C565">
        <v>21.43</v>
      </c>
      <c r="D565">
        <v>4295.81494</v>
      </c>
      <c r="E565" t="s">
        <v>662</v>
      </c>
      <c r="F565" t="s">
        <v>632</v>
      </c>
      <c r="G565" t="s">
        <v>671</v>
      </c>
      <c r="H565" t="s">
        <v>702</v>
      </c>
      <c r="I565" t="s">
        <v>1255</v>
      </c>
      <c r="J565" t="s">
        <v>1317</v>
      </c>
      <c r="K565">
        <v>43979</v>
      </c>
      <c r="L565">
        <v>0.180471301913205</v>
      </c>
      <c r="M565">
        <v>-0.01371696043083381</v>
      </c>
      <c r="N565">
        <v>0</v>
      </c>
      <c r="O565">
        <v>0.04884025297801764</v>
      </c>
      <c r="P565" t="s">
        <v>596</v>
      </c>
      <c r="Q565" t="s">
        <v>636</v>
      </c>
      <c r="R565">
        <v>0</v>
      </c>
      <c r="S565">
        <v>1.105</v>
      </c>
      <c r="T565">
        <v>20</v>
      </c>
      <c r="U565">
        <v>1.0715</v>
      </c>
      <c r="V565">
        <v>0.4171</v>
      </c>
      <c r="W565">
        <v>3.5</v>
      </c>
      <c r="X565">
        <v>3.8675</v>
      </c>
      <c r="Y565">
        <v>0</v>
      </c>
      <c r="Z565">
        <v>0.9800995024875622</v>
      </c>
      <c r="AA565">
        <v>0.6296296296296297</v>
      </c>
      <c r="AB565">
        <v>0.04662379421221865</v>
      </c>
      <c r="AC565">
        <v>0.567524115755627</v>
      </c>
      <c r="AD565">
        <v>0.4083601286173634</v>
      </c>
    </row>
    <row r="566" spans="1:30">
      <c r="A566" s="1" t="s">
        <v>573</v>
      </c>
      <c r="B566">
        <f>HYPERLINK("https://www.suredividend.com/sure-analysis-PRT/","PermRock Royalty Trust")</f>
        <v>0</v>
      </c>
      <c r="C566">
        <v>2.16</v>
      </c>
      <c r="D566">
        <v>26.7652</v>
      </c>
      <c r="E566" t="s">
        <v>667</v>
      </c>
      <c r="F566" t="s">
        <v>631</v>
      </c>
      <c r="G566" t="s">
        <v>671</v>
      </c>
      <c r="H566" t="s">
        <v>702</v>
      </c>
      <c r="J566" t="s">
        <v>1317</v>
      </c>
      <c r="K566">
        <v>43944</v>
      </c>
      <c r="L566">
        <v>0.297507227272727</v>
      </c>
      <c r="M566">
        <v>-0.01039923583582236</v>
      </c>
      <c r="N566">
        <v>-0.1</v>
      </c>
      <c r="O566">
        <v>0.04674242944803164</v>
      </c>
      <c r="P566" t="s">
        <v>596</v>
      </c>
      <c r="Q566" t="s">
        <v>636</v>
      </c>
      <c r="R566">
        <v>0</v>
      </c>
      <c r="S566">
        <v>1.596380243902439</v>
      </c>
      <c r="T566">
        <v>2.05</v>
      </c>
      <c r="U566">
        <v>1.053658536585366</v>
      </c>
      <c r="V566">
        <v>0.6545000000000001</v>
      </c>
      <c r="W566">
        <v>0.41</v>
      </c>
      <c r="X566">
        <v>0.6545158999999999</v>
      </c>
      <c r="Y566">
        <v>-0.712418</v>
      </c>
      <c r="Z566">
        <v>0.9950248756218906</v>
      </c>
      <c r="AA566">
        <v>0.00966183574879227</v>
      </c>
      <c r="AB566">
        <v>0.003215434083601286</v>
      </c>
      <c r="AC566">
        <v>0.5948553054662379</v>
      </c>
      <c r="AD566">
        <v>0.3890675241157556</v>
      </c>
    </row>
    <row r="567" spans="1:30">
      <c r="A567" s="1" t="s">
        <v>574</v>
      </c>
      <c r="B567">
        <f>HYPERLINK("https://www.suredividend.com/sure-analysis-VET/","Vermilion Energy, Inc.")</f>
        <v>0</v>
      </c>
      <c r="C567">
        <v>4.56</v>
      </c>
      <c r="D567">
        <v>739.261</v>
      </c>
      <c r="E567" t="s">
        <v>666</v>
      </c>
      <c r="F567" t="s">
        <v>631</v>
      </c>
      <c r="G567" t="s">
        <v>672</v>
      </c>
      <c r="H567" t="s">
        <v>702</v>
      </c>
      <c r="J567" t="s">
        <v>1317</v>
      </c>
      <c r="K567">
        <v>43992</v>
      </c>
      <c r="L567">
        <v>0.369379014989293</v>
      </c>
      <c r="M567">
        <v>-0.1062795385980915</v>
      </c>
      <c r="N567">
        <v>0.05</v>
      </c>
      <c r="O567">
        <v>0.04574500513928581</v>
      </c>
      <c r="P567" t="s">
        <v>596</v>
      </c>
      <c r="Q567" t="s">
        <v>636</v>
      </c>
      <c r="R567">
        <v>0</v>
      </c>
      <c r="S567">
        <v>3.382352941176471</v>
      </c>
      <c r="T567">
        <v>2.6</v>
      </c>
      <c r="U567">
        <v>1.753846153846154</v>
      </c>
      <c r="V567">
        <v>-6.6292</v>
      </c>
      <c r="W567">
        <v>0.51</v>
      </c>
      <c r="X567">
        <v>1.725</v>
      </c>
      <c r="Y567">
        <v>-0.715556</v>
      </c>
      <c r="Z567">
        <v>1</v>
      </c>
      <c r="AA567">
        <v>0.008051529790660227</v>
      </c>
      <c r="AB567">
        <v>0.5168810289389068</v>
      </c>
      <c r="AC567">
        <v>0.09485530546623794</v>
      </c>
      <c r="AD567">
        <v>0.3810289389067524</v>
      </c>
    </row>
    <row r="568" spans="1:30">
      <c r="A568" s="1" t="s">
        <v>575</v>
      </c>
      <c r="B568">
        <f>HYPERLINK("https://www.suredividend.com/sure-analysis-FL/","Foot Locker, Inc.")</f>
        <v>0</v>
      </c>
      <c r="C568">
        <v>30.3</v>
      </c>
      <c r="D568">
        <v>3088.45342</v>
      </c>
      <c r="E568" t="s">
        <v>663</v>
      </c>
      <c r="F568" t="s">
        <v>631</v>
      </c>
      <c r="G568" t="s">
        <v>671</v>
      </c>
      <c r="H568" t="s">
        <v>702</v>
      </c>
      <c r="I568" t="s">
        <v>1256</v>
      </c>
      <c r="J568" t="s">
        <v>1313</v>
      </c>
      <c r="K568">
        <v>43990</v>
      </c>
      <c r="L568">
        <v>0.051974350320621</v>
      </c>
      <c r="M568">
        <v>-0.008732028943151615</v>
      </c>
      <c r="N568">
        <v>0.04</v>
      </c>
      <c r="O568">
        <v>0.04441052390184952</v>
      </c>
      <c r="P568" t="s">
        <v>596</v>
      </c>
      <c r="Q568" t="s">
        <v>420</v>
      </c>
      <c r="R568">
        <v>0</v>
      </c>
      <c r="S568">
        <v>2.053333333333333</v>
      </c>
      <c r="T568">
        <v>29</v>
      </c>
      <c r="U568">
        <v>1.044827586206897</v>
      </c>
      <c r="V568">
        <v>2.0095</v>
      </c>
      <c r="W568">
        <v>0.75</v>
      </c>
      <c r="X568">
        <v>1.54</v>
      </c>
      <c r="Y568">
        <v>-0.321984</v>
      </c>
      <c r="Z568">
        <v>0.703150912106136</v>
      </c>
      <c r="AA568">
        <v>0.215780998389694</v>
      </c>
      <c r="AB568">
        <v>0.3858520900321543</v>
      </c>
      <c r="AC568">
        <v>0.6061093247588425</v>
      </c>
      <c r="AD568">
        <v>0.3665594855305466</v>
      </c>
    </row>
    <row r="569" spans="1:30">
      <c r="A569" s="1" t="s">
        <v>576</v>
      </c>
      <c r="B569">
        <f>HYPERLINK("https://www.suredividend.com/sure-analysis-HAL/","Halliburton Co.")</f>
        <v>0</v>
      </c>
      <c r="C569">
        <v>16.14</v>
      </c>
      <c r="D569">
        <v>13712.9167</v>
      </c>
      <c r="E569" t="s">
        <v>662</v>
      </c>
      <c r="F569" t="s">
        <v>631</v>
      </c>
      <c r="G569" t="s">
        <v>671</v>
      </c>
      <c r="H569" t="s">
        <v>702</v>
      </c>
      <c r="I569" t="s">
        <v>1257</v>
      </c>
      <c r="J569" t="s">
        <v>1317</v>
      </c>
      <c r="K569">
        <v>44046</v>
      </c>
      <c r="L569">
        <v>0.03747597693786001</v>
      </c>
      <c r="M569">
        <v>-0.1102504115175382</v>
      </c>
      <c r="N569">
        <v>0.149</v>
      </c>
      <c r="O569">
        <v>0.0399928058304917</v>
      </c>
      <c r="P569" t="s">
        <v>596</v>
      </c>
      <c r="Q569" t="s">
        <v>596</v>
      </c>
      <c r="R569">
        <v>0</v>
      </c>
      <c r="S569">
        <v>9.99</v>
      </c>
      <c r="T569">
        <v>9</v>
      </c>
      <c r="U569">
        <v>1.793333333333333</v>
      </c>
      <c r="V569">
        <v>-4.6153</v>
      </c>
      <c r="W569">
        <v>-0.1</v>
      </c>
      <c r="X569">
        <v>0.585</v>
      </c>
      <c r="Y569">
        <v>-0.252885</v>
      </c>
      <c r="Z569">
        <v>0.5456053067993366</v>
      </c>
      <c r="AA569">
        <v>0.2946859903381642</v>
      </c>
      <c r="AB569">
        <v>0.9726688102893891</v>
      </c>
      <c r="AC569">
        <v>0.0819935691318328</v>
      </c>
      <c r="AD569">
        <v>0.3392282958199357</v>
      </c>
    </row>
    <row r="570" spans="1:30">
      <c r="A570" s="1" t="s">
        <v>577</v>
      </c>
      <c r="B570">
        <f>HYPERLINK("https://www.suredividend.com/sure-analysis-EADSY/","Airbus SE")</f>
        <v>0</v>
      </c>
      <c r="C570">
        <v>21.08</v>
      </c>
      <c r="D570">
        <v>66075.925538</v>
      </c>
      <c r="E570" t="s">
        <v>659</v>
      </c>
      <c r="F570" t="s">
        <v>631</v>
      </c>
      <c r="G570" t="s">
        <v>687</v>
      </c>
      <c r="H570" t="s">
        <v>700</v>
      </c>
      <c r="I570" t="s">
        <v>1258</v>
      </c>
      <c r="J570" t="s">
        <v>1315</v>
      </c>
      <c r="K570">
        <v>43979</v>
      </c>
      <c r="L570">
        <v>0.023861480075901</v>
      </c>
      <c r="M570">
        <v>-0.03109682351836651</v>
      </c>
      <c r="N570">
        <v>0.06</v>
      </c>
      <c r="O570">
        <v>0.03878891786967453</v>
      </c>
      <c r="P570" t="s">
        <v>596</v>
      </c>
      <c r="Q570" t="s">
        <v>596</v>
      </c>
      <c r="R570">
        <v>0</v>
      </c>
      <c r="S570">
        <v>9.99</v>
      </c>
      <c r="T570">
        <v>18</v>
      </c>
      <c r="U570">
        <v>1.171111111111111</v>
      </c>
      <c r="V570">
        <v>-1.5777</v>
      </c>
      <c r="W570">
        <v>-0.5</v>
      </c>
      <c r="X570">
        <v>0.503</v>
      </c>
      <c r="Y570">
        <v>-0.425544</v>
      </c>
      <c r="Z570">
        <v>0.3250414593698176</v>
      </c>
      <c r="AA570">
        <v>0.1191626409017713</v>
      </c>
      <c r="AB570">
        <v>0.6430868167202572</v>
      </c>
      <c r="AC570">
        <v>0.4581993569131833</v>
      </c>
      <c r="AD570">
        <v>0.3360128617363344</v>
      </c>
    </row>
    <row r="571" spans="1:30">
      <c r="A571" s="1" t="s">
        <v>578</v>
      </c>
      <c r="B571">
        <f>HYPERLINK("https://www.suredividend.com/sure-analysis-DDS/","Dillard's, Inc.")</f>
        <v>0</v>
      </c>
      <c r="C571">
        <v>28.54</v>
      </c>
      <c r="D571">
        <v>647.652428</v>
      </c>
      <c r="E571" t="s">
        <v>659</v>
      </c>
      <c r="F571" t="s">
        <v>631</v>
      </c>
      <c r="G571" t="s">
        <v>671</v>
      </c>
      <c r="H571" t="s">
        <v>702</v>
      </c>
      <c r="I571" t="s">
        <v>1259</v>
      </c>
      <c r="J571" t="s">
        <v>1313</v>
      </c>
      <c r="K571">
        <v>43977</v>
      </c>
      <c r="L571">
        <v>0.019727403156384</v>
      </c>
      <c r="M571">
        <v>-0.01103263829053847</v>
      </c>
      <c r="N571">
        <v>0.03</v>
      </c>
      <c r="O571">
        <v>0.0385272674081818</v>
      </c>
      <c r="P571" t="s">
        <v>596</v>
      </c>
      <c r="Q571" t="s">
        <v>596</v>
      </c>
      <c r="R571">
        <v>10</v>
      </c>
      <c r="S571">
        <v>9.99</v>
      </c>
      <c r="T571">
        <v>27</v>
      </c>
      <c r="U571">
        <v>1.057037037037037</v>
      </c>
      <c r="V571">
        <v>-5.5541</v>
      </c>
      <c r="W571">
        <v>-0.5</v>
      </c>
      <c r="X571">
        <v>0.55</v>
      </c>
      <c r="Y571">
        <v>-0.587992</v>
      </c>
      <c r="Z571">
        <v>0.2620232172470978</v>
      </c>
      <c r="AA571">
        <v>0.035426731078905</v>
      </c>
      <c r="AB571">
        <v>0.2540192926045016</v>
      </c>
      <c r="AC571">
        <v>0.5868167202572347</v>
      </c>
      <c r="AD571">
        <v>0.3344051446945338</v>
      </c>
    </row>
    <row r="572" spans="1:30">
      <c r="A572" s="1" t="s">
        <v>579</v>
      </c>
      <c r="B572">
        <f>HYPERLINK("https://www.suredividend.com/sure-analysis-ROST/","Ross Stores, Inc.")</f>
        <v>0</v>
      </c>
      <c r="C572">
        <v>93.56999999999999</v>
      </c>
      <c r="D572">
        <v>32926.34422</v>
      </c>
      <c r="E572" t="s">
        <v>662</v>
      </c>
      <c r="F572" t="s">
        <v>631</v>
      </c>
      <c r="G572" t="s">
        <v>671</v>
      </c>
      <c r="H572" t="s">
        <v>701</v>
      </c>
      <c r="I572" t="s">
        <v>1260</v>
      </c>
      <c r="J572" t="s">
        <v>1313</v>
      </c>
      <c r="K572">
        <v>43976</v>
      </c>
      <c r="L572">
        <v>0.011350124310885</v>
      </c>
      <c r="M572">
        <v>-0.08503828070067954</v>
      </c>
      <c r="N572">
        <v>0.13</v>
      </c>
      <c r="O572">
        <v>0.03768461100034193</v>
      </c>
      <c r="P572" t="s">
        <v>596</v>
      </c>
      <c r="Q572" t="s">
        <v>596</v>
      </c>
      <c r="R572">
        <v>0</v>
      </c>
      <c r="S572">
        <v>1.235294117647059</v>
      </c>
      <c r="T572">
        <v>60</v>
      </c>
      <c r="U572">
        <v>1.5595</v>
      </c>
      <c r="V572">
        <v>2.6063</v>
      </c>
      <c r="W572">
        <v>0.85</v>
      </c>
      <c r="X572">
        <v>1.05</v>
      </c>
      <c r="Y572">
        <v>-0.164425</v>
      </c>
      <c r="Z572">
        <v>0.09286898839137646</v>
      </c>
      <c r="AA572">
        <v>0.4074074074074074</v>
      </c>
      <c r="AB572">
        <v>0.9630225080385852</v>
      </c>
      <c r="AC572">
        <v>0.1543408360128617</v>
      </c>
      <c r="AD572">
        <v>0.3247588424437299</v>
      </c>
    </row>
    <row r="573" spans="1:30">
      <c r="A573" s="1" t="s">
        <v>580</v>
      </c>
      <c r="B573">
        <f>HYPERLINK("https://www.suredividend.com/sure-analysis-TJX/","The TJX Cos., Inc.")</f>
        <v>0</v>
      </c>
      <c r="C573">
        <v>57.51</v>
      </c>
      <c r="D573">
        <v>67704.1776</v>
      </c>
      <c r="E573" t="s">
        <v>669</v>
      </c>
      <c r="F573" t="s">
        <v>631</v>
      </c>
      <c r="G573" t="s">
        <v>671</v>
      </c>
      <c r="H573" t="s">
        <v>702</v>
      </c>
      <c r="I573" t="s">
        <v>1261</v>
      </c>
      <c r="J573" t="s">
        <v>1313</v>
      </c>
      <c r="K573">
        <v>44021</v>
      </c>
      <c r="L573">
        <v>0.012208067940552</v>
      </c>
      <c r="M573">
        <v>-0.03550590303752121</v>
      </c>
      <c r="N573">
        <v>0.059</v>
      </c>
      <c r="O573">
        <v>0.03474782665565113</v>
      </c>
      <c r="P573" t="s">
        <v>596</v>
      </c>
      <c r="Q573" t="s">
        <v>596</v>
      </c>
      <c r="R573">
        <v>0</v>
      </c>
      <c r="S573">
        <v>1.30188679245283</v>
      </c>
      <c r="T573">
        <v>48</v>
      </c>
      <c r="U573">
        <v>1.198125</v>
      </c>
      <c r="V573">
        <v>1.3926</v>
      </c>
      <c r="W573">
        <v>0.53</v>
      </c>
      <c r="X573">
        <v>0.6900000000000001</v>
      </c>
      <c r="Y573">
        <v>0.035868</v>
      </c>
      <c r="Z573">
        <v>0.1028192371475954</v>
      </c>
      <c r="AA573">
        <v>0.6747181964573269</v>
      </c>
      <c r="AB573">
        <v>0.5980707395498392</v>
      </c>
      <c r="AC573">
        <v>0.4268488745980707</v>
      </c>
      <c r="AD573">
        <v>0.3022508038585209</v>
      </c>
    </row>
    <row r="574" spans="1:30">
      <c r="A574" s="1" t="s">
        <v>581</v>
      </c>
      <c r="B574">
        <f>HYPERLINK("https://www.suredividend.com/sure-analysis-PBA/","Pembina Pipeline Corp.")</f>
        <v>0</v>
      </c>
      <c r="C574">
        <v>26.5</v>
      </c>
      <c r="D574">
        <v>14202.28971</v>
      </c>
      <c r="E574" t="s">
        <v>662</v>
      </c>
      <c r="F574" t="s">
        <v>631</v>
      </c>
      <c r="G574" t="s">
        <v>672</v>
      </c>
      <c r="H574" t="s">
        <v>702</v>
      </c>
      <c r="I574" t="s">
        <v>1262</v>
      </c>
      <c r="J574" t="s">
        <v>1317</v>
      </c>
      <c r="K574">
        <v>43976</v>
      </c>
      <c r="L574">
        <v>0.070924856253734</v>
      </c>
      <c r="M574">
        <v>-0.0849588827099127</v>
      </c>
      <c r="N574">
        <v>0.05</v>
      </c>
      <c r="O574">
        <v>0.03284101207448842</v>
      </c>
      <c r="P574" t="s">
        <v>596</v>
      </c>
      <c r="Q574" t="s">
        <v>381</v>
      </c>
      <c r="R574">
        <v>4</v>
      </c>
      <c r="S574">
        <v>1.221326024689307</v>
      </c>
      <c r="T574">
        <v>17</v>
      </c>
      <c r="U574">
        <v>1.558823529411765</v>
      </c>
      <c r="V574">
        <v>1.3126</v>
      </c>
      <c r="W574">
        <v>1.5</v>
      </c>
      <c r="X574">
        <v>1.83198903703396</v>
      </c>
      <c r="Y574">
        <v>-0.320596</v>
      </c>
      <c r="Z574">
        <v>0.8208955223880596</v>
      </c>
      <c r="AA574">
        <v>0.2173913043478261</v>
      </c>
      <c r="AB574">
        <v>0.5168810289389068</v>
      </c>
      <c r="AC574">
        <v>0.1559485530546624</v>
      </c>
      <c r="AD574">
        <v>0.2829581993569132</v>
      </c>
    </row>
    <row r="575" spans="1:30">
      <c r="A575" s="1" t="s">
        <v>582</v>
      </c>
      <c r="B575">
        <f>HYPERLINK("https://www.suredividend.com/sure-analysis-HA/","Hawaiian Holdings, Inc.")</f>
        <v>0</v>
      </c>
      <c r="C575">
        <v>13.88</v>
      </c>
      <c r="D575">
        <v>633.381444</v>
      </c>
      <c r="E575" t="s">
        <v>663</v>
      </c>
      <c r="F575" t="s">
        <v>631</v>
      </c>
      <c r="G575" t="s">
        <v>671</v>
      </c>
      <c r="H575" t="s">
        <v>701</v>
      </c>
      <c r="I575" t="s">
        <v>1263</v>
      </c>
      <c r="J575" t="s">
        <v>1315</v>
      </c>
      <c r="K575">
        <v>43959</v>
      </c>
      <c r="L575">
        <v>0.026143790849673</v>
      </c>
      <c r="M575">
        <v>0.01564131377896527</v>
      </c>
      <c r="N575">
        <v>0</v>
      </c>
      <c r="O575">
        <v>0.02754661199311959</v>
      </c>
      <c r="P575" t="s">
        <v>596</v>
      </c>
      <c r="Q575" t="s">
        <v>596</v>
      </c>
      <c r="R575">
        <v>0</v>
      </c>
      <c r="S575">
        <v>9.99</v>
      </c>
      <c r="T575">
        <v>15</v>
      </c>
      <c r="U575">
        <v>0.9253333333333333</v>
      </c>
      <c r="V575">
        <v>-2.6954</v>
      </c>
      <c r="W575">
        <v>-7.15</v>
      </c>
      <c r="X575">
        <v>0.36</v>
      </c>
      <c r="Y575">
        <v>-0.505263</v>
      </c>
      <c r="Z575">
        <v>0.3648424543946932</v>
      </c>
      <c r="AA575">
        <v>0.06280193236714976</v>
      </c>
      <c r="AB575">
        <v>0.04662379421221865</v>
      </c>
      <c r="AC575">
        <v>0.7443729903536977</v>
      </c>
      <c r="AD575">
        <v>0.2620578778135048</v>
      </c>
    </row>
    <row r="576" spans="1:30">
      <c r="A576" s="1" t="s">
        <v>583</v>
      </c>
      <c r="B576">
        <f>HYPERLINK("https://www.suredividend.com/sure-analysis-DAL/","Delta Air Lines, Inc.")</f>
        <v>0</v>
      </c>
      <c r="C576">
        <v>29.64</v>
      </c>
      <c r="D576">
        <v>18714.72438</v>
      </c>
      <c r="E576" t="s">
        <v>662</v>
      </c>
      <c r="F576" t="s">
        <v>631</v>
      </c>
      <c r="G576" t="s">
        <v>671</v>
      </c>
      <c r="H576" t="s">
        <v>702</v>
      </c>
      <c r="I576" t="s">
        <v>1264</v>
      </c>
      <c r="J576" t="s">
        <v>1315</v>
      </c>
      <c r="K576">
        <v>44045</v>
      </c>
      <c r="L576">
        <v>0.027436946148602</v>
      </c>
      <c r="M576">
        <v>-0.0334766247004491</v>
      </c>
      <c r="N576">
        <v>0.06</v>
      </c>
      <c r="O576">
        <v>0.02725614531106646</v>
      </c>
      <c r="P576" t="s">
        <v>596</v>
      </c>
      <c r="Q576" t="s">
        <v>596</v>
      </c>
      <c r="R576">
        <v>0</v>
      </c>
      <c r="S576">
        <v>9.99</v>
      </c>
      <c r="T576">
        <v>25</v>
      </c>
      <c r="U576">
        <v>1.1856</v>
      </c>
      <c r="V576">
        <v>-5.8154</v>
      </c>
      <c r="W576">
        <v>-9</v>
      </c>
      <c r="X576">
        <v>0.805</v>
      </c>
      <c r="Y576">
        <v>-0.547226</v>
      </c>
      <c r="Z576">
        <v>0.3897180762852405</v>
      </c>
      <c r="AA576">
        <v>0.05152979066022544</v>
      </c>
      <c r="AB576">
        <v>0.6430868167202572</v>
      </c>
      <c r="AC576">
        <v>0.4356913183279743</v>
      </c>
      <c r="AD576">
        <v>0.2604501607717042</v>
      </c>
    </row>
    <row r="577" spans="1:30">
      <c r="A577" s="1" t="s">
        <v>584</v>
      </c>
      <c r="B577">
        <f>HYPERLINK("https://www.suredividend.com/sure-analysis-EQNR/","Equinor ASA")</f>
        <v>0</v>
      </c>
      <c r="C577">
        <v>16.21</v>
      </c>
      <c r="D577">
        <v>52089.527416</v>
      </c>
      <c r="E577" t="s">
        <v>664</v>
      </c>
      <c r="F577" t="s">
        <v>631</v>
      </c>
      <c r="G577" t="s">
        <v>671</v>
      </c>
      <c r="H577" t="s">
        <v>702</v>
      </c>
      <c r="I577" t="s">
        <v>1265</v>
      </c>
      <c r="J577" t="s">
        <v>1317</v>
      </c>
      <c r="K577">
        <v>44038</v>
      </c>
      <c r="L577">
        <v>0.064935064935064</v>
      </c>
      <c r="M577">
        <v>-0.02888870783267317</v>
      </c>
      <c r="N577">
        <v>0.02</v>
      </c>
      <c r="O577">
        <v>0.0271849906387378</v>
      </c>
      <c r="P577" t="s">
        <v>596</v>
      </c>
      <c r="Q577" t="s">
        <v>420</v>
      </c>
      <c r="R577">
        <v>0</v>
      </c>
      <c r="S577">
        <v>3.181818181818182</v>
      </c>
      <c r="T577">
        <v>14</v>
      </c>
      <c r="U577">
        <v>1.157857142857143</v>
      </c>
      <c r="V577">
        <v>-0.6881</v>
      </c>
      <c r="W577">
        <v>0.33</v>
      </c>
      <c r="X577">
        <v>1.05</v>
      </c>
      <c r="Y577">
        <v>-0.06217</v>
      </c>
      <c r="Z577">
        <v>0.7827529021558872</v>
      </c>
      <c r="AA577">
        <v>0.5426731078904993</v>
      </c>
      <c r="AB577">
        <v>0.157556270096463</v>
      </c>
      <c r="AC577">
        <v>0.4774919614147909</v>
      </c>
      <c r="AD577">
        <v>0.2588424437299035</v>
      </c>
    </row>
    <row r="578" spans="1:30">
      <c r="A578" s="1" t="s">
        <v>585</v>
      </c>
      <c r="B578">
        <f>HYPERLINK("https://www.suredividend.com/sure-analysis-DX/","Dynex Capital, Inc.")</f>
        <v>0</v>
      </c>
      <c r="C578">
        <v>15.29</v>
      </c>
      <c r="D578">
        <v>360.530548</v>
      </c>
      <c r="E578" t="s">
        <v>666</v>
      </c>
      <c r="F578" t="s">
        <v>633</v>
      </c>
      <c r="G578" t="s">
        <v>671</v>
      </c>
      <c r="H578" t="s">
        <v>702</v>
      </c>
      <c r="I578" t="s">
        <v>1266</v>
      </c>
      <c r="J578" t="s">
        <v>1322</v>
      </c>
      <c r="K578">
        <v>44006</v>
      </c>
      <c r="L578">
        <v>0.116174582798459</v>
      </c>
      <c r="M578">
        <v>-0.121510651130558</v>
      </c>
      <c r="N578">
        <v>0.08500000000000001</v>
      </c>
      <c r="O578">
        <v>0.02612979118144731</v>
      </c>
      <c r="P578" t="s">
        <v>596</v>
      </c>
      <c r="Q578" t="s">
        <v>381</v>
      </c>
      <c r="R578">
        <v>0</v>
      </c>
      <c r="S578">
        <v>1.81</v>
      </c>
      <c r="T578">
        <v>8</v>
      </c>
      <c r="U578">
        <v>1.91125</v>
      </c>
      <c r="V578">
        <v>4.2868</v>
      </c>
      <c r="W578">
        <v>1</v>
      </c>
      <c r="X578">
        <v>1.81</v>
      </c>
      <c r="Y578">
        <v>-0.033396</v>
      </c>
      <c r="Z578">
        <v>0.9270315091210614</v>
      </c>
      <c r="AA578">
        <v>0.5877616747181965</v>
      </c>
      <c r="AB578">
        <v>0.8480707395498392</v>
      </c>
      <c r="AC578">
        <v>0.04983922829581994</v>
      </c>
      <c r="AD578">
        <v>0.2508038585209003</v>
      </c>
    </row>
    <row r="579" spans="1:30">
      <c r="A579" s="1" t="s">
        <v>586</v>
      </c>
      <c r="B579">
        <f>HYPERLINK("https://www.suredividend.com/sure-analysis-UFS/","Domtar Corp.")</f>
        <v>0</v>
      </c>
      <c r="C579">
        <v>28.69</v>
      </c>
      <c r="D579">
        <v>1548.704356</v>
      </c>
      <c r="E579" t="s">
        <v>659</v>
      </c>
      <c r="F579" t="s">
        <v>631</v>
      </c>
      <c r="G579" t="s">
        <v>671</v>
      </c>
      <c r="H579" t="s">
        <v>702</v>
      </c>
      <c r="I579" t="s">
        <v>1267</v>
      </c>
      <c r="J579" t="s">
        <v>1321</v>
      </c>
      <c r="K579">
        <v>44050</v>
      </c>
      <c r="L579">
        <v>0.048645759087669</v>
      </c>
      <c r="M579">
        <v>-0.004856990453102394</v>
      </c>
      <c r="N579">
        <v>0.03</v>
      </c>
      <c r="O579">
        <v>0.02499729983330456</v>
      </c>
      <c r="P579" t="s">
        <v>596</v>
      </c>
      <c r="Q579" t="s">
        <v>420</v>
      </c>
      <c r="R579">
        <v>0</v>
      </c>
      <c r="S579">
        <v>2.73</v>
      </c>
      <c r="T579">
        <v>28</v>
      </c>
      <c r="U579">
        <v>1.024642857142857</v>
      </c>
      <c r="V579">
        <v>0.1652</v>
      </c>
      <c r="W579">
        <v>0.5</v>
      </c>
      <c r="X579">
        <v>1.365</v>
      </c>
      <c r="Y579">
        <v>-0.228184</v>
      </c>
      <c r="Z579">
        <v>0.6766169154228855</v>
      </c>
      <c r="AA579">
        <v>0.3123993558776167</v>
      </c>
      <c r="AB579">
        <v>0.2540192926045016</v>
      </c>
      <c r="AC579">
        <v>0.6334405144694534</v>
      </c>
      <c r="AD579">
        <v>0.2427652733118971</v>
      </c>
    </row>
    <row r="580" spans="1:30">
      <c r="A580" s="1" t="s">
        <v>587</v>
      </c>
      <c r="B580">
        <f>HYPERLINK("https://www.suredividend.com/sure-analysis-KSS/","Kohl's Corp.")</f>
        <v>0</v>
      </c>
      <c r="C580">
        <v>23.24</v>
      </c>
      <c r="D580">
        <v>3604.29045</v>
      </c>
      <c r="E580" t="s">
        <v>663</v>
      </c>
      <c r="F580" t="s">
        <v>631</v>
      </c>
      <c r="G580" t="s">
        <v>671</v>
      </c>
      <c r="H580" t="s">
        <v>702</v>
      </c>
      <c r="I580" t="s">
        <v>1268</v>
      </c>
      <c r="J580" t="s">
        <v>1313</v>
      </c>
      <c r="K580">
        <v>43982</v>
      </c>
      <c r="L580">
        <v>0.118774617067833</v>
      </c>
      <c r="M580">
        <v>-0.0295821545036854</v>
      </c>
      <c r="N580">
        <v>0</v>
      </c>
      <c r="O580">
        <v>0.02364038097858145</v>
      </c>
      <c r="P580" t="s">
        <v>596</v>
      </c>
      <c r="Q580" t="s">
        <v>381</v>
      </c>
      <c r="R580">
        <v>0</v>
      </c>
      <c r="S580">
        <v>9.99</v>
      </c>
      <c r="T580">
        <v>20</v>
      </c>
      <c r="U580">
        <v>1.162</v>
      </c>
      <c r="V580">
        <v>0.512</v>
      </c>
      <c r="W580">
        <v>-3.5</v>
      </c>
      <c r="X580">
        <v>2.714</v>
      </c>
      <c r="Y580">
        <v>-0.560917</v>
      </c>
      <c r="Z580">
        <v>0.9286898839137645</v>
      </c>
      <c r="AA580">
        <v>0.04508856682769726</v>
      </c>
      <c r="AB580">
        <v>0.04662379421221865</v>
      </c>
      <c r="AC580">
        <v>0.4710610932475884</v>
      </c>
      <c r="AD580">
        <v>0.2363344051446945</v>
      </c>
    </row>
    <row r="581" spans="1:30">
      <c r="A581" s="1" t="s">
        <v>588</v>
      </c>
      <c r="B581">
        <f>HYPERLINK("https://www.suredividend.com/sure-analysis-SCHL/","Scholastic Corp.")</f>
        <v>0</v>
      </c>
      <c r="C581">
        <v>25.39</v>
      </c>
      <c r="D581">
        <v>855.021872</v>
      </c>
      <c r="E581" t="s">
        <v>659</v>
      </c>
      <c r="F581" t="s">
        <v>631</v>
      </c>
      <c r="G581" t="s">
        <v>671</v>
      </c>
      <c r="H581" t="s">
        <v>701</v>
      </c>
      <c r="I581" t="s">
        <v>1269</v>
      </c>
      <c r="J581" t="s">
        <v>1319</v>
      </c>
      <c r="K581">
        <v>44042</v>
      </c>
      <c r="L581">
        <v>0.023990403838464</v>
      </c>
      <c r="M581">
        <v>-0.04660370702279704</v>
      </c>
      <c r="N581">
        <v>0.05</v>
      </c>
      <c r="O581">
        <v>0.02356284460442715</v>
      </c>
      <c r="P581" t="s">
        <v>596</v>
      </c>
      <c r="Q581" t="s">
        <v>596</v>
      </c>
      <c r="R581">
        <v>0</v>
      </c>
      <c r="S581">
        <v>1.714285714285715</v>
      </c>
      <c r="T581">
        <v>20</v>
      </c>
      <c r="U581">
        <v>1.2695</v>
      </c>
      <c r="V581">
        <v>-1.2736</v>
      </c>
      <c r="W581">
        <v>0.35</v>
      </c>
      <c r="X581">
        <v>0.6000000000000001</v>
      </c>
      <c r="Y581">
        <v>-0.289375</v>
      </c>
      <c r="Z581">
        <v>0.3316749585406302</v>
      </c>
      <c r="AA581">
        <v>0.249597423510467</v>
      </c>
      <c r="AB581">
        <v>0.5168810289389068</v>
      </c>
      <c r="AC581">
        <v>0.3536977491961414</v>
      </c>
      <c r="AD581">
        <v>0.2315112540192926</v>
      </c>
    </row>
    <row r="582" spans="1:30">
      <c r="A582" s="1" t="s">
        <v>589</v>
      </c>
      <c r="B582">
        <f>HYPERLINK("https://www.suredividend.com/sure-analysis-CCL/","Carnival Corp.")</f>
        <v>0</v>
      </c>
      <c r="C582">
        <v>15.82</v>
      </c>
      <c r="D582">
        <v>9274.236720000001</v>
      </c>
      <c r="E582" t="s">
        <v>663</v>
      </c>
      <c r="F582" t="s">
        <v>631</v>
      </c>
      <c r="G582" t="s">
        <v>671</v>
      </c>
      <c r="H582" t="s">
        <v>702</v>
      </c>
      <c r="I582" t="s">
        <v>1270</v>
      </c>
      <c r="J582" t="s">
        <v>1313</v>
      </c>
      <c r="K582">
        <v>44017</v>
      </c>
      <c r="L582">
        <v>0.09715025906735701</v>
      </c>
      <c r="M582">
        <v>-0.05377383410961112</v>
      </c>
      <c r="N582">
        <v>0.04</v>
      </c>
      <c r="O582">
        <v>0.02155186870573123</v>
      </c>
      <c r="P582" t="s">
        <v>596</v>
      </c>
      <c r="Q582" t="s">
        <v>420</v>
      </c>
      <c r="R582">
        <v>0</v>
      </c>
      <c r="S582">
        <v>9.99</v>
      </c>
      <c r="T582">
        <v>12</v>
      </c>
      <c r="U582">
        <v>1.318333333333333</v>
      </c>
      <c r="V582">
        <v>-4.0083</v>
      </c>
      <c r="W582">
        <v>-6</v>
      </c>
      <c r="X582">
        <v>1.5</v>
      </c>
      <c r="Y582">
        <v>-0.6938639999999999</v>
      </c>
      <c r="Z582">
        <v>0.8872305140961858</v>
      </c>
      <c r="AA582">
        <v>0.01610305958132045</v>
      </c>
      <c r="AB582">
        <v>0.3858520900321543</v>
      </c>
      <c r="AC582">
        <v>0.3006430868167203</v>
      </c>
      <c r="AD582">
        <v>0.22508038585209</v>
      </c>
    </row>
    <row r="583" spans="1:30">
      <c r="A583" s="1" t="s">
        <v>590</v>
      </c>
      <c r="B583">
        <f>HYPERLINK("https://www.suredividend.com/sure-analysis-CPTA/","Capitala Finance Corp.")</f>
        <v>0</v>
      </c>
      <c r="C583">
        <v>2.115</v>
      </c>
      <c r="D583">
        <v>35.623635</v>
      </c>
      <c r="E583" t="s">
        <v>663</v>
      </c>
      <c r="F583" t="s">
        <v>631</v>
      </c>
      <c r="G583" t="s">
        <v>671</v>
      </c>
      <c r="H583" t="s">
        <v>701</v>
      </c>
      <c r="I583" t="s">
        <v>1271</v>
      </c>
      <c r="J583" t="s">
        <v>1312</v>
      </c>
      <c r="K583">
        <v>44054</v>
      </c>
      <c r="L583">
        <v>0.304292237442922</v>
      </c>
      <c r="M583">
        <v>-0.05428141841052492</v>
      </c>
      <c r="N583">
        <v>0</v>
      </c>
      <c r="O583">
        <v>0.02129568760013512</v>
      </c>
      <c r="P583" t="s">
        <v>596</v>
      </c>
      <c r="Q583" t="s">
        <v>381</v>
      </c>
      <c r="R583">
        <v>0</v>
      </c>
      <c r="S583">
        <v>13.328</v>
      </c>
      <c r="T583">
        <v>1.6</v>
      </c>
      <c r="U583">
        <v>1.321875</v>
      </c>
      <c r="V583">
        <v>-2.3237</v>
      </c>
      <c r="W583">
        <v>0.05</v>
      </c>
      <c r="X583">
        <v>0.6664</v>
      </c>
      <c r="Y583">
        <v>-0.733092</v>
      </c>
      <c r="Z583">
        <v>0.9966832504145937</v>
      </c>
      <c r="AA583">
        <v>0.00644122383252818</v>
      </c>
      <c r="AB583">
        <v>0.04662379421221865</v>
      </c>
      <c r="AC583">
        <v>0.2958199356913183</v>
      </c>
      <c r="AD583">
        <v>0.2234726688102894</v>
      </c>
    </row>
    <row r="584" spans="1:30">
      <c r="A584" s="1" t="s">
        <v>591</v>
      </c>
      <c r="B584">
        <f>HYPERLINK("https://www.suredividend.com/sure-analysis-CLDT/","Chatham Lodging Trust")</f>
        <v>0</v>
      </c>
      <c r="C584">
        <v>7.04</v>
      </c>
      <c r="D584">
        <v>325.454283</v>
      </c>
      <c r="E584" t="s">
        <v>667</v>
      </c>
      <c r="F584" t="s">
        <v>633</v>
      </c>
      <c r="G584" t="s">
        <v>671</v>
      </c>
      <c r="H584" t="s">
        <v>702</v>
      </c>
      <c r="I584" t="s">
        <v>1272</v>
      </c>
      <c r="J584" t="s">
        <v>1322</v>
      </c>
      <c r="K584">
        <v>44000</v>
      </c>
      <c r="L584">
        <v>0.111111111111111</v>
      </c>
      <c r="M584">
        <v>-0.1160205124012479</v>
      </c>
      <c r="N584">
        <v>0.1</v>
      </c>
      <c r="O584">
        <v>0.02122311143782141</v>
      </c>
      <c r="P584" t="s">
        <v>596</v>
      </c>
      <c r="Q584" t="s">
        <v>381</v>
      </c>
      <c r="R584">
        <v>0</v>
      </c>
      <c r="S584">
        <v>1.878048780487805</v>
      </c>
      <c r="T584">
        <v>3.8</v>
      </c>
      <c r="U584">
        <v>1.852631578947368</v>
      </c>
      <c r="V584">
        <v>-1.0032</v>
      </c>
      <c r="W584">
        <v>0.41</v>
      </c>
      <c r="X584">
        <v>0.77</v>
      </c>
      <c r="Y584">
        <v>-0.6172059999999999</v>
      </c>
      <c r="Z584">
        <v>0.9220563847429518</v>
      </c>
      <c r="AA584">
        <v>0.02737520128824477</v>
      </c>
      <c r="AB584">
        <v>0.907556270096463</v>
      </c>
      <c r="AC584">
        <v>0.06270096463022508</v>
      </c>
      <c r="AD584">
        <v>0.2218649517684887</v>
      </c>
    </row>
    <row r="585" spans="1:30">
      <c r="A585" s="1" t="s">
        <v>592</v>
      </c>
      <c r="B585">
        <f>HYPERLINK("https://www.suredividend.com/sure-analysis-CAJ/","Canon, Inc.")</f>
        <v>0</v>
      </c>
      <c r="C585">
        <v>17.33</v>
      </c>
      <c r="D585">
        <v>17997.745121</v>
      </c>
      <c r="E585" t="s">
        <v>659</v>
      </c>
      <c r="F585" t="s">
        <v>631</v>
      </c>
      <c r="G585" t="s">
        <v>692</v>
      </c>
      <c r="H585" t="s">
        <v>702</v>
      </c>
      <c r="I585" t="s">
        <v>1273</v>
      </c>
      <c r="J585" t="s">
        <v>1318</v>
      </c>
      <c r="K585">
        <v>44047</v>
      </c>
      <c r="L585">
        <v>0.06521789657176001</v>
      </c>
      <c r="M585">
        <v>-0.04177853635685291</v>
      </c>
      <c r="N585">
        <v>0.02</v>
      </c>
      <c r="O585">
        <v>0.02078149455519229</v>
      </c>
      <c r="P585" t="s">
        <v>596</v>
      </c>
      <c r="Q585" t="s">
        <v>420</v>
      </c>
      <c r="R585">
        <v>0</v>
      </c>
      <c r="S585">
        <v>1.870666666666667</v>
      </c>
      <c r="T585">
        <v>14</v>
      </c>
      <c r="U585">
        <v>1.237857142857143</v>
      </c>
      <c r="V585">
        <v>0.6268</v>
      </c>
      <c r="W585">
        <v>0.6</v>
      </c>
      <c r="X585">
        <v>1.1224</v>
      </c>
      <c r="Y585">
        <v>-0.366124</v>
      </c>
      <c r="Z585">
        <v>0.7844112769485904</v>
      </c>
      <c r="AA585">
        <v>0.1642512077294686</v>
      </c>
      <c r="AB585">
        <v>0.157556270096463</v>
      </c>
      <c r="AC585">
        <v>0.3906752411575563</v>
      </c>
      <c r="AD585">
        <v>0.2186495176848874</v>
      </c>
    </row>
    <row r="586" spans="1:30">
      <c r="A586" s="1" t="s">
        <v>593</v>
      </c>
      <c r="B586">
        <f>HYPERLINK("https://www.suredividend.com/sure-analysis-CBRL/","Cracker Barrel Old Country Store, Inc.")</f>
        <v>0</v>
      </c>
      <c r="C586">
        <v>120.7</v>
      </c>
      <c r="D586">
        <v>2797.31364</v>
      </c>
      <c r="E586" t="s">
        <v>666</v>
      </c>
      <c r="F586" t="s">
        <v>631</v>
      </c>
      <c r="G586" t="s">
        <v>671</v>
      </c>
      <c r="H586" t="s">
        <v>701</v>
      </c>
      <c r="I586" t="s">
        <v>1274</v>
      </c>
      <c r="J586" t="s">
        <v>1313</v>
      </c>
      <c r="K586">
        <v>44019</v>
      </c>
      <c r="L586">
        <v>0.04404540064374</v>
      </c>
      <c r="M586">
        <v>-0.05701008552529108</v>
      </c>
      <c r="N586">
        <v>0.031</v>
      </c>
      <c r="O586">
        <v>0.01989864173128719</v>
      </c>
      <c r="P586" t="s">
        <v>596</v>
      </c>
      <c r="Q586" t="s">
        <v>420</v>
      </c>
      <c r="R586">
        <v>17</v>
      </c>
      <c r="S586">
        <v>2.937853107344633</v>
      </c>
      <c r="T586">
        <v>90</v>
      </c>
      <c r="U586">
        <v>1.341111111111111</v>
      </c>
      <c r="V586">
        <v>0.2462</v>
      </c>
      <c r="W586">
        <v>1.77</v>
      </c>
      <c r="X586">
        <v>5.2</v>
      </c>
      <c r="Y586">
        <v>-0.314894</v>
      </c>
      <c r="Z586">
        <v>0.6268656716417911</v>
      </c>
      <c r="AA586">
        <v>0.2222222222222222</v>
      </c>
      <c r="AB586">
        <v>0.3030546623794212</v>
      </c>
      <c r="AC586">
        <v>0.2813504823151126</v>
      </c>
      <c r="AD586">
        <v>0.2154340836012862</v>
      </c>
    </row>
    <row r="587" spans="1:30">
      <c r="A587" s="1" t="s">
        <v>594</v>
      </c>
      <c r="B587">
        <f>HYPERLINK("https://www.suredividend.com/sure-analysis-JWN/","Nordstrom, Inc.")</f>
        <v>0</v>
      </c>
      <c r="C587">
        <v>16.89</v>
      </c>
      <c r="D587">
        <v>2653.8577</v>
      </c>
      <c r="E587" t="s">
        <v>663</v>
      </c>
      <c r="F587" t="s">
        <v>631</v>
      </c>
      <c r="G587" t="s">
        <v>671</v>
      </c>
      <c r="H587" t="s">
        <v>702</v>
      </c>
      <c r="I587" t="s">
        <v>1275</v>
      </c>
      <c r="J587" t="s">
        <v>1313</v>
      </c>
      <c r="K587">
        <v>43990</v>
      </c>
      <c r="L587">
        <v>0.08757396449704101</v>
      </c>
      <c r="M587">
        <v>-0.03683725182300279</v>
      </c>
      <c r="N587">
        <v>0.03</v>
      </c>
      <c r="O587">
        <v>0.0194733982113291</v>
      </c>
      <c r="P587" t="s">
        <v>596</v>
      </c>
      <c r="Q587" t="s">
        <v>420</v>
      </c>
      <c r="R587">
        <v>0</v>
      </c>
      <c r="S587">
        <v>9.99</v>
      </c>
      <c r="T587">
        <v>14</v>
      </c>
      <c r="U587">
        <v>1.206428571428571</v>
      </c>
      <c r="V587">
        <v>-0.3685</v>
      </c>
      <c r="W587">
        <v>-2.85</v>
      </c>
      <c r="X587">
        <v>1.48</v>
      </c>
      <c r="Y587">
        <v>-0.468968</v>
      </c>
      <c r="Z587">
        <v>0.8739635157545605</v>
      </c>
      <c r="AA587">
        <v>0.08534621578099839</v>
      </c>
      <c r="AB587">
        <v>0.2540192926045016</v>
      </c>
      <c r="AC587">
        <v>0.4180064308681672</v>
      </c>
      <c r="AD587">
        <v>0.2122186495176849</v>
      </c>
    </row>
    <row r="588" spans="1:30">
      <c r="A588" s="1" t="s">
        <v>595</v>
      </c>
      <c r="B588">
        <f>HYPERLINK("https://www.suredividend.com/sure-analysis-WELL/","Welltower, Inc.")</f>
        <v>0</v>
      </c>
      <c r="C588">
        <v>56.63</v>
      </c>
      <c r="D588">
        <v>23969.76944</v>
      </c>
      <c r="E588" t="s">
        <v>669</v>
      </c>
      <c r="F588" t="s">
        <v>633</v>
      </c>
      <c r="G588" t="s">
        <v>671</v>
      </c>
      <c r="H588" t="s">
        <v>702</v>
      </c>
      <c r="I588" t="s">
        <v>1276</v>
      </c>
      <c r="J588" t="s">
        <v>1322</v>
      </c>
      <c r="K588">
        <v>43993</v>
      </c>
      <c r="L588">
        <v>0.05605849582172701</v>
      </c>
      <c r="M588">
        <v>-0.04921740494341331</v>
      </c>
      <c r="N588">
        <v>0.02</v>
      </c>
      <c r="O588">
        <v>0.01844692586723706</v>
      </c>
      <c r="P588" t="s">
        <v>596</v>
      </c>
      <c r="Q588" t="s">
        <v>420</v>
      </c>
      <c r="R588">
        <v>0</v>
      </c>
      <c r="S588">
        <v>1.106529209621993</v>
      </c>
      <c r="T588">
        <v>44</v>
      </c>
      <c r="U588">
        <v>1.287045454545455</v>
      </c>
      <c r="V588">
        <v>0.743</v>
      </c>
      <c r="W588">
        <v>2.91</v>
      </c>
      <c r="X588">
        <v>3.22</v>
      </c>
      <c r="Y588">
        <v>-0.349562</v>
      </c>
      <c r="Z588">
        <v>0.7263681592039801</v>
      </c>
      <c r="AA588">
        <v>0.178743961352657</v>
      </c>
      <c r="AB588">
        <v>0.157556270096463</v>
      </c>
      <c r="AC588">
        <v>0.3344051446945338</v>
      </c>
      <c r="AD588">
        <v>0.2057877813504823</v>
      </c>
    </row>
    <row r="589" spans="1:30">
      <c r="A589" s="1" t="s">
        <v>596</v>
      </c>
      <c r="B589">
        <f>HYPERLINK("https://www.suredividend.com/sure-analysis-F/","Ford Motor Co.")</f>
        <v>0</v>
      </c>
      <c r="C589">
        <v>7.23</v>
      </c>
      <c r="D589">
        <v>28206.799819</v>
      </c>
      <c r="E589" t="s">
        <v>663</v>
      </c>
      <c r="F589" t="s">
        <v>631</v>
      </c>
      <c r="G589" t="s">
        <v>671</v>
      </c>
      <c r="H589" t="s">
        <v>702</v>
      </c>
      <c r="I589" t="s">
        <v>1277</v>
      </c>
      <c r="J589" t="s">
        <v>1313</v>
      </c>
      <c r="K589">
        <v>44043</v>
      </c>
      <c r="L589">
        <v>0.04231311706629001</v>
      </c>
      <c r="M589">
        <v>-0.0382200179121025</v>
      </c>
      <c r="N589">
        <v>0.02</v>
      </c>
      <c r="O589">
        <v>0.01837912576352108</v>
      </c>
      <c r="P589" t="s">
        <v>596</v>
      </c>
      <c r="Q589" t="s">
        <v>420</v>
      </c>
      <c r="R589">
        <v>0</v>
      </c>
      <c r="S589">
        <v>9.99</v>
      </c>
      <c r="T589">
        <v>5.95</v>
      </c>
      <c r="U589">
        <v>1.215126050420168</v>
      </c>
      <c r="V589">
        <v>-0.5226000000000001</v>
      </c>
      <c r="W589">
        <v>-0.75</v>
      </c>
      <c r="X589">
        <v>0.3</v>
      </c>
      <c r="Y589">
        <v>-0.282427</v>
      </c>
      <c r="Z589">
        <v>0.6102819237147595</v>
      </c>
      <c r="AA589">
        <v>0.2592592592592593</v>
      </c>
      <c r="AB589">
        <v>0.157556270096463</v>
      </c>
      <c r="AC589">
        <v>0.409967845659164</v>
      </c>
      <c r="AD589">
        <v>0.2041800643086817</v>
      </c>
    </row>
    <row r="590" spans="1:30">
      <c r="A590" s="1" t="s">
        <v>597</v>
      </c>
      <c r="B590">
        <f>HYPERLINK("https://www.suredividend.com/sure-analysis-ABB/","ABB Ltd.")</f>
        <v>0</v>
      </c>
      <c r="C590">
        <v>25.97</v>
      </c>
      <c r="D590">
        <v>55627.060906</v>
      </c>
      <c r="E590" t="s">
        <v>662</v>
      </c>
      <c r="F590" t="s">
        <v>631</v>
      </c>
      <c r="G590" t="s">
        <v>675</v>
      </c>
      <c r="H590" t="s">
        <v>702</v>
      </c>
      <c r="I590" t="s">
        <v>1278</v>
      </c>
      <c r="J590" t="s">
        <v>1315</v>
      </c>
      <c r="K590">
        <v>43950</v>
      </c>
      <c r="L590">
        <v>0.031665387567152</v>
      </c>
      <c r="M590">
        <v>-0.06058750957227277</v>
      </c>
      <c r="N590">
        <v>0.05</v>
      </c>
      <c r="O590">
        <v>0.01674610252188224</v>
      </c>
      <c r="P590" t="s">
        <v>596</v>
      </c>
      <c r="Q590" t="s">
        <v>596</v>
      </c>
      <c r="R590">
        <v>0</v>
      </c>
      <c r="S590">
        <v>2.063</v>
      </c>
      <c r="T590">
        <v>19</v>
      </c>
      <c r="U590">
        <v>1.366842105263158</v>
      </c>
      <c r="V590">
        <v>0.7205</v>
      </c>
      <c r="W590">
        <v>0.4</v>
      </c>
      <c r="X590">
        <v>0.8252</v>
      </c>
      <c r="Y590">
        <v>0.4526</v>
      </c>
      <c r="Z590">
        <v>0.4494195688225539</v>
      </c>
      <c r="AA590">
        <v>0.9436392914653784</v>
      </c>
      <c r="AB590">
        <v>0.5168810289389068</v>
      </c>
      <c r="AC590">
        <v>0.2604501607717042</v>
      </c>
      <c r="AD590">
        <v>0.1913183279742765</v>
      </c>
    </row>
    <row r="591" spans="1:30">
      <c r="A591" s="1" t="s">
        <v>598</v>
      </c>
      <c r="B591">
        <f>HYPERLINK("https://www.suredividend.com/sure-analysis-TM/","Toyota Motor Corp.")</f>
        <v>0</v>
      </c>
      <c r="C591">
        <v>133.75</v>
      </c>
      <c r="D591">
        <v>180588.431786</v>
      </c>
      <c r="E591" t="s">
        <v>659</v>
      </c>
      <c r="F591" t="s">
        <v>631</v>
      </c>
      <c r="G591" t="s">
        <v>692</v>
      </c>
      <c r="H591" t="s">
        <v>702</v>
      </c>
      <c r="I591" t="s">
        <v>1279</v>
      </c>
      <c r="J591" t="s">
        <v>1313</v>
      </c>
      <c r="K591">
        <v>43974</v>
      </c>
      <c r="L591">
        <v>0.031056138469786</v>
      </c>
      <c r="M591">
        <v>-0.05275727998132906</v>
      </c>
      <c r="N591">
        <v>0.04</v>
      </c>
      <c r="O591">
        <v>0.01508713869871725</v>
      </c>
      <c r="P591" t="s">
        <v>596</v>
      </c>
      <c r="Q591" t="s">
        <v>596</v>
      </c>
      <c r="R591">
        <v>0</v>
      </c>
      <c r="S591">
        <v>1.351666666666667</v>
      </c>
      <c r="T591">
        <v>102</v>
      </c>
      <c r="U591">
        <v>1.311274509803922</v>
      </c>
      <c r="V591">
        <v>10.1967</v>
      </c>
      <c r="W591">
        <v>3</v>
      </c>
      <c r="X591">
        <v>4.055</v>
      </c>
      <c r="Y591">
        <v>0.004716</v>
      </c>
      <c r="Z591">
        <v>0.4427860696517413</v>
      </c>
      <c r="AA591">
        <v>0.6409017713365539</v>
      </c>
      <c r="AB591">
        <v>0.3858520900321543</v>
      </c>
      <c r="AC591">
        <v>0.3038585209003216</v>
      </c>
      <c r="AD591">
        <v>0.184887459807074</v>
      </c>
    </row>
    <row r="592" spans="1:30">
      <c r="A592" s="1" t="s">
        <v>599</v>
      </c>
      <c r="B592">
        <f>HYPERLINK("https://www.suredividend.com/sure-analysis-AAL/","American Airlines Group, Inc.")</f>
        <v>0</v>
      </c>
      <c r="C592">
        <v>13.725</v>
      </c>
      <c r="D592">
        <v>7119.854</v>
      </c>
      <c r="E592" t="s">
        <v>661</v>
      </c>
      <c r="F592" t="s">
        <v>631</v>
      </c>
      <c r="G592" t="s">
        <v>671</v>
      </c>
      <c r="H592" t="s">
        <v>701</v>
      </c>
      <c r="I592" t="s">
        <v>1280</v>
      </c>
      <c r="J592" t="s">
        <v>1315</v>
      </c>
      <c r="K592">
        <v>44042</v>
      </c>
      <c r="L592">
        <v>0.014285714285714</v>
      </c>
      <c r="M592">
        <v>0.003975550060806743</v>
      </c>
      <c r="N592">
        <v>0</v>
      </c>
      <c r="O592">
        <v>0.003975550060806743</v>
      </c>
      <c r="P592" t="s">
        <v>596</v>
      </c>
      <c r="Q592" t="s">
        <v>596</v>
      </c>
      <c r="R592">
        <v>0</v>
      </c>
      <c r="S592">
        <v>9.99</v>
      </c>
      <c r="T592">
        <v>14</v>
      </c>
      <c r="U592">
        <v>0.9803571428571428</v>
      </c>
      <c r="V592">
        <v>-8.1701</v>
      </c>
      <c r="W592">
        <v>-15</v>
      </c>
      <c r="X592">
        <v>0.2</v>
      </c>
      <c r="Y592">
        <v>-0.5063</v>
      </c>
      <c r="Z592">
        <v>0.1409618573797678</v>
      </c>
      <c r="AA592">
        <v>0.06119162640901771</v>
      </c>
      <c r="AB592">
        <v>0.04662379421221865</v>
      </c>
      <c r="AC592">
        <v>0.6768488745980707</v>
      </c>
      <c r="AD592">
        <v>0.1463022508038585</v>
      </c>
    </row>
    <row r="593" spans="1:30">
      <c r="A593" s="1" t="s">
        <v>600</v>
      </c>
      <c r="B593">
        <f>HYPERLINK("https://www.suredividend.com/sure-analysis-GLPI/","Gaming &amp; Leisure Properties, Inc.")</f>
        <v>0</v>
      </c>
      <c r="C593">
        <v>39.18</v>
      </c>
      <c r="D593">
        <v>8560.718999999999</v>
      </c>
      <c r="E593" t="s">
        <v>666</v>
      </c>
      <c r="F593" t="s">
        <v>633</v>
      </c>
      <c r="G593" t="s">
        <v>671</v>
      </c>
      <c r="H593" t="s">
        <v>701</v>
      </c>
      <c r="I593" t="s">
        <v>1281</v>
      </c>
      <c r="J593" t="s">
        <v>1322</v>
      </c>
      <c r="K593">
        <v>43978</v>
      </c>
      <c r="L593">
        <v>0.068193384223918</v>
      </c>
      <c r="M593">
        <v>-0.1537924459353841</v>
      </c>
      <c r="N593">
        <v>0.129</v>
      </c>
      <c r="O593">
        <v>0.001791112727432376</v>
      </c>
      <c r="P593" t="s">
        <v>596</v>
      </c>
      <c r="Q593" t="s">
        <v>420</v>
      </c>
      <c r="R593">
        <v>0</v>
      </c>
      <c r="S593">
        <v>1.786666666666667</v>
      </c>
      <c r="T593">
        <v>17</v>
      </c>
      <c r="U593">
        <v>2.304705882352941</v>
      </c>
      <c r="V593">
        <v>1.9245</v>
      </c>
      <c r="W593">
        <v>1.5</v>
      </c>
      <c r="X593">
        <v>2.68</v>
      </c>
      <c r="Y593">
        <v>0.028571</v>
      </c>
      <c r="Z593">
        <v>0.8009950248756219</v>
      </c>
      <c r="AA593">
        <v>0.6698872785829307</v>
      </c>
      <c r="AB593">
        <v>0.9581993569131833</v>
      </c>
      <c r="AC593">
        <v>0.01768488745980707</v>
      </c>
      <c r="AD593">
        <v>0.1382636655948553</v>
      </c>
    </row>
    <row r="594" spans="1:30">
      <c r="A594" s="1" t="s">
        <v>601</v>
      </c>
      <c r="B594">
        <f>HYPERLINK("https://www.suredividend.com/sure-analysis-DOW/","Dow, Inc.")</f>
        <v>0</v>
      </c>
      <c r="C594">
        <v>44.5</v>
      </c>
      <c r="D594">
        <v>33202.2208</v>
      </c>
      <c r="E594" t="s">
        <v>663</v>
      </c>
      <c r="F594" t="s">
        <v>631</v>
      </c>
      <c r="G594" t="s">
        <v>671</v>
      </c>
      <c r="H594" t="s">
        <v>702</v>
      </c>
      <c r="I594" t="s">
        <v>1282</v>
      </c>
      <c r="J594" t="s">
        <v>1321</v>
      </c>
      <c r="K594">
        <v>44046</v>
      </c>
      <c r="L594">
        <v>0.0625</v>
      </c>
      <c r="M594">
        <v>-0.08849384820738526</v>
      </c>
      <c r="N594">
        <v>0.03</v>
      </c>
      <c r="O594">
        <v>2.477835531067285e-05</v>
      </c>
      <c r="P594" t="s">
        <v>596</v>
      </c>
      <c r="Q594" t="s">
        <v>420</v>
      </c>
      <c r="R594">
        <v>0</v>
      </c>
      <c r="S594">
        <v>3.733333333333333</v>
      </c>
      <c r="T594">
        <v>28</v>
      </c>
      <c r="U594">
        <v>1.589285714285714</v>
      </c>
      <c r="V594">
        <v>-2.6805</v>
      </c>
      <c r="W594">
        <v>0.75</v>
      </c>
      <c r="X594">
        <v>2.8</v>
      </c>
      <c r="Y594">
        <v>-0.088908</v>
      </c>
      <c r="Z594">
        <v>0.769485903814262</v>
      </c>
      <c r="AA594">
        <v>0.5056360708534622</v>
      </c>
      <c r="AB594">
        <v>0.2540192926045016</v>
      </c>
      <c r="AC594">
        <v>0.1382636655948553</v>
      </c>
      <c r="AD594">
        <v>0.1318327974276527</v>
      </c>
    </row>
    <row r="595" spans="1:30">
      <c r="A595" s="1" t="s">
        <v>602</v>
      </c>
      <c r="B595">
        <f>HYPERLINK("https://www.suredividend.com/sure-analysis-VOD/","Vodafone Group Plc")</f>
        <v>0</v>
      </c>
      <c r="C595">
        <v>15.485</v>
      </c>
      <c r="D595">
        <v>41577.665</v>
      </c>
      <c r="E595" t="s">
        <v>663</v>
      </c>
      <c r="F595" t="s">
        <v>631</v>
      </c>
      <c r="G595" t="s">
        <v>676</v>
      </c>
      <c r="H595" t="s">
        <v>701</v>
      </c>
      <c r="I595" t="s">
        <v>1283</v>
      </c>
      <c r="J595" t="s">
        <v>1319</v>
      </c>
      <c r="K595">
        <v>43964</v>
      </c>
      <c r="L595">
        <v>0.06459722580645101</v>
      </c>
      <c r="M595">
        <v>-0.1028475242163552</v>
      </c>
      <c r="N595">
        <v>0.02</v>
      </c>
      <c r="O595">
        <v>-0.009856896122221959</v>
      </c>
      <c r="P595" t="s">
        <v>596</v>
      </c>
      <c r="Q595" t="s">
        <v>381</v>
      </c>
      <c r="R595">
        <v>0</v>
      </c>
      <c r="S595">
        <v>1.206333734939759</v>
      </c>
      <c r="T595">
        <v>9</v>
      </c>
      <c r="U595">
        <v>1.720555555555555</v>
      </c>
      <c r="V595">
        <v>-0.3902</v>
      </c>
      <c r="W595">
        <v>0.83</v>
      </c>
      <c r="X595">
        <v>1.001257</v>
      </c>
      <c r="Y595">
        <v>-0.153297</v>
      </c>
      <c r="Z595">
        <v>0.7794361525704809</v>
      </c>
      <c r="AA595">
        <v>0.4186795491143318</v>
      </c>
      <c r="AB595">
        <v>0.157556270096463</v>
      </c>
      <c r="AC595">
        <v>0.1045016077170418</v>
      </c>
      <c r="AD595">
        <v>0.1012861736334405</v>
      </c>
    </row>
    <row r="596" spans="1:30">
      <c r="A596" s="1" t="s">
        <v>603</v>
      </c>
      <c r="B596">
        <f>HYPERLINK("https://www.suredividend.com/sure-analysis-PTEN/","Patterson-UTI Energy, Inc.")</f>
        <v>0</v>
      </c>
      <c r="C596">
        <v>4.485</v>
      </c>
      <c r="D596">
        <v>824.5864</v>
      </c>
      <c r="E596" t="s">
        <v>662</v>
      </c>
      <c r="F596" t="s">
        <v>631</v>
      </c>
      <c r="G596" t="s">
        <v>671</v>
      </c>
      <c r="H596" t="s">
        <v>701</v>
      </c>
      <c r="I596" t="s">
        <v>1284</v>
      </c>
      <c r="J596" t="s">
        <v>1317</v>
      </c>
      <c r="K596">
        <v>43957</v>
      </c>
      <c r="L596">
        <v>0.031818181818181</v>
      </c>
      <c r="M596">
        <v>0.1053348281152244</v>
      </c>
      <c r="N596">
        <v>-0.14</v>
      </c>
      <c r="O596">
        <v>-0.02660098280406897</v>
      </c>
      <c r="P596" t="s">
        <v>596</v>
      </c>
      <c r="Q596" t="s">
        <v>596</v>
      </c>
      <c r="R596">
        <v>0</v>
      </c>
      <c r="S596">
        <v>9.99</v>
      </c>
      <c r="T596">
        <v>7.4</v>
      </c>
      <c r="U596">
        <v>0.6060810810810811</v>
      </c>
      <c r="V596">
        <v>-4.842</v>
      </c>
      <c r="W596">
        <v>-2.4</v>
      </c>
      <c r="X596">
        <v>0.14</v>
      </c>
      <c r="Y596">
        <v>-0.5774359999999999</v>
      </c>
      <c r="Z596">
        <v>0.451077943615257</v>
      </c>
      <c r="AA596">
        <v>0.04025764895330113</v>
      </c>
      <c r="AB596">
        <v>0.001607717041800643</v>
      </c>
      <c r="AC596">
        <v>0.9903536977491961</v>
      </c>
      <c r="AD596">
        <v>0.06752411575562701</v>
      </c>
    </row>
    <row r="597" spans="1:30">
      <c r="A597" s="1" t="s">
        <v>604</v>
      </c>
      <c r="B597">
        <f>HYPERLINK("https://www.suredividend.com/sure-analysis-MGM/","MGM Resorts International")</f>
        <v>0</v>
      </c>
      <c r="C597">
        <v>21.5</v>
      </c>
      <c r="D597">
        <v>10679.53365</v>
      </c>
      <c r="E597" t="s">
        <v>662</v>
      </c>
      <c r="F597" t="s">
        <v>631</v>
      </c>
      <c r="G597" t="s">
        <v>671</v>
      </c>
      <c r="H597" t="s">
        <v>702</v>
      </c>
      <c r="I597" t="s">
        <v>1285</v>
      </c>
      <c r="J597" t="s">
        <v>1313</v>
      </c>
      <c r="K597">
        <v>43962</v>
      </c>
      <c r="L597">
        <v>0.019053117782909</v>
      </c>
      <c r="M597">
        <v>-0.1100849382703697</v>
      </c>
      <c r="N597">
        <v>0.05</v>
      </c>
      <c r="O597">
        <v>-0.06132813145698546</v>
      </c>
      <c r="P597" t="s">
        <v>596</v>
      </c>
      <c r="Q597" t="s">
        <v>596</v>
      </c>
      <c r="R597">
        <v>0</v>
      </c>
      <c r="S597">
        <v>9.99</v>
      </c>
      <c r="T597">
        <v>12</v>
      </c>
      <c r="U597">
        <v>1.791666666666667</v>
      </c>
      <c r="V597">
        <v>3.8341</v>
      </c>
      <c r="W597">
        <v>-2.5</v>
      </c>
      <c r="X597">
        <v>0.4125</v>
      </c>
      <c r="Y597">
        <v>-0.341522</v>
      </c>
      <c r="Z597">
        <v>0.2487562189054726</v>
      </c>
      <c r="AA597">
        <v>0.1819645732689211</v>
      </c>
      <c r="AB597">
        <v>0.5168810289389068</v>
      </c>
      <c r="AC597">
        <v>0.08360128617363344</v>
      </c>
      <c r="AD597">
        <v>0.02733118971061093</v>
      </c>
    </row>
    <row r="598" spans="1:30">
      <c r="A598" s="1" t="s">
        <v>605</v>
      </c>
      <c r="B598">
        <f>HYPERLINK("https://www.suredividend.com/sure-analysis-APA/","Apache Corp.")</f>
        <v>0</v>
      </c>
      <c r="C598">
        <v>15.555</v>
      </c>
      <c r="D598">
        <v>6145.03252</v>
      </c>
      <c r="E598" t="s">
        <v>662</v>
      </c>
      <c r="F598" t="s">
        <v>631</v>
      </c>
      <c r="G598" t="s">
        <v>671</v>
      </c>
      <c r="H598" t="s">
        <v>701</v>
      </c>
      <c r="I598" t="s">
        <v>1286</v>
      </c>
      <c r="J598" t="s">
        <v>1317</v>
      </c>
      <c r="K598">
        <v>43966</v>
      </c>
      <c r="L598">
        <v>0.033783783783783</v>
      </c>
      <c r="M598">
        <v>-0.2378543149546225</v>
      </c>
      <c r="N598">
        <v>0.2</v>
      </c>
      <c r="O598">
        <v>-0.0764157598213423</v>
      </c>
      <c r="P598" t="s">
        <v>596</v>
      </c>
      <c r="Q598" t="s">
        <v>596</v>
      </c>
      <c r="R598">
        <v>0</v>
      </c>
      <c r="S598">
        <v>9.99</v>
      </c>
      <c r="T598">
        <v>4</v>
      </c>
      <c r="U598">
        <v>3.88875</v>
      </c>
      <c r="V598">
        <v>-21.2178</v>
      </c>
      <c r="W598">
        <v>-2.6</v>
      </c>
      <c r="X598">
        <v>0.55</v>
      </c>
      <c r="Y598">
        <v>-0.307795</v>
      </c>
      <c r="Z598">
        <v>0.4875621890547264</v>
      </c>
      <c r="AA598">
        <v>0.2302737520128824</v>
      </c>
      <c r="AB598">
        <v>0.9903536977491961</v>
      </c>
      <c r="AC598">
        <v>0.003215434083601286</v>
      </c>
      <c r="AD598">
        <v>0.02090032154340836</v>
      </c>
    </row>
    <row r="599" spans="1:30">
      <c r="A599" s="1" t="s">
        <v>606</v>
      </c>
      <c r="B599">
        <f>HYPERLINK("https://www.suredividend.com/sure-analysis-BBBY/","Bed Bath &amp; Beyond, Inc.")</f>
        <v>0</v>
      </c>
      <c r="C599">
        <v>11.915</v>
      </c>
      <c r="D599">
        <v>1595.59044</v>
      </c>
      <c r="E599" t="s">
        <v>661</v>
      </c>
      <c r="F599" t="s">
        <v>631</v>
      </c>
      <c r="G599" t="s">
        <v>671</v>
      </c>
      <c r="H599" t="s">
        <v>701</v>
      </c>
      <c r="I599" t="s">
        <v>1287</v>
      </c>
      <c r="J599" t="s">
        <v>1313</v>
      </c>
      <c r="K599">
        <v>44028</v>
      </c>
      <c r="L599">
        <v>0.040284360189573</v>
      </c>
      <c r="M599">
        <v>-0.07658018811573952</v>
      </c>
      <c r="N599">
        <v>0</v>
      </c>
      <c r="O599">
        <v>-0.07658018811573952</v>
      </c>
      <c r="P599" t="s">
        <v>596</v>
      </c>
      <c r="Q599" t="s">
        <v>596</v>
      </c>
      <c r="R599">
        <v>0</v>
      </c>
      <c r="S599">
        <v>9.99</v>
      </c>
      <c r="T599">
        <v>8</v>
      </c>
      <c r="U599">
        <v>1.489375</v>
      </c>
      <c r="V599">
        <v>-4.4123</v>
      </c>
      <c r="W599">
        <v>-2</v>
      </c>
      <c r="X599">
        <v>0.51</v>
      </c>
      <c r="Y599">
        <v>0.345556</v>
      </c>
      <c r="Z599">
        <v>0.582089552238806</v>
      </c>
      <c r="AA599">
        <v>0.9130434782608695</v>
      </c>
      <c r="AB599">
        <v>0.04662379421221865</v>
      </c>
      <c r="AC599">
        <v>0.1864951768488746</v>
      </c>
      <c r="AD599">
        <v>0.01929260450160772</v>
      </c>
    </row>
    <row r="600" spans="1:30">
      <c r="A600" s="1" t="s">
        <v>607</v>
      </c>
      <c r="B600">
        <f>HYPERLINK("https://www.suredividend.com/sure-analysis-CORR/","CorEnergy Infrastructure Trust, Inc.")</f>
        <v>0</v>
      </c>
      <c r="C600">
        <v>10.45</v>
      </c>
      <c r="D600">
        <v>150.44504</v>
      </c>
      <c r="E600" t="s">
        <v>665</v>
      </c>
      <c r="F600" t="s">
        <v>631</v>
      </c>
      <c r="G600" t="s">
        <v>671</v>
      </c>
      <c r="H600" t="s">
        <v>702</v>
      </c>
      <c r="I600" t="s">
        <v>1288</v>
      </c>
      <c r="J600" t="s">
        <v>1322</v>
      </c>
      <c r="K600">
        <v>44047</v>
      </c>
      <c r="L600">
        <v>0.208711433756805</v>
      </c>
      <c r="M600">
        <v>-0.1546977007233854</v>
      </c>
      <c r="N600">
        <v>0.02</v>
      </c>
      <c r="O600">
        <v>-0.07769980127965148</v>
      </c>
      <c r="P600" t="s">
        <v>596</v>
      </c>
      <c r="Q600" t="s">
        <v>381</v>
      </c>
      <c r="R600">
        <v>0</v>
      </c>
      <c r="S600">
        <v>5.111111111111111</v>
      </c>
      <c r="T600">
        <v>4.51</v>
      </c>
      <c r="U600">
        <v>2.317073170731707</v>
      </c>
      <c r="V600">
        <v>-23.3697</v>
      </c>
      <c r="W600">
        <v>0.45</v>
      </c>
      <c r="X600">
        <v>2.3</v>
      </c>
      <c r="Y600">
        <v>-0.778986</v>
      </c>
      <c r="Z600">
        <v>0.988391376451078</v>
      </c>
      <c r="AA600">
        <v>0.00322061191626409</v>
      </c>
      <c r="AB600">
        <v>0.157556270096463</v>
      </c>
      <c r="AC600">
        <v>0.01607717041800643</v>
      </c>
      <c r="AD600">
        <v>0.01607717041800643</v>
      </c>
    </row>
    <row r="601" spans="1:30">
      <c r="A601" s="1" t="s">
        <v>608</v>
      </c>
      <c r="B601">
        <f>HYPERLINK("https://www.suredividend.com/sure-analysis-ANF/","Abercrombie &amp; Fitch Co.")</f>
        <v>0</v>
      </c>
      <c r="C601">
        <v>10.95</v>
      </c>
      <c r="D601">
        <v>654.94695</v>
      </c>
      <c r="E601" t="s">
        <v>663</v>
      </c>
      <c r="F601" t="s">
        <v>631</v>
      </c>
      <c r="G601" t="s">
        <v>671</v>
      </c>
      <c r="H601" t="s">
        <v>702</v>
      </c>
      <c r="I601" t="s">
        <v>1289</v>
      </c>
      <c r="J601" t="s">
        <v>1313</v>
      </c>
      <c r="K601">
        <v>43993</v>
      </c>
      <c r="L601">
        <v>0.076190476190476</v>
      </c>
      <c r="M601">
        <v>-0.1133597835641907</v>
      </c>
      <c r="N601">
        <v>0.02</v>
      </c>
      <c r="O601">
        <v>-0.09562697923547459</v>
      </c>
      <c r="P601" t="s">
        <v>596</v>
      </c>
      <c r="Q601" t="s">
        <v>420</v>
      </c>
      <c r="R601">
        <v>0</v>
      </c>
      <c r="S601">
        <v>9.99</v>
      </c>
      <c r="T601">
        <v>6</v>
      </c>
      <c r="U601">
        <v>1.825</v>
      </c>
      <c r="V601">
        <v>-2.9571</v>
      </c>
      <c r="W601">
        <v>-2.65</v>
      </c>
      <c r="X601">
        <v>0.8</v>
      </c>
      <c r="Y601">
        <v>-0.434932</v>
      </c>
      <c r="Z601">
        <v>0.8358208955223881</v>
      </c>
      <c r="AA601">
        <v>0.1111111111111111</v>
      </c>
      <c r="AB601">
        <v>0.157556270096463</v>
      </c>
      <c r="AC601">
        <v>0.06913183279742766</v>
      </c>
      <c r="AD601">
        <v>0.01286173633440514</v>
      </c>
    </row>
    <row r="602" spans="1:30">
      <c r="A602" s="1" t="s">
        <v>609</v>
      </c>
      <c r="B602">
        <f>HYPERLINK("https://www.suredividend.com/sure-analysis-LB/","L Brands, Inc.")</f>
        <v>0</v>
      </c>
      <c r="C602">
        <v>26.93</v>
      </c>
      <c r="D602">
        <v>7637.51921</v>
      </c>
      <c r="E602" t="s">
        <v>661</v>
      </c>
      <c r="F602" t="s">
        <v>631</v>
      </c>
      <c r="G602" t="s">
        <v>671</v>
      </c>
      <c r="H602" t="s">
        <v>702</v>
      </c>
      <c r="I602" t="s">
        <v>1290</v>
      </c>
      <c r="J602" t="s">
        <v>1313</v>
      </c>
      <c r="K602">
        <v>43979</v>
      </c>
      <c r="L602">
        <v>0.043652237177155</v>
      </c>
      <c r="M602">
        <v>-0.1226389777973285</v>
      </c>
      <c r="N602">
        <v>0</v>
      </c>
      <c r="O602">
        <v>-0.1226389777973285</v>
      </c>
      <c r="P602" t="s">
        <v>596</v>
      </c>
      <c r="Q602" t="s">
        <v>420</v>
      </c>
      <c r="R602">
        <v>0</v>
      </c>
      <c r="S602">
        <v>9.99</v>
      </c>
      <c r="T602">
        <v>14</v>
      </c>
      <c r="U602">
        <v>1.923571428571428</v>
      </c>
      <c r="V602">
        <v>-2.5429</v>
      </c>
      <c r="W602">
        <v>-0.25</v>
      </c>
      <c r="X602">
        <v>1.2</v>
      </c>
      <c r="Y602">
        <v>0.099662</v>
      </c>
      <c r="Z602">
        <v>0.6235489220563847</v>
      </c>
      <c r="AA602">
        <v>0.7455716586151369</v>
      </c>
      <c r="AB602">
        <v>0.04662379421221865</v>
      </c>
      <c r="AC602">
        <v>0.04662379421221865</v>
      </c>
      <c r="AD602">
        <v>0.006430868167202572</v>
      </c>
    </row>
    <row r="603" spans="1:30">
      <c r="A603" s="1" t="s">
        <v>610</v>
      </c>
      <c r="B603">
        <f>HYPERLINK("https://www.suredividend.com/sure-analysis-WYNN/","Wynn Resorts Ltd.")</f>
        <v>0</v>
      </c>
      <c r="C603">
        <v>88.295</v>
      </c>
      <c r="D603">
        <v>8789.084639999999</v>
      </c>
      <c r="E603" t="s">
        <v>665</v>
      </c>
      <c r="F603" t="s">
        <v>631</v>
      </c>
      <c r="G603" t="s">
        <v>671</v>
      </c>
      <c r="H603" t="s">
        <v>701</v>
      </c>
      <c r="I603" t="s">
        <v>1291</v>
      </c>
      <c r="J603" t="s">
        <v>1313</v>
      </c>
      <c r="K603">
        <v>44048</v>
      </c>
      <c r="L603">
        <v>0.03681885125184</v>
      </c>
      <c r="M603">
        <v>-0.1837132003526025</v>
      </c>
      <c r="N603">
        <v>0.04</v>
      </c>
      <c r="O603">
        <v>-0.1286697301698673</v>
      </c>
      <c r="P603" t="s">
        <v>596</v>
      </c>
      <c r="Q603" t="s">
        <v>596</v>
      </c>
      <c r="R603">
        <v>0</v>
      </c>
      <c r="S603">
        <v>9.99</v>
      </c>
      <c r="T603">
        <v>32</v>
      </c>
      <c r="U603">
        <v>2.75921875</v>
      </c>
      <c r="V603">
        <v>-10.458</v>
      </c>
      <c r="W603">
        <v>-11.52</v>
      </c>
      <c r="X603">
        <v>3</v>
      </c>
      <c r="Y603">
        <v>-0.335486</v>
      </c>
      <c r="Z603">
        <v>0.5373134328358209</v>
      </c>
      <c r="AA603">
        <v>0.1884057971014493</v>
      </c>
      <c r="AB603">
        <v>0.3858520900321543</v>
      </c>
      <c r="AC603">
        <v>0.0112540192926045</v>
      </c>
      <c r="AD603">
        <v>0.00482315112540193</v>
      </c>
    </row>
    <row r="604" spans="1:30">
      <c r="A604" s="1" t="s">
        <v>611</v>
      </c>
      <c r="B604">
        <f>HYPERLINK("https://www.suredividend.com/sure-analysis-NBR/","Nabors Industries Ltd.")</f>
        <v>0</v>
      </c>
      <c r="C604">
        <v>53.82</v>
      </c>
      <c r="D604">
        <v>395.35886</v>
      </c>
      <c r="E604" t="s">
        <v>662</v>
      </c>
      <c r="F604" t="s">
        <v>631</v>
      </c>
      <c r="G604" t="s">
        <v>677</v>
      </c>
      <c r="H604" t="s">
        <v>702</v>
      </c>
      <c r="I604" t="s">
        <v>1292</v>
      </c>
      <c r="J604" t="s">
        <v>1317</v>
      </c>
      <c r="K604">
        <v>43977</v>
      </c>
      <c r="L604">
        <v>0.0007381435689240001</v>
      </c>
      <c r="M604">
        <v>-0.1103165491521413</v>
      </c>
      <c r="N604">
        <v>-0.05</v>
      </c>
      <c r="O604">
        <v>-0.1548007216945343</v>
      </c>
      <c r="P604" t="s">
        <v>596</v>
      </c>
      <c r="Q604" t="s">
        <v>596</v>
      </c>
      <c r="R604">
        <v>0</v>
      </c>
      <c r="S604">
        <v>9.99</v>
      </c>
      <c r="T604">
        <v>30</v>
      </c>
      <c r="U604">
        <v>1.794</v>
      </c>
      <c r="V604">
        <v>-135.7831</v>
      </c>
      <c r="W604">
        <v>-105</v>
      </c>
      <c r="X604">
        <v>0.04</v>
      </c>
      <c r="Y604">
        <v>-0.557597</v>
      </c>
      <c r="Z604">
        <v>0.003316749585406302</v>
      </c>
      <c r="AA604">
        <v>0.04669887278582931</v>
      </c>
      <c r="AB604">
        <v>0.00482315112540193</v>
      </c>
      <c r="AC604">
        <v>0.08038585209003216</v>
      </c>
      <c r="AD604">
        <v>0.003215434083601286</v>
      </c>
    </row>
    <row r="605" spans="1:30">
      <c r="A605" s="1" t="s">
        <v>612</v>
      </c>
      <c r="B605">
        <f>HYPERLINK("https://www.suredividend.com/sure-analysis-NCLH/","Norwegian Cruise Line Holdings Ltd.")</f>
        <v>0</v>
      </c>
      <c r="C605">
        <v>15.64</v>
      </c>
      <c r="D605">
        <v>4130.70182</v>
      </c>
      <c r="E605" t="s">
        <v>663</v>
      </c>
      <c r="F605" t="s">
        <v>631</v>
      </c>
      <c r="G605" t="s">
        <v>671</v>
      </c>
      <c r="H605" t="s">
        <v>702</v>
      </c>
      <c r="I605" t="s">
        <v>1293</v>
      </c>
      <c r="J605" t="s">
        <v>1313</v>
      </c>
      <c r="K605">
        <v>43967</v>
      </c>
      <c r="M605">
        <v>0.1539384535712878</v>
      </c>
      <c r="N605">
        <v>0.08</v>
      </c>
      <c r="O605">
        <v>0.2462535298569908</v>
      </c>
      <c r="P605" t="s">
        <v>637</v>
      </c>
      <c r="Q605" t="s">
        <v>637</v>
      </c>
      <c r="R605">
        <v>0</v>
      </c>
      <c r="T605">
        <v>32</v>
      </c>
      <c r="U605">
        <v>0.48875</v>
      </c>
      <c r="V605">
        <v>-9.119899999999999</v>
      </c>
      <c r="W605">
        <v>-7</v>
      </c>
      <c r="Y605">
        <v>-0.7121400000000001</v>
      </c>
      <c r="AA605">
        <v>0.01127214170692432</v>
      </c>
      <c r="AB605">
        <v>0.8135048231511255</v>
      </c>
      <c r="AC605">
        <v>0.9983922829581994</v>
      </c>
      <c r="AD605">
        <v>0.9983922829581994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0.91</v>
      </c>
      <c r="D606">
        <v>3822</v>
      </c>
      <c r="E606" t="s">
        <v>665</v>
      </c>
      <c r="F606" t="s">
        <v>631</v>
      </c>
      <c r="G606" t="s">
        <v>699</v>
      </c>
      <c r="H606" t="s">
        <v>700</v>
      </c>
      <c r="I606" t="s">
        <v>1294</v>
      </c>
      <c r="J606" t="s">
        <v>1312</v>
      </c>
      <c r="K606">
        <v>44048</v>
      </c>
      <c r="M606">
        <v>0.1051213605774541</v>
      </c>
      <c r="N606">
        <v>0.04</v>
      </c>
      <c r="O606">
        <v>0.1493262150005523</v>
      </c>
      <c r="P606" t="s">
        <v>637</v>
      </c>
      <c r="Q606" t="s">
        <v>637</v>
      </c>
      <c r="R606">
        <v>0</v>
      </c>
      <c r="T606">
        <v>1.5</v>
      </c>
      <c r="U606">
        <v>0.6066666666666667</v>
      </c>
      <c r="V606">
        <v>0.2508</v>
      </c>
      <c r="W606">
        <v>0.3</v>
      </c>
      <c r="Y606">
        <v>-0.473373</v>
      </c>
      <c r="AA606">
        <v>0.08051529790660225</v>
      </c>
      <c r="AB606">
        <v>0.3858520900321543</v>
      </c>
      <c r="AC606">
        <v>0.9887459807073955</v>
      </c>
      <c r="AD606">
        <v>0.95016077170418</v>
      </c>
    </row>
    <row r="607" spans="1:30">
      <c r="A607" s="1" t="s">
        <v>614</v>
      </c>
      <c r="B607">
        <f>HYPERLINK("https://www.suredividend.com/sure-analysis-FRFHF/","Fairfax Financial Holdings Ltd.")</f>
        <v>0</v>
      </c>
      <c r="C607">
        <v>306.64</v>
      </c>
      <c r="D607">
        <v>8676.133487999999</v>
      </c>
      <c r="E607" t="s">
        <v>662</v>
      </c>
      <c r="F607" t="s">
        <v>631</v>
      </c>
      <c r="G607" t="s">
        <v>672</v>
      </c>
      <c r="H607" t="s">
        <v>700</v>
      </c>
      <c r="I607" t="s">
        <v>1295</v>
      </c>
      <c r="J607" t="s">
        <v>1312</v>
      </c>
      <c r="K607">
        <v>43979</v>
      </c>
      <c r="M607">
        <v>0.07973391128311436</v>
      </c>
      <c r="N607">
        <v>0.02</v>
      </c>
      <c r="O607">
        <v>0.1226534510754778</v>
      </c>
      <c r="P607" t="s">
        <v>637</v>
      </c>
      <c r="Q607" t="s">
        <v>637</v>
      </c>
      <c r="R607">
        <v>0</v>
      </c>
      <c r="T607">
        <v>450</v>
      </c>
      <c r="U607">
        <v>0.6814222222222222</v>
      </c>
      <c r="V607">
        <v>-4.639</v>
      </c>
      <c r="W607">
        <v>450</v>
      </c>
      <c r="Y607">
        <v>-0.329389</v>
      </c>
      <c r="AA607">
        <v>0.2045088566827697</v>
      </c>
      <c r="AB607">
        <v>0.157556270096463</v>
      </c>
      <c r="AC607">
        <v>0.9742765273311897</v>
      </c>
      <c r="AD607">
        <v>0.8713826366559485</v>
      </c>
    </row>
    <row r="608" spans="1:30">
      <c r="A608" s="1" t="s">
        <v>615</v>
      </c>
      <c r="B608">
        <f>HYPERLINK("https://www.suredividend.com/sure-analysis-FMS/","Fresenius Medical Care AG &amp; Co. KGaA")</f>
        <v>0</v>
      </c>
      <c r="C608">
        <v>42.8</v>
      </c>
      <c r="D608">
        <v>24982.796457</v>
      </c>
      <c r="E608" t="s">
        <v>665</v>
      </c>
      <c r="F608" t="s">
        <v>631</v>
      </c>
      <c r="G608" t="s">
        <v>678</v>
      </c>
      <c r="H608" t="s">
        <v>702</v>
      </c>
      <c r="I608" t="s">
        <v>1296</v>
      </c>
      <c r="J608" t="s">
        <v>1316</v>
      </c>
      <c r="K608">
        <v>44043</v>
      </c>
      <c r="M608">
        <v>0.0436777384806728</v>
      </c>
      <c r="N608">
        <v>0.06</v>
      </c>
      <c r="O608">
        <v>0.1181590194550961</v>
      </c>
      <c r="P608" t="s">
        <v>637</v>
      </c>
      <c r="Q608" t="s">
        <v>637</v>
      </c>
      <c r="R608">
        <v>23</v>
      </c>
      <c r="T608">
        <v>53</v>
      </c>
      <c r="U608">
        <v>0.8075471698113207</v>
      </c>
      <c r="V608">
        <v>2.4308</v>
      </c>
      <c r="W608">
        <v>3.31</v>
      </c>
      <c r="Y608">
        <v>0.278059</v>
      </c>
      <c r="AA608">
        <v>0.8727858293075684</v>
      </c>
      <c r="AB608">
        <v>0.6430868167202572</v>
      </c>
      <c r="AC608">
        <v>0.8713826366559485</v>
      </c>
      <c r="AD608">
        <v>0.8585209003215434</v>
      </c>
    </row>
    <row r="609" spans="1:30">
      <c r="A609" s="1" t="s">
        <v>616</v>
      </c>
      <c r="B609">
        <f>HYPERLINK("https://www.suredividend.com/sure-analysis-FCAU/","Fiat Chrysler Automobiles NV")</f>
        <v>0</v>
      </c>
      <c r="C609">
        <v>11.52</v>
      </c>
      <c r="D609">
        <v>17610.9983</v>
      </c>
      <c r="E609" t="s">
        <v>663</v>
      </c>
      <c r="F609" t="s">
        <v>631</v>
      </c>
      <c r="G609" t="s">
        <v>676</v>
      </c>
      <c r="H609" t="s">
        <v>702</v>
      </c>
      <c r="I609" t="s">
        <v>1297</v>
      </c>
      <c r="J609" t="s">
        <v>1313</v>
      </c>
      <c r="K609">
        <v>43960</v>
      </c>
      <c r="M609">
        <v>0.03976480118430525</v>
      </c>
      <c r="N609">
        <v>0.03</v>
      </c>
      <c r="O609">
        <v>0.1136127735662502</v>
      </c>
      <c r="P609" t="s">
        <v>637</v>
      </c>
      <c r="Q609" t="s">
        <v>637</v>
      </c>
      <c r="R609">
        <v>0</v>
      </c>
      <c r="T609">
        <v>14</v>
      </c>
      <c r="U609">
        <v>0.8228571428571428</v>
      </c>
      <c r="V609">
        <v>-0.9329000000000001</v>
      </c>
      <c r="W609">
        <v>-1.25</v>
      </c>
      <c r="Y609">
        <v>-0.168684</v>
      </c>
      <c r="AA609">
        <v>0.4009661835748792</v>
      </c>
      <c r="AB609">
        <v>0.2540192926045016</v>
      </c>
      <c r="AC609">
        <v>0.8504823151125401</v>
      </c>
      <c r="AD609">
        <v>0.8488745980707395</v>
      </c>
    </row>
    <row r="610" spans="1:30">
      <c r="A610" s="1" t="s">
        <v>617</v>
      </c>
      <c r="B610">
        <f>HYPERLINK("https://www.suredividend.com/sure-analysis-SCGLY/","Société Générale SA")</f>
        <v>0</v>
      </c>
      <c r="C610">
        <v>3.17</v>
      </c>
      <c r="D610">
        <v>12438.325302</v>
      </c>
      <c r="E610" t="s">
        <v>662</v>
      </c>
      <c r="F610" t="s">
        <v>631</v>
      </c>
      <c r="G610" t="s">
        <v>685</v>
      </c>
      <c r="H610" t="s">
        <v>700</v>
      </c>
      <c r="I610" t="s">
        <v>1298</v>
      </c>
      <c r="J610" t="s">
        <v>1312</v>
      </c>
      <c r="K610">
        <v>43983</v>
      </c>
      <c r="M610">
        <v>-0.04637824673596136</v>
      </c>
      <c r="N610">
        <v>0.15</v>
      </c>
      <c r="O610">
        <v>0.09666501625364443</v>
      </c>
      <c r="P610" t="s">
        <v>637</v>
      </c>
      <c r="Q610" t="s">
        <v>637</v>
      </c>
      <c r="R610">
        <v>0</v>
      </c>
      <c r="T610">
        <v>2.5</v>
      </c>
      <c r="U610">
        <v>1.268</v>
      </c>
      <c r="V610">
        <v>-0.1717</v>
      </c>
      <c r="W610">
        <v>0.25</v>
      </c>
      <c r="Y610">
        <v>-0.381605</v>
      </c>
      <c r="AA610">
        <v>0.1449275362318841</v>
      </c>
      <c r="AB610">
        <v>0.9790996784565916</v>
      </c>
      <c r="AC610">
        <v>0.3569131832797428</v>
      </c>
      <c r="AD610">
        <v>0.7588424437299035</v>
      </c>
    </row>
    <row r="611" spans="1:30">
      <c r="A611" s="1" t="s">
        <v>618</v>
      </c>
      <c r="B611">
        <f>HYPERLINK("https://www.suredividend.com/sure-analysis-NSANY/","Nissan Motor Co., Ltd.")</f>
        <v>0</v>
      </c>
      <c r="C611">
        <v>7.25</v>
      </c>
      <c r="D611">
        <v>14184.930932</v>
      </c>
      <c r="E611" t="s">
        <v>666</v>
      </c>
      <c r="F611" t="s">
        <v>631</v>
      </c>
      <c r="G611" t="s">
        <v>692</v>
      </c>
      <c r="H611" t="s">
        <v>700</v>
      </c>
      <c r="I611" t="s">
        <v>1299</v>
      </c>
      <c r="J611" t="s">
        <v>1313</v>
      </c>
      <c r="K611">
        <v>44013</v>
      </c>
      <c r="M611">
        <v>-0.006993693462086226</v>
      </c>
      <c r="N611">
        <v>0.068</v>
      </c>
      <c r="O611">
        <v>0.09139228242567077</v>
      </c>
      <c r="P611" t="s">
        <v>637</v>
      </c>
      <c r="Q611" t="s">
        <v>637</v>
      </c>
      <c r="R611">
        <v>0</v>
      </c>
      <c r="T611">
        <v>7</v>
      </c>
      <c r="U611">
        <v>1.035714285714286</v>
      </c>
      <c r="V611">
        <v>-4.5321</v>
      </c>
      <c r="W611">
        <v>0.25</v>
      </c>
      <c r="Y611">
        <v>-0.430709</v>
      </c>
      <c r="AA611">
        <v>0.1175523349436393</v>
      </c>
      <c r="AB611">
        <v>0.6993569131832796</v>
      </c>
      <c r="AC611">
        <v>0.617363344051447</v>
      </c>
      <c r="AD611">
        <v>0.7250803858520901</v>
      </c>
    </row>
    <row r="612" spans="1:30">
      <c r="A612" s="1" t="s">
        <v>619</v>
      </c>
      <c r="B612">
        <f>HYPERLINK("https://www.suredividend.com/sure-analysis-MT/","ArcelorMittal SA")</f>
        <v>0</v>
      </c>
      <c r="C612">
        <v>12.32</v>
      </c>
      <c r="D612">
        <v>12428.290799</v>
      </c>
      <c r="E612" t="s">
        <v>662</v>
      </c>
      <c r="F612" t="s">
        <v>631</v>
      </c>
      <c r="G612" t="s">
        <v>695</v>
      </c>
      <c r="H612" t="s">
        <v>702</v>
      </c>
      <c r="I612" t="s">
        <v>1300</v>
      </c>
      <c r="J612" t="s">
        <v>1321</v>
      </c>
      <c r="K612">
        <v>43985</v>
      </c>
      <c r="M612">
        <v>0.09050730370564142</v>
      </c>
      <c r="N612">
        <v>0</v>
      </c>
      <c r="O612">
        <v>0.09050730370564142</v>
      </c>
      <c r="P612" t="s">
        <v>637</v>
      </c>
      <c r="Q612" t="s">
        <v>637</v>
      </c>
      <c r="R612">
        <v>0</v>
      </c>
      <c r="T612">
        <v>19</v>
      </c>
      <c r="U612">
        <v>0.648421052631579</v>
      </c>
      <c r="V612">
        <v>-4.0082</v>
      </c>
      <c r="W612">
        <v>-1.6</v>
      </c>
      <c r="Y612">
        <v>-0.19064</v>
      </c>
      <c r="AA612">
        <v>0.3703703703703704</v>
      </c>
      <c r="AB612">
        <v>0.04662379421221865</v>
      </c>
      <c r="AC612">
        <v>0.982315112540193</v>
      </c>
      <c r="AD612">
        <v>0.7202572347266881</v>
      </c>
    </row>
    <row r="613" spans="1:30">
      <c r="A613" s="1" t="s">
        <v>620</v>
      </c>
      <c r="B613">
        <f>HYPERLINK("https://www.suredividend.com/sure-analysis-BABA/","Alibaba Group Holding Ltd.")</f>
        <v>0</v>
      </c>
      <c r="C613">
        <v>248.42</v>
      </c>
      <c r="D613">
        <v>665664.55425</v>
      </c>
      <c r="E613" t="s">
        <v>663</v>
      </c>
      <c r="F613" t="s">
        <v>631</v>
      </c>
      <c r="G613" t="s">
        <v>673</v>
      </c>
      <c r="H613" t="s">
        <v>702</v>
      </c>
      <c r="I613" t="s">
        <v>1301</v>
      </c>
      <c r="J613" t="s">
        <v>1313</v>
      </c>
      <c r="K613">
        <v>43990</v>
      </c>
      <c r="M613">
        <v>-0.05421100061608408</v>
      </c>
      <c r="N613">
        <v>0.15</v>
      </c>
      <c r="O613">
        <v>0.08765734929150337</v>
      </c>
      <c r="P613" t="s">
        <v>637</v>
      </c>
      <c r="Q613" t="s">
        <v>637</v>
      </c>
      <c r="R613">
        <v>0</v>
      </c>
      <c r="T613">
        <v>188</v>
      </c>
      <c r="U613">
        <v>1.321382978723404</v>
      </c>
      <c r="V613">
        <v>8.1655</v>
      </c>
      <c r="W613">
        <v>37.62</v>
      </c>
      <c r="Y613">
        <v>0.5540619999999999</v>
      </c>
      <c r="AA613">
        <v>0.9645732689210951</v>
      </c>
      <c r="AB613">
        <v>0.9790996784565916</v>
      </c>
      <c r="AC613">
        <v>0.2990353697749196</v>
      </c>
      <c r="AD613">
        <v>0.702572347266881</v>
      </c>
    </row>
    <row r="614" spans="1:30">
      <c r="A614" s="1" t="s">
        <v>621</v>
      </c>
      <c r="B614">
        <f>HYPERLINK("https://www.suredividend.com/sure-analysis-BRK.B/","Berkshire Hathaway, Inc.")</f>
        <v>0</v>
      </c>
      <c r="C614">
        <v>212.66</v>
      </c>
      <c r="D614">
        <v>516577.37175</v>
      </c>
      <c r="E614" t="s">
        <v>661</v>
      </c>
      <c r="F614" t="s">
        <v>631</v>
      </c>
      <c r="G614" t="s">
        <v>671</v>
      </c>
      <c r="H614" t="s">
        <v>702</v>
      </c>
      <c r="I614" t="s">
        <v>1302</v>
      </c>
      <c r="J614" t="s">
        <v>1312</v>
      </c>
      <c r="K614">
        <v>43958</v>
      </c>
      <c r="M614">
        <v>0.02703227755319682</v>
      </c>
      <c r="N614">
        <v>0.05</v>
      </c>
      <c r="O614">
        <v>0.07838389143085656</v>
      </c>
      <c r="P614" t="s">
        <v>637</v>
      </c>
      <c r="Q614" t="s">
        <v>637</v>
      </c>
      <c r="R614">
        <v>0</v>
      </c>
      <c r="T614">
        <v>243</v>
      </c>
      <c r="U614">
        <v>0.8751440329218106</v>
      </c>
      <c r="V614">
        <v>9.130000000000001</v>
      </c>
      <c r="W614">
        <v>9</v>
      </c>
      <c r="Y614">
        <v>0.04468399999999999</v>
      </c>
      <c r="AA614">
        <v>0.6843800322061192</v>
      </c>
      <c r="AB614">
        <v>0.5168810289389068</v>
      </c>
      <c r="AC614">
        <v>0.8006430868167204</v>
      </c>
      <c r="AD614">
        <v>0.6302250803858521</v>
      </c>
    </row>
    <row r="615" spans="1:30">
      <c r="A615" s="1" t="s">
        <v>622</v>
      </c>
      <c r="B615">
        <f>HYPERLINK("https://www.suredividend.com/sure-analysis-UAL/","United Airlines Holdings, Inc.")</f>
        <v>0</v>
      </c>
      <c r="C615">
        <v>36.79</v>
      </c>
      <c r="D615">
        <v>10923.53936</v>
      </c>
      <c r="E615" t="s">
        <v>659</v>
      </c>
      <c r="F615" t="s">
        <v>631</v>
      </c>
      <c r="G615" t="s">
        <v>671</v>
      </c>
      <c r="H615" t="s">
        <v>701</v>
      </c>
      <c r="I615" t="s">
        <v>1303</v>
      </c>
      <c r="J615" t="s">
        <v>1315</v>
      </c>
      <c r="K615">
        <v>44050</v>
      </c>
      <c r="M615">
        <v>0.02684265397153718</v>
      </c>
      <c r="N615">
        <v>0.05</v>
      </c>
      <c r="O615">
        <v>0.07818478667011419</v>
      </c>
      <c r="P615" t="s">
        <v>637</v>
      </c>
      <c r="Q615" t="s">
        <v>637</v>
      </c>
      <c r="R615">
        <v>0</v>
      </c>
      <c r="T615">
        <v>42</v>
      </c>
      <c r="U615">
        <v>0.8759523809523809</v>
      </c>
      <c r="V615">
        <v>-6.1024</v>
      </c>
      <c r="W615">
        <v>-21</v>
      </c>
      <c r="Y615">
        <v>-0.608239</v>
      </c>
      <c r="AA615">
        <v>0.03059581320450885</v>
      </c>
      <c r="AB615">
        <v>0.5168810289389068</v>
      </c>
      <c r="AC615">
        <v>0.7990353697749196</v>
      </c>
      <c r="AD615">
        <v>0.6270096463022508</v>
      </c>
    </row>
    <row r="616" spans="1:30">
      <c r="A616" s="1" t="s">
        <v>623</v>
      </c>
      <c r="B616">
        <f>HYPERLINK("https://www.suredividend.com/sure-analysis-ING/","ING Groep NV")</f>
        <v>0</v>
      </c>
      <c r="C616">
        <v>8.210000000000001</v>
      </c>
      <c r="D616">
        <v>30960.6802</v>
      </c>
      <c r="E616" t="s">
        <v>664</v>
      </c>
      <c r="F616" t="s">
        <v>631</v>
      </c>
      <c r="G616" t="s">
        <v>687</v>
      </c>
      <c r="H616" t="s">
        <v>702</v>
      </c>
      <c r="I616" t="s">
        <v>1304</v>
      </c>
      <c r="J616" t="s">
        <v>1312</v>
      </c>
      <c r="K616">
        <v>43999</v>
      </c>
      <c r="M616">
        <v>0.01443701066358849</v>
      </c>
      <c r="N616">
        <v>0.01</v>
      </c>
      <c r="O616">
        <v>0.06841486159135379</v>
      </c>
      <c r="P616" t="s">
        <v>637</v>
      </c>
      <c r="Q616" t="s">
        <v>637</v>
      </c>
      <c r="R616">
        <v>0</v>
      </c>
      <c r="T616">
        <v>8.82</v>
      </c>
      <c r="U616">
        <v>0.9308390022675738</v>
      </c>
      <c r="V616">
        <v>0.9075000000000001</v>
      </c>
      <c r="W616">
        <v>0.98</v>
      </c>
      <c r="Y616">
        <v>-0.225838</v>
      </c>
      <c r="AA616">
        <v>0.3172302737520128</v>
      </c>
      <c r="AB616">
        <v>0.08601286173633441</v>
      </c>
      <c r="AC616">
        <v>0.7331189710610932</v>
      </c>
      <c r="AD616">
        <v>0.5401929260450161</v>
      </c>
    </row>
    <row r="617" spans="1:30">
      <c r="A617" s="1" t="s">
        <v>624</v>
      </c>
      <c r="B617">
        <f>HYPERLINK("https://www.suredividend.com/sure-analysis-BNPQF/","BNP Paribas SA")</f>
        <v>0</v>
      </c>
      <c r="C617">
        <v>42.29</v>
      </c>
      <c r="D617">
        <v>52766.717844</v>
      </c>
      <c r="E617" t="s">
        <v>668</v>
      </c>
      <c r="F617" t="s">
        <v>631</v>
      </c>
      <c r="G617" t="s">
        <v>685</v>
      </c>
      <c r="H617" t="s">
        <v>700</v>
      </c>
      <c r="I617" t="s">
        <v>1305</v>
      </c>
      <c r="J617" t="s">
        <v>1312</v>
      </c>
      <c r="K617">
        <v>43993</v>
      </c>
      <c r="M617">
        <v>0.03406172616474201</v>
      </c>
      <c r="N617">
        <v>0.03</v>
      </c>
      <c r="O617">
        <v>0.06508357794968433</v>
      </c>
      <c r="P617" t="s">
        <v>637</v>
      </c>
      <c r="Q617" t="s">
        <v>637</v>
      </c>
      <c r="R617">
        <v>0</v>
      </c>
      <c r="T617">
        <v>50</v>
      </c>
      <c r="U617">
        <v>0.8458</v>
      </c>
      <c r="V617">
        <v>6.1303</v>
      </c>
      <c r="W617">
        <v>6.26</v>
      </c>
      <c r="Y617">
        <v>-0.070534</v>
      </c>
      <c r="AA617">
        <v>0.5362318840579711</v>
      </c>
      <c r="AB617">
        <v>0.2540192926045016</v>
      </c>
      <c r="AC617">
        <v>0.8279742765273312</v>
      </c>
      <c r="AD617">
        <v>0.5192926045016076</v>
      </c>
    </row>
    <row r="618" spans="1:30">
      <c r="A618" s="1" t="s">
        <v>625</v>
      </c>
      <c r="B618">
        <f>HYPERLINK("https://www.suredividend.com/sure-analysis-NFLX/","Netflix, Inc.")</f>
        <v>0</v>
      </c>
      <c r="C618">
        <v>466.78</v>
      </c>
      <c r="D618">
        <v>213177.8307</v>
      </c>
      <c r="E618" t="s">
        <v>668</v>
      </c>
      <c r="F618" t="s">
        <v>631</v>
      </c>
      <c r="G618" t="s">
        <v>671</v>
      </c>
      <c r="H618" t="s">
        <v>701</v>
      </c>
      <c r="I618" t="s">
        <v>1306</v>
      </c>
      <c r="J618" t="s">
        <v>1319</v>
      </c>
      <c r="K618">
        <v>43958</v>
      </c>
      <c r="M618">
        <v>-0.07564315236192631</v>
      </c>
      <c r="N618">
        <v>0.15</v>
      </c>
      <c r="O618">
        <v>0.06301037478378468</v>
      </c>
      <c r="P618" t="s">
        <v>637</v>
      </c>
      <c r="Q618" t="s">
        <v>637</v>
      </c>
      <c r="R618">
        <v>0</v>
      </c>
      <c r="T618">
        <v>315</v>
      </c>
      <c r="U618">
        <v>1.48184126984127</v>
      </c>
      <c r="V618">
        <v>6.1055</v>
      </c>
      <c r="W618">
        <v>6.3</v>
      </c>
      <c r="Y618">
        <v>0.566097</v>
      </c>
      <c r="AA618">
        <v>0.9661835748792271</v>
      </c>
      <c r="AB618">
        <v>0.9790996784565916</v>
      </c>
      <c r="AC618">
        <v>0.1881028938906752</v>
      </c>
      <c r="AD618">
        <v>0.5064308681672025</v>
      </c>
    </row>
    <row r="619" spans="1:30">
      <c r="A619" s="1" t="s">
        <v>626</v>
      </c>
      <c r="B619">
        <f>HYPERLINK("https://www.suredividend.com/sure-analysis-NOK/","Nokia Oyj")</f>
        <v>0</v>
      </c>
      <c r="C619">
        <v>4.96</v>
      </c>
      <c r="D619">
        <v>27547.208315</v>
      </c>
      <c r="E619" t="s">
        <v>659</v>
      </c>
      <c r="F619" t="s">
        <v>631</v>
      </c>
      <c r="G619" t="s">
        <v>684</v>
      </c>
      <c r="H619" t="s">
        <v>702</v>
      </c>
      <c r="I619" t="s">
        <v>1307</v>
      </c>
      <c r="J619" t="s">
        <v>1318</v>
      </c>
      <c r="K619">
        <v>43960</v>
      </c>
      <c r="M619">
        <v>-0.04694802405195919</v>
      </c>
      <c r="N619">
        <v>0.07000000000000001</v>
      </c>
      <c r="O619">
        <v>0.04794200188426423</v>
      </c>
      <c r="P619" t="s">
        <v>637</v>
      </c>
      <c r="Q619" t="s">
        <v>637</v>
      </c>
      <c r="R619">
        <v>0</v>
      </c>
      <c r="T619">
        <v>3.9</v>
      </c>
      <c r="U619">
        <v>1.271794871794872</v>
      </c>
      <c r="V619">
        <v>0.123</v>
      </c>
      <c r="W619">
        <v>0.26</v>
      </c>
      <c r="Y619">
        <v>-0.077778</v>
      </c>
      <c r="AA619">
        <v>0.5249597423510467</v>
      </c>
      <c r="AB619">
        <v>0.7355305466237942</v>
      </c>
      <c r="AC619">
        <v>0.3488745980707395</v>
      </c>
      <c r="AD619">
        <v>0.4019292604501608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256.19</v>
      </c>
      <c r="D620">
        <v>749097.64</v>
      </c>
      <c r="E620" t="s">
        <v>661</v>
      </c>
      <c r="F620" t="s">
        <v>631</v>
      </c>
      <c r="G620" t="s">
        <v>671</v>
      </c>
      <c r="H620" t="s">
        <v>701</v>
      </c>
      <c r="I620" t="s">
        <v>1308</v>
      </c>
      <c r="J620" t="s">
        <v>1319</v>
      </c>
      <c r="K620">
        <v>44049</v>
      </c>
      <c r="M620">
        <v>-0.050225285555208</v>
      </c>
      <c r="N620">
        <v>0.09</v>
      </c>
      <c r="O620">
        <v>0.03525443874482326</v>
      </c>
      <c r="P620" t="s">
        <v>637</v>
      </c>
      <c r="Q620" t="s">
        <v>637</v>
      </c>
      <c r="R620">
        <v>0</v>
      </c>
      <c r="T620">
        <v>198</v>
      </c>
      <c r="U620">
        <v>1.293888888888889</v>
      </c>
      <c r="V620">
        <v>8.2463</v>
      </c>
      <c r="W620">
        <v>7.5</v>
      </c>
      <c r="Y620">
        <v>0.411653</v>
      </c>
      <c r="AA620">
        <v>0.927536231884058</v>
      </c>
      <c r="AB620">
        <v>0.8657556270096463</v>
      </c>
      <c r="AC620">
        <v>0.3231511254019293</v>
      </c>
      <c r="AD620">
        <v>0.3070739549839228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1478.6</v>
      </c>
      <c r="D621">
        <v>1017592.411873</v>
      </c>
      <c r="E621" t="s">
        <v>661</v>
      </c>
      <c r="F621" t="s">
        <v>631</v>
      </c>
      <c r="G621" t="s">
        <v>671</v>
      </c>
      <c r="H621" t="s">
        <v>701</v>
      </c>
      <c r="I621" t="s">
        <v>1309</v>
      </c>
      <c r="J621" t="s">
        <v>1319</v>
      </c>
      <c r="K621">
        <v>44049</v>
      </c>
      <c r="M621">
        <v>-0.0770952131713275</v>
      </c>
      <c r="N621">
        <v>0.12</v>
      </c>
      <c r="O621">
        <v>0.03365336124811336</v>
      </c>
      <c r="P621" t="s">
        <v>637</v>
      </c>
      <c r="Q621" t="s">
        <v>637</v>
      </c>
      <c r="R621">
        <v>0</v>
      </c>
      <c r="T621">
        <v>990</v>
      </c>
      <c r="U621">
        <v>1.493535353535353</v>
      </c>
      <c r="V621">
        <v>45.8605</v>
      </c>
      <c r="W621">
        <v>45</v>
      </c>
      <c r="Y621">
        <v>0.240447</v>
      </c>
      <c r="AA621">
        <v>0.8518518518518519</v>
      </c>
      <c r="AB621">
        <v>0.9485530546623794</v>
      </c>
      <c r="AC621">
        <v>0.1816720257234727</v>
      </c>
      <c r="AD621">
        <v>0.2926045016077171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3080.8</v>
      </c>
      <c r="D622">
        <v>1576881.8624</v>
      </c>
      <c r="E622" t="s">
        <v>661</v>
      </c>
      <c r="F622" t="s">
        <v>631</v>
      </c>
      <c r="G622" t="s">
        <v>671</v>
      </c>
      <c r="H622" t="s">
        <v>701</v>
      </c>
      <c r="I622" t="s">
        <v>1310</v>
      </c>
      <c r="J622" t="s">
        <v>1313</v>
      </c>
      <c r="K622">
        <v>44049</v>
      </c>
      <c r="M622">
        <v>-0.0945435780952415</v>
      </c>
      <c r="N622">
        <v>0.12</v>
      </c>
      <c r="O622">
        <v>0.01411119253332971</v>
      </c>
      <c r="P622" t="s">
        <v>637</v>
      </c>
      <c r="Q622" t="s">
        <v>637</v>
      </c>
      <c r="R622">
        <v>0</v>
      </c>
      <c r="T622">
        <v>1875</v>
      </c>
      <c r="U622">
        <v>1.643093333333334</v>
      </c>
      <c r="V622">
        <v>26.4762</v>
      </c>
      <c r="W622">
        <v>75</v>
      </c>
      <c r="Y622">
        <v>0.728123</v>
      </c>
      <c r="AA622">
        <v>0.9790660225442833</v>
      </c>
      <c r="AB622">
        <v>0.9485530546623794</v>
      </c>
      <c r="AC622">
        <v>0.1205787781350482</v>
      </c>
      <c r="AD622">
        <v>0.1816720257234727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1373.47</v>
      </c>
      <c r="D623">
        <v>264367.54234</v>
      </c>
      <c r="E623" t="s">
        <v>663</v>
      </c>
      <c r="F623" t="s">
        <v>631</v>
      </c>
      <c r="G623" t="s">
        <v>671</v>
      </c>
      <c r="H623" t="s">
        <v>701</v>
      </c>
      <c r="I623" t="s">
        <v>1311</v>
      </c>
      <c r="J623" t="s">
        <v>1313</v>
      </c>
      <c r="K623">
        <v>44035</v>
      </c>
      <c r="M623">
        <v>-0.2688397986178945</v>
      </c>
      <c r="N623">
        <v>0.2</v>
      </c>
      <c r="O623">
        <v>-0.1226077583414734</v>
      </c>
      <c r="P623" t="s">
        <v>637</v>
      </c>
      <c r="Q623" t="s">
        <v>637</v>
      </c>
      <c r="R623">
        <v>0</v>
      </c>
      <c r="T623">
        <v>287</v>
      </c>
      <c r="U623">
        <v>4.785609756097561</v>
      </c>
      <c r="V623">
        <v>2.0288</v>
      </c>
      <c r="W623">
        <v>0</v>
      </c>
      <c r="Y623">
        <v>5.096139</v>
      </c>
      <c r="AA623">
        <v>1</v>
      </c>
      <c r="AB623">
        <v>0.9903536977491961</v>
      </c>
      <c r="AC623">
        <v>0.001607717041800643</v>
      </c>
      <c r="AD623">
        <v>0.008038585209003215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1323</v>
      </c>
      <c r="C1" s="1" t="s">
        <v>644</v>
      </c>
      <c r="D1" s="1" t="s">
        <v>1324</v>
      </c>
      <c r="E1" s="1" t="s">
        <v>1325</v>
      </c>
      <c r="F1" s="1" t="s">
        <v>1326</v>
      </c>
      <c r="G1" s="1" t="s">
        <v>1327</v>
      </c>
      <c r="H1" s="1" t="s">
        <v>1328</v>
      </c>
      <c r="I1" s="1" t="s">
        <v>1329</v>
      </c>
      <c r="J1" s="1" t="s">
        <v>6</v>
      </c>
      <c r="K1" s="1"/>
      <c r="L1" s="1" t="s">
        <v>1330</v>
      </c>
      <c r="M1" s="1"/>
      <c r="N1" s="1"/>
      <c r="O1" s="1"/>
      <c r="P1" s="1"/>
    </row>
    <row r="2" spans="1:16">
      <c r="A2" s="1" t="s">
        <v>1331</v>
      </c>
      <c r="B2" t="s">
        <v>1331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1331</v>
      </c>
      <c r="L2" t="s">
        <v>1332</v>
      </c>
      <c r="M2">
        <f>SUMIF($I$2:$I$50,"=1",$H$2:$H$50)/4</f>
        <v>0</v>
      </c>
      <c r="N2" t="s">
        <v>1331</v>
      </c>
      <c r="O2" t="s">
        <v>1331</v>
      </c>
      <c r="P2" t="s">
        <v>1331</v>
      </c>
    </row>
    <row r="3" spans="1:16">
      <c r="A3" s="1" t="s">
        <v>1331</v>
      </c>
      <c r="B3" t="s">
        <v>1331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1331</v>
      </c>
      <c r="L3" t="s">
        <v>1333</v>
      </c>
      <c r="M3">
        <f>SUMIF($I$2:$I$50,"=2",$H$2:$H$50)/4</f>
        <v>0</v>
      </c>
      <c r="N3" t="s">
        <v>1331</v>
      </c>
      <c r="O3" t="s">
        <v>1331</v>
      </c>
      <c r="P3" t="s">
        <v>1331</v>
      </c>
    </row>
    <row r="4" spans="1:16">
      <c r="A4" s="1" t="s">
        <v>1331</v>
      </c>
      <c r="B4" t="s">
        <v>1331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1331</v>
      </c>
      <c r="L4" t="s">
        <v>1334</v>
      </c>
      <c r="M4">
        <f>SUMIF($I$2:$I$50,"=0",$H$2:$H$50)/4</f>
        <v>0</v>
      </c>
      <c r="N4" t="s">
        <v>1331</v>
      </c>
      <c r="O4" t="s">
        <v>1331</v>
      </c>
      <c r="P4" t="s">
        <v>1331</v>
      </c>
    </row>
    <row r="5" spans="1:16">
      <c r="A5" s="1" t="s">
        <v>1331</v>
      </c>
      <c r="B5" t="s">
        <v>1331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1331</v>
      </c>
      <c r="L5" t="s">
        <v>1335</v>
      </c>
      <c r="M5">
        <f>SUMIF($I$2:$I$50,"=1",$H$2:$H$50)/4</f>
        <v>0</v>
      </c>
      <c r="N5" t="s">
        <v>1331</v>
      </c>
      <c r="O5" t="s">
        <v>1331</v>
      </c>
      <c r="P5" t="s">
        <v>1331</v>
      </c>
    </row>
    <row r="6" spans="1:16">
      <c r="A6" s="1" t="s">
        <v>1331</v>
      </c>
      <c r="B6" t="s">
        <v>1331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1331</v>
      </c>
      <c r="L6" t="s">
        <v>1336</v>
      </c>
      <c r="M6">
        <f>SUMIF($I$2:$I$50,"=2",$H$2:$H$50)/4</f>
        <v>0</v>
      </c>
      <c r="N6" t="s">
        <v>1331</v>
      </c>
      <c r="O6" t="s">
        <v>1331</v>
      </c>
      <c r="P6" t="s">
        <v>1331</v>
      </c>
    </row>
    <row r="7" spans="1:16">
      <c r="A7" s="1" t="s">
        <v>1331</v>
      </c>
      <c r="B7" t="s">
        <v>1331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1331</v>
      </c>
      <c r="L7" t="s">
        <v>1337</v>
      </c>
      <c r="M7">
        <f>SUMIF($I$2:$I$50,"=0",$H$2:$H$50)/4</f>
        <v>0</v>
      </c>
      <c r="N7" t="s">
        <v>1331</v>
      </c>
      <c r="O7" t="s">
        <v>1331</v>
      </c>
      <c r="P7" t="s">
        <v>1331</v>
      </c>
    </row>
    <row r="8" spans="1:16">
      <c r="A8" s="1" t="s">
        <v>1331</v>
      </c>
      <c r="B8" t="s">
        <v>1331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1331</v>
      </c>
      <c r="L8" t="s">
        <v>1338</v>
      </c>
      <c r="M8">
        <f>SUMIF($I$2:$I$50,"=1",$H$2:$H$50)/4</f>
        <v>0</v>
      </c>
      <c r="N8" t="s">
        <v>1331</v>
      </c>
      <c r="O8" t="s">
        <v>1331</v>
      </c>
      <c r="P8" t="s">
        <v>1331</v>
      </c>
    </row>
    <row r="9" spans="1:16">
      <c r="A9" s="1" t="s">
        <v>1331</v>
      </c>
      <c r="B9" t="s">
        <v>1331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1331</v>
      </c>
      <c r="L9" t="s">
        <v>1339</v>
      </c>
      <c r="M9">
        <f>SUMIF($I$2:$I$50,"=2",$H$2:$H$50)/4</f>
        <v>0</v>
      </c>
      <c r="N9" t="s">
        <v>1331</v>
      </c>
      <c r="O9" t="s">
        <v>1331</v>
      </c>
      <c r="P9" t="s">
        <v>1331</v>
      </c>
    </row>
    <row r="10" spans="1:16">
      <c r="A10" s="1" t="s">
        <v>1331</v>
      </c>
      <c r="B10" t="s">
        <v>1331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1331</v>
      </c>
      <c r="L10" t="s">
        <v>1340</v>
      </c>
      <c r="M10">
        <f>SUMIF($I$2:$I$50,"=0",$H$2:$H$50)/4</f>
        <v>0</v>
      </c>
      <c r="N10" t="s">
        <v>1331</v>
      </c>
      <c r="O10" t="s">
        <v>1331</v>
      </c>
      <c r="P10" t="s">
        <v>1331</v>
      </c>
    </row>
    <row r="11" spans="1:16">
      <c r="A11" s="1" t="s">
        <v>1331</v>
      </c>
      <c r="B11" t="s">
        <v>1331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1331</v>
      </c>
      <c r="L11" t="s">
        <v>1341</v>
      </c>
      <c r="M11">
        <f>SUMIF($I$2:$I$50,"=1",$H$2:$H$50)/4</f>
        <v>0</v>
      </c>
      <c r="N11" t="s">
        <v>1331</v>
      </c>
      <c r="O11" t="s">
        <v>1331</v>
      </c>
      <c r="P11" t="s">
        <v>1331</v>
      </c>
    </row>
    <row r="12" spans="1:16">
      <c r="A12" s="1" t="s">
        <v>1331</v>
      </c>
      <c r="B12" t="s">
        <v>1331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1331</v>
      </c>
      <c r="L12" t="s">
        <v>1342</v>
      </c>
      <c r="M12">
        <f>SUMIF($I$2:$I$50,"=2",$H$2:$H$50)/4</f>
        <v>0</v>
      </c>
      <c r="N12" t="s">
        <v>1331</v>
      </c>
      <c r="O12" t="s">
        <v>1331</v>
      </c>
      <c r="P12" t="s">
        <v>1331</v>
      </c>
    </row>
    <row r="13" spans="1:16">
      <c r="A13" s="1" t="s">
        <v>1331</v>
      </c>
      <c r="B13" t="s">
        <v>1331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1331</v>
      </c>
      <c r="L13" t="s">
        <v>1343</v>
      </c>
      <c r="M13">
        <f>SUMIF($I$2:$I$50,"=0",$H$2:$H$50)/4</f>
        <v>0</v>
      </c>
      <c r="N13" t="s">
        <v>1331</v>
      </c>
      <c r="O13" t="s">
        <v>1331</v>
      </c>
      <c r="P13" t="s">
        <v>1331</v>
      </c>
    </row>
    <row r="14" spans="1:16">
      <c r="A14" s="1" t="s">
        <v>1331</v>
      </c>
      <c r="B14" t="s">
        <v>1331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1331</v>
      </c>
      <c r="L14" t="s">
        <v>1331</v>
      </c>
      <c r="M14" t="s">
        <v>1331</v>
      </c>
      <c r="N14" t="s">
        <v>1331</v>
      </c>
      <c r="O14" t="s">
        <v>1331</v>
      </c>
      <c r="P14" t="s">
        <v>1331</v>
      </c>
    </row>
    <row r="15" spans="1:16">
      <c r="A15" s="1" t="s">
        <v>1331</v>
      </c>
      <c r="B15" t="s">
        <v>1331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1331</v>
      </c>
      <c r="L15" t="s">
        <v>1344</v>
      </c>
      <c r="M15" t="s">
        <v>1331</v>
      </c>
      <c r="N15" t="s">
        <v>1331</v>
      </c>
      <c r="O15" t="s">
        <v>1331</v>
      </c>
      <c r="P15" t="s">
        <v>1331</v>
      </c>
    </row>
    <row r="16" spans="1:16">
      <c r="A16" s="1" t="s">
        <v>1331</v>
      </c>
      <c r="B16" t="s">
        <v>1331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1331</v>
      </c>
      <c r="L16" t="s">
        <v>1321</v>
      </c>
      <c r="M16">
        <f>SUMIF($C$2:$C$50,"=Basic Materials",$H$2:$H$50)/4</f>
        <v>0</v>
      </c>
      <c r="N16" t="s">
        <v>1331</v>
      </c>
      <c r="O16" t="s">
        <v>1331</v>
      </c>
      <c r="P16" t="s">
        <v>1331</v>
      </c>
    </row>
    <row r="17" spans="1:16">
      <c r="A17" s="1" t="s">
        <v>1331</v>
      </c>
      <c r="B17" t="s">
        <v>1331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1331</v>
      </c>
      <c r="L17" t="s">
        <v>1319</v>
      </c>
      <c r="M17">
        <f>SUMIF($C$2:$C$50,"=Communication Services",$H$2:$H$50)/4</f>
        <v>0</v>
      </c>
      <c r="N17" t="s">
        <v>1331</v>
      </c>
      <c r="O17" t="s">
        <v>1331</v>
      </c>
      <c r="P17" t="s">
        <v>1331</v>
      </c>
    </row>
    <row r="18" spans="1:16">
      <c r="A18" s="1" t="s">
        <v>1331</v>
      </c>
      <c r="B18" t="s">
        <v>1331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1331</v>
      </c>
      <c r="L18" t="s">
        <v>1313</v>
      </c>
      <c r="M18">
        <f>SUMIF($C$2:$C$50,"=Consumer Cyclical",$H$2:$H$50)/4</f>
        <v>0</v>
      </c>
      <c r="N18" t="s">
        <v>1331</v>
      </c>
      <c r="O18" t="s">
        <v>1331</v>
      </c>
      <c r="P18" t="s">
        <v>1331</v>
      </c>
    </row>
    <row r="19" spans="1:16">
      <c r="A19" s="1" t="s">
        <v>1331</v>
      </c>
      <c r="B19" t="s">
        <v>1331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1331</v>
      </c>
      <c r="L19" t="s">
        <v>1320</v>
      </c>
      <c r="M19">
        <f>SUMIF($C$2:$C$50,"=Consumer Defensive",$H$2:$H$50)/4</f>
        <v>0</v>
      </c>
      <c r="N19" t="s">
        <v>1331</v>
      </c>
      <c r="O19" t="s">
        <v>1331</v>
      </c>
      <c r="P19" t="s">
        <v>1331</v>
      </c>
    </row>
    <row r="20" spans="1:16">
      <c r="A20" s="1" t="s">
        <v>1331</v>
      </c>
      <c r="B20" t="s">
        <v>1331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1331</v>
      </c>
      <c r="L20" t="s">
        <v>1317</v>
      </c>
      <c r="M20">
        <f>SUMIF($C$2:$C$50,"=Energy",$H$2:$H$50)/4</f>
        <v>0</v>
      </c>
      <c r="N20" t="s">
        <v>1331</v>
      </c>
      <c r="O20" t="s">
        <v>1331</v>
      </c>
      <c r="P20" t="s">
        <v>1331</v>
      </c>
    </row>
    <row r="21" spans="1:16">
      <c r="A21" s="1" t="s">
        <v>1331</v>
      </c>
      <c r="B21" t="s">
        <v>1331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1331</v>
      </c>
      <c r="L21" t="s">
        <v>1312</v>
      </c>
      <c r="M21">
        <f>SUMIF($C$2:$C$50,"=Financial Services",$H$2:$H$50)/4</f>
        <v>0</v>
      </c>
      <c r="N21" t="s">
        <v>1331</v>
      </c>
      <c r="O21" t="s">
        <v>1331</v>
      </c>
      <c r="P21" t="s">
        <v>1331</v>
      </c>
    </row>
    <row r="22" spans="1:16">
      <c r="A22" s="1" t="s">
        <v>1331</v>
      </c>
      <c r="B22" t="s">
        <v>1331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1331</v>
      </c>
      <c r="L22" t="s">
        <v>1316</v>
      </c>
      <c r="M22">
        <f>SUMIF($C$2:$C$50,"=Healthcare",$H$2:$H$50)/4</f>
        <v>0</v>
      </c>
      <c r="N22" t="s">
        <v>1331</v>
      </c>
      <c r="O22" t="s">
        <v>1331</v>
      </c>
      <c r="P22" t="s">
        <v>1331</v>
      </c>
    </row>
    <row r="23" spans="1:16">
      <c r="A23" s="1" t="s">
        <v>1331</v>
      </c>
      <c r="B23" t="s">
        <v>1331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1331</v>
      </c>
      <c r="L23" t="s">
        <v>1315</v>
      </c>
      <c r="M23">
        <f>SUMIF($C$2:$C$50,"=Industrials",$H$2:$H$50)/4</f>
        <v>0</v>
      </c>
      <c r="N23" t="s">
        <v>1331</v>
      </c>
      <c r="O23" t="s">
        <v>1331</v>
      </c>
      <c r="P23" t="s">
        <v>1331</v>
      </c>
    </row>
    <row r="24" spans="1:16">
      <c r="A24" s="1" t="s">
        <v>1331</v>
      </c>
      <c r="B24" t="s">
        <v>1331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1331</v>
      </c>
      <c r="L24" t="s">
        <v>1322</v>
      </c>
      <c r="M24">
        <f>SUMIF($C$2:$C$50,"=Real Estate",$H$2:$H$50)/4</f>
        <v>0</v>
      </c>
      <c r="N24" t="s">
        <v>1331</v>
      </c>
      <c r="O24" t="s">
        <v>1331</v>
      </c>
      <c r="P24" t="s">
        <v>1331</v>
      </c>
    </row>
    <row r="25" spans="1:16">
      <c r="A25" s="1" t="s">
        <v>1331</v>
      </c>
      <c r="B25" t="s">
        <v>1331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1331</v>
      </c>
      <c r="L25" t="s">
        <v>1318</v>
      </c>
      <c r="M25">
        <f>SUMIF($C$2:$C$50,"=Technology",$H$2:$H$50)/4</f>
        <v>0</v>
      </c>
      <c r="N25" t="s">
        <v>1331</v>
      </c>
      <c r="O25" t="s">
        <v>1331</v>
      </c>
      <c r="P25" t="s">
        <v>1331</v>
      </c>
    </row>
    <row r="26" spans="1:16">
      <c r="A26" s="1" t="s">
        <v>1331</v>
      </c>
      <c r="B26" t="s">
        <v>1331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1331</v>
      </c>
      <c r="L26" t="s">
        <v>1314</v>
      </c>
      <c r="M26">
        <f>SUMIF($C$2:$C$50,"=Utilities",$H$2:$H$50)/4</f>
        <v>0</v>
      </c>
      <c r="N26" t="s">
        <v>1331</v>
      </c>
      <c r="O26" t="s">
        <v>1331</v>
      </c>
      <c r="P26" t="s">
        <v>1331</v>
      </c>
    </row>
    <row r="27" spans="1:16">
      <c r="A27" s="1" t="s">
        <v>1331</v>
      </c>
      <c r="B27" t="s">
        <v>1331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1331</v>
      </c>
      <c r="L27" t="s">
        <v>1331</v>
      </c>
      <c r="M27" t="s">
        <v>1331</v>
      </c>
      <c r="N27" t="s">
        <v>1331</v>
      </c>
      <c r="O27" t="s">
        <v>1331</v>
      </c>
      <c r="P27" t="s">
        <v>1331</v>
      </c>
    </row>
    <row r="28" spans="1:16">
      <c r="A28" s="1" t="s">
        <v>1331</v>
      </c>
      <c r="B28" t="s">
        <v>1331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1331</v>
      </c>
      <c r="L28" t="s">
        <v>1331</v>
      </c>
      <c r="M28" t="s">
        <v>1331</v>
      </c>
      <c r="N28" t="s">
        <v>1331</v>
      </c>
      <c r="O28" t="s">
        <v>1331</v>
      </c>
      <c r="P28" t="s">
        <v>1331</v>
      </c>
    </row>
    <row r="29" spans="1:16">
      <c r="A29" s="1" t="s">
        <v>1331</v>
      </c>
      <c r="B29" t="s">
        <v>1331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1331</v>
      </c>
      <c r="L29" t="s">
        <v>1331</v>
      </c>
      <c r="M29" t="s">
        <v>1331</v>
      </c>
      <c r="N29" t="s">
        <v>1331</v>
      </c>
      <c r="O29" t="s">
        <v>1331</v>
      </c>
      <c r="P29" t="s">
        <v>1331</v>
      </c>
    </row>
    <row r="30" spans="1:16">
      <c r="A30" s="1" t="s">
        <v>1331</v>
      </c>
      <c r="B30" t="s">
        <v>1331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1331</v>
      </c>
      <c r="L30" t="s">
        <v>1331</v>
      </c>
      <c r="M30" t="s">
        <v>1331</v>
      </c>
      <c r="N30" t="s">
        <v>1331</v>
      </c>
      <c r="O30" t="s">
        <v>1331</v>
      </c>
      <c r="P30" t="s">
        <v>1331</v>
      </c>
    </row>
    <row r="31" spans="1:16">
      <c r="A31" s="1" t="s">
        <v>1331</v>
      </c>
      <c r="B31" t="s">
        <v>1331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1331</v>
      </c>
      <c r="L31" t="s">
        <v>1331</v>
      </c>
      <c r="M31" t="s">
        <v>1331</v>
      </c>
      <c r="N31" t="s">
        <v>1331</v>
      </c>
      <c r="O31" t="s">
        <v>1331</v>
      </c>
      <c r="P31" t="s">
        <v>1331</v>
      </c>
    </row>
    <row r="32" spans="1:16">
      <c r="A32" s="1" t="s">
        <v>1331</v>
      </c>
      <c r="B32" t="s">
        <v>1331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1331</v>
      </c>
      <c r="L32" t="s">
        <v>1331</v>
      </c>
      <c r="M32" t="s">
        <v>1331</v>
      </c>
      <c r="N32" t="s">
        <v>1331</v>
      </c>
      <c r="O32" t="s">
        <v>1331</v>
      </c>
      <c r="P32" t="s">
        <v>1331</v>
      </c>
    </row>
    <row r="33" spans="1:16">
      <c r="A33" s="1" t="s">
        <v>1331</v>
      </c>
      <c r="B33" t="s">
        <v>1331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1331</v>
      </c>
      <c r="L33" t="s">
        <v>1331</v>
      </c>
      <c r="M33" t="s">
        <v>1331</v>
      </c>
      <c r="N33" t="s">
        <v>1331</v>
      </c>
      <c r="O33" t="s">
        <v>1331</v>
      </c>
      <c r="P33" t="s">
        <v>1331</v>
      </c>
    </row>
    <row r="34" spans="1:16">
      <c r="A34" s="1" t="s">
        <v>1331</v>
      </c>
      <c r="B34" t="s">
        <v>1331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1331</v>
      </c>
      <c r="L34" t="s">
        <v>1331</v>
      </c>
      <c r="M34" t="s">
        <v>1331</v>
      </c>
      <c r="N34" t="s">
        <v>1331</v>
      </c>
      <c r="O34" t="s">
        <v>1331</v>
      </c>
      <c r="P34" t="s">
        <v>1331</v>
      </c>
    </row>
    <row r="35" spans="1:16">
      <c r="A35" s="1" t="s">
        <v>1331</v>
      </c>
      <c r="B35" t="s">
        <v>1331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1331</v>
      </c>
      <c r="L35" t="s">
        <v>1331</v>
      </c>
      <c r="M35" t="s">
        <v>1331</v>
      </c>
      <c r="N35" t="s">
        <v>1331</v>
      </c>
      <c r="O35" t="s">
        <v>1331</v>
      </c>
      <c r="P35" t="s">
        <v>1331</v>
      </c>
    </row>
    <row r="36" spans="1:16">
      <c r="A36" s="1" t="s">
        <v>1331</v>
      </c>
      <c r="B36" t="s">
        <v>1331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1331</v>
      </c>
      <c r="L36" t="s">
        <v>1331</v>
      </c>
      <c r="M36" t="s">
        <v>1331</v>
      </c>
      <c r="N36" t="s">
        <v>1331</v>
      </c>
      <c r="O36" t="s">
        <v>1331</v>
      </c>
      <c r="P36" t="s">
        <v>1331</v>
      </c>
    </row>
    <row r="37" spans="1:16">
      <c r="A37" s="1" t="s">
        <v>1331</v>
      </c>
      <c r="B37" t="s">
        <v>1331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1331</v>
      </c>
      <c r="L37" t="s">
        <v>1331</v>
      </c>
      <c r="M37" t="s">
        <v>1331</v>
      </c>
      <c r="N37" t="s">
        <v>1331</v>
      </c>
      <c r="O37" t="s">
        <v>1331</v>
      </c>
      <c r="P37" t="s">
        <v>1331</v>
      </c>
    </row>
    <row r="38" spans="1:16">
      <c r="A38" s="1" t="s">
        <v>1331</v>
      </c>
      <c r="B38" t="s">
        <v>1331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1331</v>
      </c>
      <c r="L38" t="s">
        <v>1331</v>
      </c>
      <c r="M38" t="s">
        <v>1331</v>
      </c>
      <c r="N38" t="s">
        <v>1331</v>
      </c>
      <c r="O38" t="s">
        <v>1331</v>
      </c>
      <c r="P38" t="s">
        <v>1331</v>
      </c>
    </row>
    <row r="39" spans="1:16">
      <c r="A39" s="1" t="s">
        <v>1331</v>
      </c>
      <c r="B39" t="s">
        <v>1331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1331</v>
      </c>
      <c r="L39" t="s">
        <v>1331</v>
      </c>
      <c r="M39" t="s">
        <v>1331</v>
      </c>
      <c r="N39" t="s">
        <v>1331</v>
      </c>
      <c r="O39" t="s">
        <v>1331</v>
      </c>
      <c r="P39" t="s">
        <v>1331</v>
      </c>
    </row>
    <row r="40" spans="1:16">
      <c r="A40" s="1" t="s">
        <v>1331</v>
      </c>
      <c r="B40" t="s">
        <v>1331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1331</v>
      </c>
      <c r="L40" t="s">
        <v>1331</v>
      </c>
      <c r="M40" t="s">
        <v>1331</v>
      </c>
      <c r="N40" t="s">
        <v>1331</v>
      </c>
      <c r="O40" t="s">
        <v>1331</v>
      </c>
      <c r="P40" t="s">
        <v>1331</v>
      </c>
    </row>
    <row r="41" spans="1:16">
      <c r="A41" s="1" t="s">
        <v>1331</v>
      </c>
      <c r="B41" t="s">
        <v>1331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1331</v>
      </c>
      <c r="L41" t="s">
        <v>1331</v>
      </c>
      <c r="M41" t="s">
        <v>1331</v>
      </c>
      <c r="N41" t="s">
        <v>1331</v>
      </c>
      <c r="O41" t="s">
        <v>1331</v>
      </c>
      <c r="P41" t="s">
        <v>1331</v>
      </c>
    </row>
    <row r="42" spans="1:16">
      <c r="A42" s="1" t="s">
        <v>1331</v>
      </c>
      <c r="B42" t="s">
        <v>1331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1331</v>
      </c>
      <c r="L42" t="s">
        <v>1331</v>
      </c>
      <c r="M42" t="s">
        <v>1331</v>
      </c>
      <c r="N42" t="s">
        <v>1331</v>
      </c>
      <c r="O42" t="s">
        <v>1331</v>
      </c>
      <c r="P42" t="s">
        <v>1331</v>
      </c>
    </row>
    <row r="43" spans="1:16">
      <c r="A43" s="1" t="s">
        <v>1331</v>
      </c>
      <c r="B43" t="s">
        <v>1331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1331</v>
      </c>
      <c r="L43" t="s">
        <v>1331</v>
      </c>
      <c r="M43" t="s">
        <v>1331</v>
      </c>
      <c r="N43" t="s">
        <v>1331</v>
      </c>
      <c r="O43" t="s">
        <v>1331</v>
      </c>
      <c r="P43" t="s">
        <v>1331</v>
      </c>
    </row>
    <row r="44" spans="1:16">
      <c r="A44" s="1" t="s">
        <v>1331</v>
      </c>
      <c r="B44" t="s">
        <v>1331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1331</v>
      </c>
      <c r="L44" t="s">
        <v>1331</v>
      </c>
      <c r="M44" t="s">
        <v>1331</v>
      </c>
      <c r="N44" t="s">
        <v>1331</v>
      </c>
      <c r="O44" t="s">
        <v>1331</v>
      </c>
      <c r="P44" t="s">
        <v>1331</v>
      </c>
    </row>
    <row r="45" spans="1:16">
      <c r="A45" s="1" t="s">
        <v>1331</v>
      </c>
      <c r="B45" t="s">
        <v>1331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1331</v>
      </c>
      <c r="L45" t="s">
        <v>1331</v>
      </c>
      <c r="M45" t="s">
        <v>1331</v>
      </c>
      <c r="N45" t="s">
        <v>1331</v>
      </c>
      <c r="O45" t="s">
        <v>1331</v>
      </c>
      <c r="P45" t="s">
        <v>1331</v>
      </c>
    </row>
    <row r="46" spans="1:16">
      <c r="A46" s="1" t="s">
        <v>1331</v>
      </c>
      <c r="B46" t="s">
        <v>1331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1331</v>
      </c>
      <c r="L46" t="s">
        <v>1331</v>
      </c>
      <c r="M46" t="s">
        <v>1331</v>
      </c>
      <c r="N46" t="s">
        <v>1331</v>
      </c>
      <c r="O46" t="s">
        <v>1331</v>
      </c>
      <c r="P46" t="s">
        <v>1331</v>
      </c>
    </row>
    <row r="47" spans="1:16">
      <c r="A47" s="1" t="s">
        <v>1331</v>
      </c>
      <c r="B47" t="s">
        <v>1331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1331</v>
      </c>
      <c r="L47" t="s">
        <v>1331</v>
      </c>
      <c r="M47" t="s">
        <v>1331</v>
      </c>
      <c r="N47" t="s">
        <v>1331</v>
      </c>
      <c r="O47" t="s">
        <v>1331</v>
      </c>
      <c r="P47" t="s">
        <v>1331</v>
      </c>
    </row>
    <row r="48" spans="1:16">
      <c r="A48" s="1" t="s">
        <v>1331</v>
      </c>
      <c r="B48" t="s">
        <v>1331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1331</v>
      </c>
      <c r="L48" t="s">
        <v>1331</v>
      </c>
      <c r="M48" t="s">
        <v>1331</v>
      </c>
      <c r="N48" t="s">
        <v>1331</v>
      </c>
      <c r="O48" t="s">
        <v>1331</v>
      </c>
      <c r="P48" t="s">
        <v>1331</v>
      </c>
    </row>
    <row r="49" spans="1:16">
      <c r="A49" s="1" t="s">
        <v>1331</v>
      </c>
      <c r="B49" t="s">
        <v>1331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1331</v>
      </c>
      <c r="L49" t="s">
        <v>1331</v>
      </c>
      <c r="M49" t="s">
        <v>1331</v>
      </c>
      <c r="N49" t="s">
        <v>1331</v>
      </c>
      <c r="O49" t="s">
        <v>1331</v>
      </c>
      <c r="P49" t="s">
        <v>1331</v>
      </c>
    </row>
    <row r="50" spans="1:16">
      <c r="A50" s="1" t="s">
        <v>1331</v>
      </c>
      <c r="B50" t="s">
        <v>1331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1331</v>
      </c>
      <c r="L50" t="s">
        <v>1331</v>
      </c>
      <c r="M50" t="s">
        <v>1331</v>
      </c>
      <c r="N50" t="s">
        <v>1331</v>
      </c>
      <c r="O50" t="s">
        <v>1331</v>
      </c>
      <c r="P50" t="s">
        <v>1331</v>
      </c>
    </row>
    <row r="51" spans="1:16">
      <c r="A51" s="1" t="s">
        <v>1331</v>
      </c>
      <c r="B51" t="s">
        <v>1331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1331</v>
      </c>
      <c r="L51" t="s">
        <v>1331</v>
      </c>
      <c r="M51" t="s">
        <v>1331</v>
      </c>
      <c r="N51" t="s">
        <v>1331</v>
      </c>
      <c r="O51" t="s">
        <v>1331</v>
      </c>
      <c r="P51" t="s">
        <v>1331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1346</v>
      </c>
      <c r="B1" s="1" t="s">
        <v>1345</v>
      </c>
    </row>
    <row r="2" spans="1:2">
      <c r="A2" s="1" t="s">
        <v>1347</v>
      </c>
      <c r="B2" t="s">
        <v>637</v>
      </c>
    </row>
    <row r="3" spans="1:2">
      <c r="A3" s="1" t="s">
        <v>1348</v>
      </c>
      <c r="B3" t="s">
        <v>637</v>
      </c>
    </row>
    <row r="4" spans="1:2">
      <c r="A4" s="1" t="s">
        <v>1349</v>
      </c>
      <c r="B4" t="s">
        <v>637</v>
      </c>
    </row>
    <row r="5" spans="1:2">
      <c r="A5" s="1" t="s">
        <v>1350</v>
      </c>
      <c r="B5" t="s">
        <v>637</v>
      </c>
    </row>
    <row r="6" spans="1:2">
      <c r="A6" s="1" t="s">
        <v>1351</v>
      </c>
      <c r="B6" t="s">
        <v>637</v>
      </c>
    </row>
    <row r="7" spans="1:2">
      <c r="A7" s="1" t="s">
        <v>1352</v>
      </c>
      <c r="B7" t="s">
        <v>637</v>
      </c>
    </row>
    <row r="8" spans="1:2">
      <c r="A8" s="1" t="s">
        <v>1353</v>
      </c>
      <c r="B8" t="s">
        <v>637</v>
      </c>
    </row>
    <row r="9" spans="1:2">
      <c r="A9" s="1" t="s">
        <v>1354</v>
      </c>
      <c r="B9" t="s">
        <v>637</v>
      </c>
    </row>
    <row r="10" spans="1:2">
      <c r="A10" s="1" t="s">
        <v>1355</v>
      </c>
      <c r="B10" t="s">
        <v>637</v>
      </c>
    </row>
    <row r="11" spans="1:2">
      <c r="A11" s="1" t="s">
        <v>1356</v>
      </c>
      <c r="B11" t="s">
        <v>637</v>
      </c>
    </row>
    <row r="12" spans="1:2">
      <c r="A12" s="1" t="s">
        <v>1357</v>
      </c>
      <c r="B12" t="s">
        <v>637</v>
      </c>
    </row>
    <row r="13" spans="1:2">
      <c r="A13" s="1" t="s">
        <v>1358</v>
      </c>
      <c r="B13" t="s">
        <v>637</v>
      </c>
    </row>
    <row r="14" spans="1:2">
      <c r="A14" s="1" t="s">
        <v>1359</v>
      </c>
      <c r="B14" t="s">
        <v>637</v>
      </c>
    </row>
    <row r="15" spans="1:2">
      <c r="A15" s="1" t="s">
        <v>1360</v>
      </c>
      <c r="B15" t="s">
        <v>637</v>
      </c>
    </row>
    <row r="16" spans="1:2">
      <c r="A16" s="1" t="s">
        <v>1361</v>
      </c>
      <c r="B16" t="s">
        <v>637</v>
      </c>
    </row>
    <row r="17" spans="1:2">
      <c r="A17" s="1" t="s">
        <v>1362</v>
      </c>
      <c r="B17" t="s">
        <v>637</v>
      </c>
    </row>
    <row r="18" spans="1:2">
      <c r="A18" s="1" t="s">
        <v>1363</v>
      </c>
      <c r="B18" t="s">
        <v>637</v>
      </c>
    </row>
    <row r="19" spans="1:2">
      <c r="A19" s="1" t="s">
        <v>1364</v>
      </c>
      <c r="B19" t="s">
        <v>637</v>
      </c>
    </row>
    <row r="20" spans="1:2">
      <c r="A20" s="1" t="s">
        <v>1365</v>
      </c>
      <c r="B20" t="s">
        <v>637</v>
      </c>
    </row>
    <row r="21" spans="1:2">
      <c r="A21" s="1" t="s">
        <v>1366</v>
      </c>
      <c r="B21" t="s">
        <v>637</v>
      </c>
    </row>
    <row r="22" spans="1:2">
      <c r="A22" s="1" t="s">
        <v>1367</v>
      </c>
      <c r="B22" t="s">
        <v>637</v>
      </c>
    </row>
    <row r="23" spans="1:2">
      <c r="A23" s="1" t="s">
        <v>1368</v>
      </c>
      <c r="B23" t="s">
        <v>637</v>
      </c>
    </row>
    <row r="24" spans="1:2">
      <c r="A24" s="1" t="s">
        <v>1369</v>
      </c>
      <c r="B24" t="s">
        <v>637</v>
      </c>
    </row>
    <row r="25" spans="1:2">
      <c r="A25" s="1" t="s">
        <v>1370</v>
      </c>
      <c r="B25" t="s">
        <v>637</v>
      </c>
    </row>
    <row r="26" spans="1:2">
      <c r="A26" s="1" t="s">
        <v>1371</v>
      </c>
      <c r="B26" t="s">
        <v>637</v>
      </c>
    </row>
    <row r="27" spans="1:2">
      <c r="A27" s="1" t="s">
        <v>1372</v>
      </c>
      <c r="B27" t="s">
        <v>637</v>
      </c>
    </row>
    <row r="28" spans="1:2">
      <c r="A28" s="1" t="s">
        <v>1373</v>
      </c>
      <c r="B28" t="s">
        <v>637</v>
      </c>
    </row>
    <row r="29" spans="1:2">
      <c r="A29" s="1" t="s">
        <v>1374</v>
      </c>
      <c r="B29" t="s">
        <v>637</v>
      </c>
    </row>
    <row r="30" spans="1:2">
      <c r="A30" s="1" t="s">
        <v>1375</v>
      </c>
      <c r="B30" t="s">
        <v>637</v>
      </c>
    </row>
    <row r="31" spans="1:2">
      <c r="A31" s="1" t="s">
        <v>1376</v>
      </c>
      <c r="B31" t="s">
        <v>637</v>
      </c>
    </row>
    <row r="32" spans="1:2">
      <c r="A32" s="1" t="s">
        <v>1377</v>
      </c>
      <c r="B32" t="s">
        <v>637</v>
      </c>
    </row>
    <row r="33" spans="1:2">
      <c r="A33" s="1" t="s">
        <v>1378</v>
      </c>
      <c r="B33" t="s">
        <v>637</v>
      </c>
    </row>
    <row r="34" spans="1:2">
      <c r="A34" s="1" t="s">
        <v>1379</v>
      </c>
      <c r="B34" t="s">
        <v>637</v>
      </c>
    </row>
    <row r="35" spans="1:2">
      <c r="A35" s="1" t="s">
        <v>1380</v>
      </c>
      <c r="B35" t="s">
        <v>637</v>
      </c>
    </row>
    <row r="36" spans="1:2">
      <c r="A36" s="1" t="s">
        <v>1381</v>
      </c>
      <c r="B36" t="s">
        <v>637</v>
      </c>
    </row>
    <row r="37" spans="1:2">
      <c r="A37" s="1" t="s">
        <v>1382</v>
      </c>
      <c r="B37" t="s">
        <v>637</v>
      </c>
    </row>
    <row r="38" spans="1:2">
      <c r="A38" s="1" t="s">
        <v>1383</v>
      </c>
      <c r="B38" t="s">
        <v>637</v>
      </c>
    </row>
    <row r="39" spans="1:2">
      <c r="A39" s="1" t="s">
        <v>1384</v>
      </c>
      <c r="B39" t="s">
        <v>637</v>
      </c>
    </row>
    <row r="40" spans="1:2">
      <c r="A40" s="1" t="s">
        <v>1385</v>
      </c>
      <c r="B40" t="s">
        <v>637</v>
      </c>
    </row>
    <row r="41" spans="1:2">
      <c r="A41" s="1" t="s">
        <v>1386</v>
      </c>
      <c r="B41" t="s">
        <v>637</v>
      </c>
    </row>
    <row r="42" spans="1:2">
      <c r="A42" s="1" t="s">
        <v>1387</v>
      </c>
      <c r="B42" t="s">
        <v>637</v>
      </c>
    </row>
    <row r="43" spans="1:2">
      <c r="A43" s="1" t="s">
        <v>1388</v>
      </c>
      <c r="B43" t="s">
        <v>637</v>
      </c>
    </row>
    <row r="44" spans="1:2">
      <c r="A44" s="1" t="s">
        <v>1389</v>
      </c>
      <c r="B44" t="s">
        <v>637</v>
      </c>
    </row>
    <row r="45" spans="1:2">
      <c r="A45" s="1" t="s">
        <v>1390</v>
      </c>
      <c r="B45" t="s">
        <v>637</v>
      </c>
    </row>
    <row r="46" spans="1:2">
      <c r="A46" s="1" t="s">
        <v>1391</v>
      </c>
      <c r="B46" t="s">
        <v>637</v>
      </c>
    </row>
    <row r="47" spans="1:2">
      <c r="A47" s="1" t="s">
        <v>1392</v>
      </c>
      <c r="B47" t="s">
        <v>637</v>
      </c>
    </row>
    <row r="48" spans="1:2">
      <c r="A48" s="1" t="s">
        <v>1393</v>
      </c>
      <c r="B48" t="s">
        <v>637</v>
      </c>
    </row>
    <row r="49" spans="1:2">
      <c r="A49" s="1" t="s">
        <v>1394</v>
      </c>
      <c r="B49">
        <v>43804</v>
      </c>
    </row>
    <row r="50" spans="1:2">
      <c r="A50" s="1" t="s">
        <v>1395</v>
      </c>
      <c r="B50" t="s">
        <v>637</v>
      </c>
    </row>
    <row r="51" spans="1:2">
      <c r="A51" s="1" t="s">
        <v>1396</v>
      </c>
      <c r="B51" t="s">
        <v>637</v>
      </c>
    </row>
    <row r="52" spans="1:2">
      <c r="A52" s="1" t="s">
        <v>1397</v>
      </c>
      <c r="B52" t="s">
        <v>637</v>
      </c>
    </row>
    <row r="53" spans="1:2">
      <c r="A53" s="1" t="s">
        <v>1398</v>
      </c>
      <c r="B53" t="s">
        <v>637</v>
      </c>
    </row>
    <row r="54" spans="1:2">
      <c r="A54" s="1" t="s">
        <v>1399</v>
      </c>
      <c r="B54" t="s">
        <v>637</v>
      </c>
    </row>
    <row r="55" spans="1:2">
      <c r="A55" s="1" t="s">
        <v>1400</v>
      </c>
      <c r="B55" t="s">
        <v>637</v>
      </c>
    </row>
    <row r="56" spans="1:2">
      <c r="A56" s="1" t="s">
        <v>1401</v>
      </c>
      <c r="B56" t="s">
        <v>637</v>
      </c>
    </row>
    <row r="57" spans="1:2">
      <c r="A57" s="1" t="s">
        <v>1402</v>
      </c>
      <c r="B57" t="s">
        <v>637</v>
      </c>
    </row>
    <row r="58" spans="1:2">
      <c r="A58" s="1" t="s">
        <v>1403</v>
      </c>
      <c r="B58" t="s">
        <v>637</v>
      </c>
    </row>
    <row r="59" spans="1:2">
      <c r="A59" s="1" t="s">
        <v>1404</v>
      </c>
      <c r="B59" t="s">
        <v>637</v>
      </c>
    </row>
    <row r="60" spans="1:2">
      <c r="A60" s="1" t="s">
        <v>1405</v>
      </c>
      <c r="B60" t="s">
        <v>637</v>
      </c>
    </row>
    <row r="61" spans="1:2">
      <c r="A61" s="1" t="s">
        <v>1406</v>
      </c>
      <c r="B61" t="s">
        <v>637</v>
      </c>
    </row>
    <row r="62" spans="1:2">
      <c r="A62" s="1" t="s">
        <v>1407</v>
      </c>
      <c r="B62" t="s">
        <v>637</v>
      </c>
    </row>
    <row r="63" spans="1:2">
      <c r="A63" s="1" t="s">
        <v>1408</v>
      </c>
      <c r="B63">
        <v>43798</v>
      </c>
    </row>
    <row r="64" spans="1:2">
      <c r="A64" s="1" t="s">
        <v>1409</v>
      </c>
      <c r="B64" t="s">
        <v>637</v>
      </c>
    </row>
    <row r="65" spans="1:2">
      <c r="A65" s="1" t="s">
        <v>1410</v>
      </c>
      <c r="B65" t="s">
        <v>637</v>
      </c>
    </row>
    <row r="66" spans="1:2">
      <c r="A66" s="1" t="s">
        <v>1411</v>
      </c>
      <c r="B66" t="s">
        <v>637</v>
      </c>
    </row>
    <row r="67" spans="1:2">
      <c r="A67" s="1" t="s">
        <v>1412</v>
      </c>
      <c r="B67" t="s">
        <v>637</v>
      </c>
    </row>
    <row r="68" spans="1:2">
      <c r="A68" s="1" t="s">
        <v>1413</v>
      </c>
      <c r="B68" t="s">
        <v>637</v>
      </c>
    </row>
    <row r="69" spans="1:2">
      <c r="A69" s="1" t="s">
        <v>1414</v>
      </c>
      <c r="B69" t="s">
        <v>637</v>
      </c>
    </row>
    <row r="70" spans="1:2">
      <c r="A70" s="1" t="s">
        <v>1415</v>
      </c>
      <c r="B70" t="s">
        <v>637</v>
      </c>
    </row>
    <row r="71" spans="1:2">
      <c r="A71" s="1" t="s">
        <v>1416</v>
      </c>
      <c r="B71">
        <v>43825</v>
      </c>
    </row>
    <row r="72" spans="1:2">
      <c r="A72" s="1" t="s">
        <v>1417</v>
      </c>
      <c r="B72" t="s">
        <v>637</v>
      </c>
    </row>
    <row r="73" spans="1:2">
      <c r="A73" s="1" t="s">
        <v>1418</v>
      </c>
      <c r="B73" t="s">
        <v>637</v>
      </c>
    </row>
    <row r="74" spans="1:2">
      <c r="A74" s="1" t="s">
        <v>1419</v>
      </c>
      <c r="B74" t="s">
        <v>637</v>
      </c>
    </row>
    <row r="75" spans="1:2">
      <c r="A75" s="1" t="s">
        <v>1420</v>
      </c>
      <c r="B75">
        <v>43487</v>
      </c>
    </row>
    <row r="76" spans="1:2">
      <c r="A76" s="1" t="s">
        <v>1421</v>
      </c>
      <c r="B76" t="s">
        <v>637</v>
      </c>
    </row>
    <row r="77" spans="1:2">
      <c r="A77" s="1" t="s">
        <v>1422</v>
      </c>
      <c r="B77" t="s">
        <v>637</v>
      </c>
    </row>
    <row r="78" spans="1:2">
      <c r="A78" s="1" t="s">
        <v>1423</v>
      </c>
      <c r="B78" t="s">
        <v>637</v>
      </c>
    </row>
    <row r="79" spans="1:2">
      <c r="A79" s="1" t="s">
        <v>1424</v>
      </c>
      <c r="B79" t="s">
        <v>637</v>
      </c>
    </row>
    <row r="80" spans="1:2">
      <c r="A80" s="1" t="s">
        <v>1425</v>
      </c>
      <c r="B80" t="s">
        <v>637</v>
      </c>
    </row>
    <row r="81" spans="1:2">
      <c r="A81" s="1" t="s">
        <v>1426</v>
      </c>
      <c r="B81" t="s">
        <v>637</v>
      </c>
    </row>
    <row r="82" spans="1:2">
      <c r="A82" s="1" t="s">
        <v>1427</v>
      </c>
      <c r="B82" t="s">
        <v>637</v>
      </c>
    </row>
    <row r="83" spans="1:2">
      <c r="A83" s="1" t="s">
        <v>1428</v>
      </c>
      <c r="B83">
        <v>43440</v>
      </c>
    </row>
    <row r="84" spans="1:2">
      <c r="A84" s="1" t="s">
        <v>1429</v>
      </c>
      <c r="B84" t="s">
        <v>637</v>
      </c>
    </row>
    <row r="85" spans="1:2">
      <c r="A85" s="1" t="s">
        <v>1430</v>
      </c>
      <c r="B85">
        <v>43787</v>
      </c>
    </row>
    <row r="86" spans="1:2">
      <c r="A86" s="1" t="s">
        <v>1431</v>
      </c>
      <c r="B86" t="s">
        <v>637</v>
      </c>
    </row>
    <row r="87" spans="1:2">
      <c r="A87" s="1" t="s">
        <v>1432</v>
      </c>
      <c r="B87" t="s">
        <v>637</v>
      </c>
    </row>
    <row r="88" spans="1:2">
      <c r="A88" s="1" t="s">
        <v>1433</v>
      </c>
      <c r="B88" t="s">
        <v>637</v>
      </c>
    </row>
    <row r="89" spans="1:2">
      <c r="A89" s="1" t="s">
        <v>1434</v>
      </c>
      <c r="B89">
        <v>43784</v>
      </c>
    </row>
    <row r="90" spans="1:2">
      <c r="A90" s="1" t="s">
        <v>1435</v>
      </c>
      <c r="B90" t="s">
        <v>637</v>
      </c>
    </row>
    <row r="91" spans="1:2">
      <c r="A91" s="1" t="s">
        <v>1436</v>
      </c>
      <c r="B91" t="s">
        <v>637</v>
      </c>
    </row>
    <row r="92" spans="1:2">
      <c r="A92" s="1" t="s">
        <v>1437</v>
      </c>
      <c r="B92" t="s">
        <v>637</v>
      </c>
    </row>
    <row r="93" spans="1:2">
      <c r="A93" s="1" t="s">
        <v>1438</v>
      </c>
      <c r="B93" t="s">
        <v>637</v>
      </c>
    </row>
    <row r="94" spans="1:2">
      <c r="A94" s="1" t="s">
        <v>1439</v>
      </c>
      <c r="B94" t="s">
        <v>637</v>
      </c>
    </row>
    <row r="95" spans="1:2">
      <c r="A95" s="1" t="s">
        <v>1440</v>
      </c>
      <c r="B95" t="s">
        <v>637</v>
      </c>
    </row>
    <row r="96" spans="1:2">
      <c r="A96" s="1" t="s">
        <v>1441</v>
      </c>
      <c r="B96" t="s">
        <v>637</v>
      </c>
    </row>
    <row r="97" spans="1:2">
      <c r="A97" s="1" t="s">
        <v>1442</v>
      </c>
      <c r="B97">
        <v>43738</v>
      </c>
    </row>
    <row r="98" spans="1:2">
      <c r="A98" s="1" t="s">
        <v>1443</v>
      </c>
      <c r="B98">
        <v>43738</v>
      </c>
    </row>
    <row r="99" spans="1:2">
      <c r="A99" s="1" t="s">
        <v>1444</v>
      </c>
      <c r="B99">
        <v>43822</v>
      </c>
    </row>
    <row r="100" spans="1:2">
      <c r="A100" s="1" t="s">
        <v>1445</v>
      </c>
      <c r="B100" t="s">
        <v>637</v>
      </c>
    </row>
    <row r="101" spans="1:2">
      <c r="A101" s="1" t="s">
        <v>1446</v>
      </c>
      <c r="B101" t="s">
        <v>637</v>
      </c>
    </row>
    <row r="102" spans="1:2">
      <c r="A102" s="1" t="s">
        <v>1447</v>
      </c>
      <c r="B102">
        <v>43822</v>
      </c>
    </row>
    <row r="103" spans="1:2">
      <c r="A103" s="1" t="s">
        <v>1448</v>
      </c>
      <c r="B103">
        <v>43783</v>
      </c>
    </row>
    <row r="104" spans="1:2">
      <c r="A104" s="1" t="s">
        <v>1449</v>
      </c>
      <c r="B104" t="s">
        <v>637</v>
      </c>
    </row>
    <row r="105" spans="1:2">
      <c r="A105" s="1" t="s">
        <v>1450</v>
      </c>
      <c r="B105">
        <v>43794</v>
      </c>
    </row>
    <row r="106" spans="1:2">
      <c r="A106" s="1" t="s">
        <v>1451</v>
      </c>
      <c r="B106" t="s">
        <v>637</v>
      </c>
    </row>
    <row r="107" spans="1:2">
      <c r="A107" s="1" t="s">
        <v>1452</v>
      </c>
      <c r="B107" t="s">
        <v>637</v>
      </c>
    </row>
    <row r="108" spans="1:2">
      <c r="A108" s="1" t="s">
        <v>1453</v>
      </c>
      <c r="B108" t="s">
        <v>637</v>
      </c>
    </row>
    <row r="109" spans="1:2">
      <c r="A109" s="1" t="s">
        <v>1454</v>
      </c>
      <c r="B109">
        <v>43830</v>
      </c>
    </row>
    <row r="110" spans="1:2">
      <c r="A110" s="1" t="s">
        <v>1455</v>
      </c>
      <c r="B110">
        <v>43709</v>
      </c>
    </row>
    <row r="111" spans="1:2">
      <c r="A111" s="1" t="s">
        <v>1456</v>
      </c>
      <c r="B111" t="s">
        <v>637</v>
      </c>
    </row>
    <row r="112" spans="1:2">
      <c r="A112" s="1" t="s">
        <v>1457</v>
      </c>
      <c r="B112">
        <v>43709</v>
      </c>
    </row>
    <row r="113" spans="1:2">
      <c r="A113" s="1" t="s">
        <v>1458</v>
      </c>
      <c r="B113">
        <v>43711</v>
      </c>
    </row>
    <row r="114" spans="1:2">
      <c r="A114" s="1" t="s">
        <v>1459</v>
      </c>
      <c r="B114">
        <v>43709</v>
      </c>
    </row>
    <row r="115" spans="1:2">
      <c r="A115" s="1" t="s">
        <v>1460</v>
      </c>
      <c r="B115">
        <v>43784</v>
      </c>
    </row>
    <row r="116" spans="1:2">
      <c r="A116" s="1" t="s">
        <v>1461</v>
      </c>
      <c r="B116">
        <v>43709</v>
      </c>
    </row>
    <row r="117" spans="1:2">
      <c r="A117" s="1" t="s">
        <v>1462</v>
      </c>
      <c r="B117">
        <v>43825</v>
      </c>
    </row>
    <row r="118" spans="1:2">
      <c r="A118" s="1" t="s">
        <v>1463</v>
      </c>
      <c r="B118" t="s">
        <v>637</v>
      </c>
    </row>
    <row r="119" spans="1:2">
      <c r="A119" s="1" t="s">
        <v>1464</v>
      </c>
      <c r="B119">
        <v>43822</v>
      </c>
    </row>
    <row r="120" spans="1:2">
      <c r="A120" s="1" t="s">
        <v>1465</v>
      </c>
      <c r="B120">
        <v>43784</v>
      </c>
    </row>
    <row r="121" spans="1:2">
      <c r="A121" s="1" t="s">
        <v>1466</v>
      </c>
      <c r="B121">
        <v>43493</v>
      </c>
    </row>
    <row r="122" spans="1:2">
      <c r="A122" s="1" t="s">
        <v>1467</v>
      </c>
      <c r="B122" t="s">
        <v>637</v>
      </c>
    </row>
    <row r="123" spans="1:2">
      <c r="A123" s="1" t="s">
        <v>1468</v>
      </c>
      <c r="B123">
        <v>43798</v>
      </c>
    </row>
    <row r="124" spans="1:2">
      <c r="A124" s="1" t="s">
        <v>1469</v>
      </c>
      <c r="B124">
        <v>43808</v>
      </c>
    </row>
    <row r="125" spans="1:2">
      <c r="A125" s="1" t="s">
        <v>1470</v>
      </c>
      <c r="B125">
        <v>43815</v>
      </c>
    </row>
    <row r="126" spans="1:2">
      <c r="A126" s="1" t="s">
        <v>1471</v>
      </c>
      <c r="B126">
        <v>43819</v>
      </c>
    </row>
    <row r="127" spans="1:2">
      <c r="A127" s="1" t="s">
        <v>1472</v>
      </c>
      <c r="B127" t="s">
        <v>637</v>
      </c>
    </row>
    <row r="128" spans="1:2">
      <c r="A128" s="1" t="s">
        <v>1473</v>
      </c>
      <c r="B128">
        <v>43784</v>
      </c>
    </row>
    <row r="129" spans="1:2">
      <c r="A129" s="1" t="s">
        <v>1474</v>
      </c>
      <c r="B129" t="s">
        <v>637</v>
      </c>
    </row>
    <row r="130" spans="1:2">
      <c r="A130" s="1" t="s">
        <v>1475</v>
      </c>
      <c r="B130" t="s">
        <v>637</v>
      </c>
    </row>
    <row r="131" spans="1:2">
      <c r="A131" s="1" t="s">
        <v>1476</v>
      </c>
      <c r="B131" t="s">
        <v>637</v>
      </c>
    </row>
    <row r="132" spans="1:2">
      <c r="A132" s="1" t="s">
        <v>1477</v>
      </c>
      <c r="B132" t="s">
        <v>637</v>
      </c>
    </row>
    <row r="133" spans="1:2">
      <c r="A133" s="1" t="s">
        <v>1478</v>
      </c>
      <c r="B133" t="s">
        <v>637</v>
      </c>
    </row>
    <row r="134" spans="1:2">
      <c r="A134" s="1" t="s">
        <v>1479</v>
      </c>
      <c r="B134">
        <v>43781</v>
      </c>
    </row>
    <row r="135" spans="1:2">
      <c r="A135" s="1" t="s">
        <v>1480</v>
      </c>
      <c r="B135" t="s">
        <v>637</v>
      </c>
    </row>
    <row r="136" spans="1:2">
      <c r="A136" s="1" t="s">
        <v>1481</v>
      </c>
      <c r="B136">
        <v>43822</v>
      </c>
    </row>
    <row r="137" spans="1:2">
      <c r="A137" s="1" t="s">
        <v>1482</v>
      </c>
      <c r="B137">
        <v>43783</v>
      </c>
    </row>
    <row r="138" spans="1:2">
      <c r="A138" s="1" t="s">
        <v>1483</v>
      </c>
      <c r="B138">
        <v>43814</v>
      </c>
    </row>
    <row r="139" spans="1:2">
      <c r="A139" s="1" t="s">
        <v>1484</v>
      </c>
      <c r="B139">
        <v>43829</v>
      </c>
    </row>
    <row r="140" spans="1:2">
      <c r="A140" s="1" t="s">
        <v>1485</v>
      </c>
      <c r="B140">
        <v>43822</v>
      </c>
    </row>
    <row r="141" spans="1:2">
      <c r="A141" s="1" t="s">
        <v>1486</v>
      </c>
      <c r="B141">
        <v>43822</v>
      </c>
    </row>
    <row r="142" spans="1:2">
      <c r="A142" s="1" t="s">
        <v>1487</v>
      </c>
      <c r="B142">
        <v>43826</v>
      </c>
    </row>
    <row r="143" spans="1:2">
      <c r="A143" s="1" t="s">
        <v>1488</v>
      </c>
      <c r="B143">
        <v>43739</v>
      </c>
    </row>
    <row r="144" spans="1:2">
      <c r="A144" s="1" t="s">
        <v>1489</v>
      </c>
      <c r="B144" t="s">
        <v>637</v>
      </c>
    </row>
    <row r="145" spans="1:2">
      <c r="A145" s="1" t="s">
        <v>1490</v>
      </c>
      <c r="B145">
        <v>43693</v>
      </c>
    </row>
    <row r="146" spans="1:2">
      <c r="A146" s="1" t="s">
        <v>1491</v>
      </c>
      <c r="B146" t="s">
        <v>637</v>
      </c>
    </row>
    <row r="147" spans="1:2">
      <c r="A147" s="1" t="s">
        <v>1492</v>
      </c>
      <c r="B147">
        <v>43738</v>
      </c>
    </row>
    <row r="148" spans="1:2">
      <c r="A148" s="1" t="s">
        <v>1493</v>
      </c>
      <c r="B148" t="s">
        <v>637</v>
      </c>
    </row>
    <row r="149" spans="1:2">
      <c r="A149" s="1" t="s">
        <v>1494</v>
      </c>
      <c r="B149">
        <v>43798</v>
      </c>
    </row>
    <row r="150" spans="1:2">
      <c r="A150" s="1" t="s">
        <v>1495</v>
      </c>
      <c r="B150" t="s">
        <v>637</v>
      </c>
    </row>
    <row r="151" spans="1:2">
      <c r="A151" s="1" t="s">
        <v>1496</v>
      </c>
      <c r="B151">
        <v>43635</v>
      </c>
    </row>
    <row r="152" spans="1:2">
      <c r="A152" s="1" t="s">
        <v>1497</v>
      </c>
      <c r="B152">
        <v>43830</v>
      </c>
    </row>
    <row r="153" spans="1:2">
      <c r="A153" s="1" t="s">
        <v>1498</v>
      </c>
      <c r="B153">
        <v>43822</v>
      </c>
    </row>
    <row r="154" spans="1:2">
      <c r="A154" s="1" t="s">
        <v>1499</v>
      </c>
      <c r="B154">
        <v>43822</v>
      </c>
    </row>
    <row r="155" spans="1:2">
      <c r="A155" s="1" t="s">
        <v>1500</v>
      </c>
      <c r="B155">
        <v>43769</v>
      </c>
    </row>
    <row r="156" spans="1:2">
      <c r="A156" s="1" t="s">
        <v>1501</v>
      </c>
      <c r="B156">
        <v>43686</v>
      </c>
    </row>
    <row r="157" spans="1:2">
      <c r="A157" s="1" t="s">
        <v>1502</v>
      </c>
      <c r="B157">
        <v>43861</v>
      </c>
    </row>
    <row r="158" spans="1:2">
      <c r="A158" s="1" t="s">
        <v>1503</v>
      </c>
      <c r="B158">
        <v>43861</v>
      </c>
    </row>
    <row r="159" spans="1:2">
      <c r="A159" s="1" t="s">
        <v>1504</v>
      </c>
      <c r="B159">
        <v>43759</v>
      </c>
    </row>
    <row r="160" spans="1:2">
      <c r="A160" s="1" t="s">
        <v>1505</v>
      </c>
      <c r="B160">
        <v>43861</v>
      </c>
    </row>
    <row r="161" spans="1:2">
      <c r="A161" s="1" t="s">
        <v>1506</v>
      </c>
      <c r="B161">
        <v>43825</v>
      </c>
    </row>
    <row r="162" spans="1:2">
      <c r="A162" s="1" t="s">
        <v>1507</v>
      </c>
      <c r="B162" t="s">
        <v>637</v>
      </c>
    </row>
    <row r="163" spans="1:2">
      <c r="A163" s="1" t="s">
        <v>1508</v>
      </c>
      <c r="B163">
        <v>43784</v>
      </c>
    </row>
    <row r="164" spans="1:2">
      <c r="A164" s="1" t="s">
        <v>1509</v>
      </c>
      <c r="B164">
        <v>43783</v>
      </c>
    </row>
    <row r="165" spans="1:2">
      <c r="A165" s="1" t="s">
        <v>1510</v>
      </c>
      <c r="B165">
        <v>43759</v>
      </c>
    </row>
    <row r="166" spans="1:2">
      <c r="A166" s="1" t="s">
        <v>1511</v>
      </c>
      <c r="B166" t="s">
        <v>637</v>
      </c>
    </row>
    <row r="167" spans="1:2">
      <c r="A167" s="1" t="s">
        <v>1512</v>
      </c>
      <c r="B167">
        <v>43822</v>
      </c>
    </row>
    <row r="168" spans="1:2">
      <c r="A168" s="1" t="s">
        <v>1513</v>
      </c>
      <c r="B168">
        <v>43759</v>
      </c>
    </row>
    <row r="169" spans="1:2">
      <c r="A169" s="1" t="s">
        <v>1514</v>
      </c>
      <c r="B169">
        <v>43811</v>
      </c>
    </row>
    <row r="170" spans="1:2">
      <c r="A170" s="1" t="s">
        <v>1515</v>
      </c>
      <c r="B170">
        <v>43691</v>
      </c>
    </row>
    <row r="171" spans="1:2">
      <c r="A171" s="1" t="s">
        <v>1516</v>
      </c>
      <c r="B171" t="s">
        <v>637</v>
      </c>
    </row>
    <row r="172" spans="1:2">
      <c r="A172" s="1" t="s">
        <v>549</v>
      </c>
      <c r="B172">
        <v>43782</v>
      </c>
    </row>
    <row r="173" spans="1:2">
      <c r="A173" s="1" t="s">
        <v>1517</v>
      </c>
      <c r="B173">
        <v>43782</v>
      </c>
    </row>
    <row r="174" spans="1:2">
      <c r="A174" s="1" t="s">
        <v>1518</v>
      </c>
      <c r="B174" t="s">
        <v>637</v>
      </c>
    </row>
    <row r="175" spans="1:2">
      <c r="A175" s="1" t="s">
        <v>1519</v>
      </c>
      <c r="B175" t="s">
        <v>637</v>
      </c>
    </row>
    <row r="176" spans="1:2">
      <c r="A176" s="1" t="s">
        <v>1520</v>
      </c>
      <c r="B176">
        <v>43783</v>
      </c>
    </row>
    <row r="177" spans="1:2">
      <c r="A177" s="1" t="s">
        <v>1521</v>
      </c>
      <c r="B177">
        <v>43783</v>
      </c>
    </row>
    <row r="178" spans="1:2">
      <c r="A178" s="1" t="s">
        <v>572</v>
      </c>
      <c r="B178">
        <v>43782</v>
      </c>
    </row>
    <row r="179" spans="1:2">
      <c r="A179" s="1" t="s">
        <v>1522</v>
      </c>
      <c r="B179">
        <v>43819</v>
      </c>
    </row>
    <row r="180" spans="1:2">
      <c r="A180" s="1" t="s">
        <v>1523</v>
      </c>
      <c r="B180">
        <v>43839</v>
      </c>
    </row>
    <row r="181" spans="1:2">
      <c r="A181" s="1" t="s">
        <v>1524</v>
      </c>
      <c r="B181">
        <v>43822</v>
      </c>
    </row>
    <row r="182" spans="1:2">
      <c r="A182" s="1" t="s">
        <v>566</v>
      </c>
      <c r="B182">
        <v>43861</v>
      </c>
    </row>
    <row r="183" spans="1:2">
      <c r="A183" s="1" t="s">
        <v>1525</v>
      </c>
      <c r="B183">
        <v>43830</v>
      </c>
    </row>
    <row r="184" spans="1:2">
      <c r="A184" s="1" t="s">
        <v>1526</v>
      </c>
      <c r="B184">
        <v>43738</v>
      </c>
    </row>
    <row r="185" spans="1:2">
      <c r="A185" s="1" t="s">
        <v>1527</v>
      </c>
      <c r="B185">
        <v>43735</v>
      </c>
    </row>
    <row r="186" spans="1:2">
      <c r="A186" s="1" t="s">
        <v>1528</v>
      </c>
      <c r="B186">
        <v>43860</v>
      </c>
    </row>
    <row r="187" spans="1:2">
      <c r="A187" s="1" t="s">
        <v>1529</v>
      </c>
      <c r="B187" t="s">
        <v>637</v>
      </c>
    </row>
    <row r="188" spans="1:2">
      <c r="A188" s="1" t="s">
        <v>1530</v>
      </c>
      <c r="B188">
        <v>43830</v>
      </c>
    </row>
    <row r="189" spans="1:2">
      <c r="A189" s="1" t="s">
        <v>1531</v>
      </c>
      <c r="B189">
        <v>43783</v>
      </c>
    </row>
    <row r="190" spans="1:2">
      <c r="A190" s="1" t="s">
        <v>1532</v>
      </c>
      <c r="B190">
        <v>43815</v>
      </c>
    </row>
    <row r="191" spans="1:2">
      <c r="A191" s="1" t="s">
        <v>1533</v>
      </c>
      <c r="B191">
        <v>43830</v>
      </c>
    </row>
    <row r="192" spans="1:2">
      <c r="A192" s="1" t="s">
        <v>1534</v>
      </c>
      <c r="B192">
        <v>43798</v>
      </c>
    </row>
    <row r="193" spans="1:2">
      <c r="A193" s="1" t="s">
        <v>1535</v>
      </c>
      <c r="B193">
        <v>43822</v>
      </c>
    </row>
    <row r="194" spans="1:2">
      <c r="A194" s="1" t="s">
        <v>1536</v>
      </c>
      <c r="B194">
        <v>43864</v>
      </c>
    </row>
    <row r="195" spans="1:2">
      <c r="A195" s="1" t="s">
        <v>1537</v>
      </c>
      <c r="B195">
        <v>43781</v>
      </c>
    </row>
    <row r="196" spans="1:2">
      <c r="A196" s="1" t="s">
        <v>1538</v>
      </c>
      <c r="B196">
        <v>43819</v>
      </c>
    </row>
    <row r="197" spans="1:2">
      <c r="A197" s="1" t="s">
        <v>1539</v>
      </c>
      <c r="B197">
        <v>43788</v>
      </c>
    </row>
    <row r="198" spans="1:2">
      <c r="A198" s="1" t="s">
        <v>1540</v>
      </c>
      <c r="B198">
        <v>43860</v>
      </c>
    </row>
    <row r="199" spans="1:2">
      <c r="A199" s="1" t="s">
        <v>1541</v>
      </c>
      <c r="B199">
        <v>43739</v>
      </c>
    </row>
    <row r="200" spans="1:2">
      <c r="A200" s="1" t="s">
        <v>1542</v>
      </c>
      <c r="B200">
        <v>43826</v>
      </c>
    </row>
    <row r="201" spans="1:2">
      <c r="A201" s="1" t="s">
        <v>1543</v>
      </c>
      <c r="B201">
        <v>43798</v>
      </c>
    </row>
    <row r="202" spans="1:2">
      <c r="A202" s="1" t="s">
        <v>1544</v>
      </c>
      <c r="B202">
        <v>43861</v>
      </c>
    </row>
    <row r="203" spans="1:2">
      <c r="A203" s="1" t="s">
        <v>1545</v>
      </c>
      <c r="B203">
        <v>43804</v>
      </c>
    </row>
    <row r="204" spans="1:2">
      <c r="A204" s="1" t="s">
        <v>1546</v>
      </c>
      <c r="B204">
        <v>43789</v>
      </c>
    </row>
    <row r="205" spans="1:2">
      <c r="A205" s="1" t="s">
        <v>1547</v>
      </c>
      <c r="B205">
        <v>43783</v>
      </c>
    </row>
    <row r="206" spans="1:2">
      <c r="A206" s="1" t="s">
        <v>1548</v>
      </c>
      <c r="B206">
        <v>43826</v>
      </c>
    </row>
    <row r="207" spans="1:2">
      <c r="A207" s="1" t="s">
        <v>1549</v>
      </c>
      <c r="B207">
        <v>43791</v>
      </c>
    </row>
    <row r="208" spans="1:2">
      <c r="A208" s="1" t="s">
        <v>1550</v>
      </c>
      <c r="B208" t="s">
        <v>637</v>
      </c>
    </row>
    <row r="209" spans="1:2">
      <c r="A209" s="1" t="s">
        <v>1551</v>
      </c>
      <c r="B209" t="s">
        <v>637</v>
      </c>
    </row>
    <row r="210" spans="1:2">
      <c r="A210" s="1" t="s">
        <v>1552</v>
      </c>
      <c r="B210">
        <v>43783</v>
      </c>
    </row>
    <row r="211" spans="1:2">
      <c r="A211" s="1" t="s">
        <v>1553</v>
      </c>
      <c r="B211">
        <v>43798</v>
      </c>
    </row>
    <row r="212" spans="1:2">
      <c r="A212" s="1" t="s">
        <v>1554</v>
      </c>
      <c r="B212">
        <v>43798</v>
      </c>
    </row>
    <row r="213" spans="1:2">
      <c r="A213" s="1" t="s">
        <v>1555</v>
      </c>
      <c r="B213">
        <v>43832</v>
      </c>
    </row>
    <row r="214" spans="1:2">
      <c r="A214" s="1" t="s">
        <v>1556</v>
      </c>
      <c r="B214">
        <v>43784</v>
      </c>
    </row>
    <row r="215" spans="1:2">
      <c r="A215" s="1" t="s">
        <v>1557</v>
      </c>
      <c r="B215" t="s">
        <v>637</v>
      </c>
    </row>
    <row r="216" spans="1:2">
      <c r="A216" s="1" t="s">
        <v>1558</v>
      </c>
      <c r="B216">
        <v>43759</v>
      </c>
    </row>
    <row r="217" spans="1:2">
      <c r="A217" s="1" t="s">
        <v>1559</v>
      </c>
      <c r="B217">
        <v>43770</v>
      </c>
    </row>
    <row r="218" spans="1:2">
      <c r="A218" s="1" t="s">
        <v>1560</v>
      </c>
      <c r="B218">
        <v>43759</v>
      </c>
    </row>
    <row r="219" spans="1:2">
      <c r="A219" s="1" t="s">
        <v>1561</v>
      </c>
      <c r="B219">
        <v>43651</v>
      </c>
    </row>
    <row r="220" spans="1:2">
      <c r="A220" s="1" t="s">
        <v>1562</v>
      </c>
      <c r="B220">
        <v>43854</v>
      </c>
    </row>
    <row r="221" spans="1:2">
      <c r="A221" s="1" t="s">
        <v>1563</v>
      </c>
      <c r="B221">
        <v>43805</v>
      </c>
    </row>
    <row r="222" spans="1:2">
      <c r="A222" s="1" t="s">
        <v>1564</v>
      </c>
      <c r="B222">
        <v>43782</v>
      </c>
    </row>
    <row r="223" spans="1:2">
      <c r="A223" s="1" t="s">
        <v>1565</v>
      </c>
      <c r="B223">
        <v>43864</v>
      </c>
    </row>
    <row r="224" spans="1:2">
      <c r="A224" s="1" t="s">
        <v>1566</v>
      </c>
      <c r="B224">
        <v>43783</v>
      </c>
    </row>
    <row r="225" spans="1:2">
      <c r="A225" s="1" t="s">
        <v>1567</v>
      </c>
      <c r="B225">
        <v>43783</v>
      </c>
    </row>
    <row r="226" spans="1:2">
      <c r="A226" s="1" t="s">
        <v>1568</v>
      </c>
      <c r="B226">
        <v>43830</v>
      </c>
    </row>
    <row r="227" spans="1:2">
      <c r="A227" s="1" t="s">
        <v>1569</v>
      </c>
      <c r="B227">
        <v>43763</v>
      </c>
    </row>
    <row r="228" spans="1:2">
      <c r="A228" s="1" t="s">
        <v>1570</v>
      </c>
      <c r="B228">
        <v>43900</v>
      </c>
    </row>
    <row r="229" spans="1:2">
      <c r="A229" s="1" t="s">
        <v>1571</v>
      </c>
      <c r="B229">
        <v>43830</v>
      </c>
    </row>
    <row r="230" spans="1:2">
      <c r="A230" s="1" t="s">
        <v>1572</v>
      </c>
      <c r="B230">
        <v>43830</v>
      </c>
    </row>
    <row r="231" spans="1:2">
      <c r="A231" s="1" t="s">
        <v>1573</v>
      </c>
      <c r="B231">
        <v>43777</v>
      </c>
    </row>
    <row r="232" spans="1:2">
      <c r="A232" s="1" t="s">
        <v>1574</v>
      </c>
      <c r="B232">
        <v>43609</v>
      </c>
    </row>
    <row r="233" spans="1:2">
      <c r="A233" s="1" t="s">
        <v>1575</v>
      </c>
      <c r="B233">
        <v>43830</v>
      </c>
    </row>
    <row r="234" spans="1:2">
      <c r="A234" s="1" t="s">
        <v>1576</v>
      </c>
      <c r="B234">
        <v>43798</v>
      </c>
    </row>
    <row r="235" spans="1:2">
      <c r="A235" s="1" t="s">
        <v>1577</v>
      </c>
      <c r="B235">
        <v>43678</v>
      </c>
    </row>
    <row r="236" spans="1:2">
      <c r="A236" s="1" t="s">
        <v>1578</v>
      </c>
      <c r="B236">
        <v>43740</v>
      </c>
    </row>
    <row r="237" spans="1:2">
      <c r="A237" s="1" t="s">
        <v>1579</v>
      </c>
      <c r="B237">
        <v>43742</v>
      </c>
    </row>
    <row r="238" spans="1:2">
      <c r="A238" s="1" t="s">
        <v>560</v>
      </c>
      <c r="B238">
        <v>43829</v>
      </c>
    </row>
    <row r="239" spans="1:2">
      <c r="A239" s="1" t="s">
        <v>574</v>
      </c>
      <c r="B239">
        <v>43845</v>
      </c>
    </row>
    <row r="240" spans="1:2">
      <c r="A240" s="1" t="s">
        <v>1580</v>
      </c>
      <c r="B240">
        <v>43739</v>
      </c>
    </row>
    <row r="241" spans="1:2">
      <c r="A241" s="1" t="s">
        <v>1581</v>
      </c>
      <c r="B241">
        <v>43830</v>
      </c>
    </row>
    <row r="242" spans="1:2">
      <c r="A242" s="1" t="s">
        <v>1582</v>
      </c>
      <c r="B242">
        <v>43819</v>
      </c>
    </row>
    <row r="243" spans="1:2">
      <c r="A243" s="1" t="s">
        <v>1583</v>
      </c>
      <c r="B243">
        <v>43830</v>
      </c>
    </row>
    <row r="244" spans="1:2">
      <c r="A244" s="1" t="s">
        <v>1584</v>
      </c>
      <c r="B244">
        <v>43795</v>
      </c>
    </row>
    <row r="245" spans="1:2">
      <c r="A245" s="1" t="s">
        <v>375</v>
      </c>
      <c r="B245">
        <v>43777</v>
      </c>
    </row>
    <row r="246" spans="1:2">
      <c r="A246" s="1" t="s">
        <v>1585</v>
      </c>
      <c r="B246">
        <v>43830</v>
      </c>
    </row>
    <row r="247" spans="1:2">
      <c r="A247" s="1" t="s">
        <v>1586</v>
      </c>
      <c r="B247">
        <v>43830</v>
      </c>
    </row>
    <row r="248" spans="1:2">
      <c r="A248" s="1" t="s">
        <v>1587</v>
      </c>
      <c r="B248">
        <v>43461</v>
      </c>
    </row>
    <row r="249" spans="1:2">
      <c r="A249" s="1" t="s">
        <v>1588</v>
      </c>
      <c r="B249">
        <v>43804</v>
      </c>
    </row>
    <row r="250" spans="1:2">
      <c r="A250" s="1" t="s">
        <v>1589</v>
      </c>
      <c r="B250">
        <v>43845</v>
      </c>
    </row>
    <row r="251" spans="1:2">
      <c r="A251" s="1" t="s">
        <v>1590</v>
      </c>
      <c r="B251">
        <v>43830</v>
      </c>
    </row>
    <row r="252" spans="1:2">
      <c r="A252" s="1" t="s">
        <v>1591</v>
      </c>
      <c r="B252">
        <v>43840</v>
      </c>
    </row>
    <row r="253" spans="1:2">
      <c r="A253" s="1" t="s">
        <v>1592</v>
      </c>
      <c r="B253">
        <v>43830</v>
      </c>
    </row>
    <row r="254" spans="1:2">
      <c r="A254" s="1" t="s">
        <v>500</v>
      </c>
      <c r="B254">
        <v>43857</v>
      </c>
    </row>
    <row r="255" spans="1:2">
      <c r="A255" s="1" t="s">
        <v>1593</v>
      </c>
      <c r="B255">
        <v>43830</v>
      </c>
    </row>
    <row r="256" spans="1:2">
      <c r="A256" s="1" t="s">
        <v>1594</v>
      </c>
      <c r="B256">
        <v>43833</v>
      </c>
    </row>
    <row r="257" spans="1:2">
      <c r="A257" s="1" t="s">
        <v>1595</v>
      </c>
      <c r="B257">
        <v>43784</v>
      </c>
    </row>
    <row r="258" spans="1:2">
      <c r="A258" s="1" t="s">
        <v>1596</v>
      </c>
      <c r="B258">
        <v>43783</v>
      </c>
    </row>
    <row r="259" spans="1:2">
      <c r="A259" s="1" t="s">
        <v>1597</v>
      </c>
      <c r="B259">
        <v>43782</v>
      </c>
    </row>
    <row r="260" spans="1:2">
      <c r="A260" s="1" t="s">
        <v>1598</v>
      </c>
      <c r="B260">
        <v>43724</v>
      </c>
    </row>
    <row r="261" spans="1:2">
      <c r="A261" s="1" t="s">
        <v>388</v>
      </c>
      <c r="B261">
        <v>43861</v>
      </c>
    </row>
    <row r="262" spans="1:2">
      <c r="A262" s="1" t="s">
        <v>1599</v>
      </c>
      <c r="B262">
        <v>43796</v>
      </c>
    </row>
    <row r="263" spans="1:2">
      <c r="A263" s="1" t="s">
        <v>1600</v>
      </c>
      <c r="B263">
        <v>43839</v>
      </c>
    </row>
    <row r="264" spans="1:2">
      <c r="A264" s="1" t="s">
        <v>1601</v>
      </c>
      <c r="B264">
        <v>43830</v>
      </c>
    </row>
    <row r="265" spans="1:2">
      <c r="A265" s="1" t="s">
        <v>1602</v>
      </c>
      <c r="B265">
        <v>43822</v>
      </c>
    </row>
    <row r="266" spans="1:2">
      <c r="A266" s="1" t="s">
        <v>1603</v>
      </c>
      <c r="B266">
        <v>43830</v>
      </c>
    </row>
    <row r="267" spans="1:2">
      <c r="A267" s="1" t="s">
        <v>380</v>
      </c>
      <c r="B267">
        <v>43770</v>
      </c>
    </row>
    <row r="268" spans="1:2">
      <c r="A268" s="1" t="s">
        <v>1604</v>
      </c>
      <c r="B268">
        <v>43818</v>
      </c>
    </row>
    <row r="269" spans="1:2">
      <c r="A269" s="1" t="s">
        <v>1605</v>
      </c>
      <c r="B269">
        <v>43830</v>
      </c>
    </row>
    <row r="270" spans="1:2">
      <c r="A270" s="1" t="s">
        <v>1606</v>
      </c>
      <c r="B270">
        <v>43818</v>
      </c>
    </row>
    <row r="271" spans="1:2">
      <c r="A271" s="1" t="s">
        <v>1607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1608</v>
      </c>
      <c r="B273">
        <v>43839</v>
      </c>
    </row>
    <row r="274" spans="1:2">
      <c r="A274" s="1" t="s">
        <v>1609</v>
      </c>
      <c r="B274">
        <v>43742</v>
      </c>
    </row>
    <row r="275" spans="1:2">
      <c r="A275" s="1" t="s">
        <v>1610</v>
      </c>
      <c r="B275">
        <v>43782</v>
      </c>
    </row>
    <row r="276" spans="1:2">
      <c r="A276" s="1" t="s">
        <v>1611</v>
      </c>
      <c r="B276">
        <v>43819</v>
      </c>
    </row>
    <row r="277" spans="1:2">
      <c r="A277" s="1" t="s">
        <v>1612</v>
      </c>
      <c r="B277">
        <v>43845</v>
      </c>
    </row>
    <row r="278" spans="1:2">
      <c r="A278" s="1" t="s">
        <v>1613</v>
      </c>
      <c r="B278">
        <v>43845</v>
      </c>
    </row>
    <row r="279" spans="1:2">
      <c r="A279" s="1" t="s">
        <v>1614</v>
      </c>
      <c r="B279">
        <v>43790</v>
      </c>
    </row>
    <row r="280" spans="1:2">
      <c r="A280" s="1" t="s">
        <v>1615</v>
      </c>
      <c r="B280">
        <v>43763</v>
      </c>
    </row>
    <row r="281" spans="1:2">
      <c r="A281" s="1" t="s">
        <v>1616</v>
      </c>
      <c r="B281">
        <v>43781</v>
      </c>
    </row>
    <row r="282" spans="1:2">
      <c r="A282" s="1" t="s">
        <v>1617</v>
      </c>
      <c r="B282">
        <v>43830</v>
      </c>
    </row>
    <row r="283" spans="1:2">
      <c r="A283" s="1" t="s">
        <v>1618</v>
      </c>
      <c r="B283">
        <v>43811</v>
      </c>
    </row>
    <row r="284" spans="1:2">
      <c r="A284" s="1" t="s">
        <v>1619</v>
      </c>
      <c r="B284">
        <v>43858</v>
      </c>
    </row>
    <row r="285" spans="1:2">
      <c r="A285" s="1" t="s">
        <v>1620</v>
      </c>
      <c r="B285">
        <v>43686</v>
      </c>
    </row>
    <row r="286" spans="1:2">
      <c r="A286" s="1" t="s">
        <v>1621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558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522</v>
      </c>
      <c r="B304">
        <v>43802</v>
      </c>
    </row>
    <row r="305" spans="1:2">
      <c r="A305" s="1" t="s">
        <v>1638</v>
      </c>
      <c r="B305" t="s">
        <v>637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590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446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374</v>
      </c>
      <c r="B328">
        <v>43781</v>
      </c>
    </row>
    <row r="329" spans="1:2">
      <c r="A329" s="1" t="s">
        <v>540</v>
      </c>
      <c r="B329">
        <v>43840</v>
      </c>
    </row>
    <row r="330" spans="1:2">
      <c r="A330" s="1" t="s">
        <v>1659</v>
      </c>
      <c r="B330" t="s">
        <v>637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399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564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493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585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445</v>
      </c>
      <c r="B359">
        <v>43753</v>
      </c>
    </row>
    <row r="360" spans="1:2">
      <c r="A360" s="1" t="s">
        <v>1682</v>
      </c>
      <c r="B360" t="s">
        <v>637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408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637</v>
      </c>
    </row>
    <row r="401" spans="1:2">
      <c r="A401" s="1" t="s">
        <v>512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547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502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508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411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637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424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637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517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437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562</v>
      </c>
      <c r="B482">
        <v>43832</v>
      </c>
    </row>
    <row r="483" spans="1:2">
      <c r="A483" s="1" t="s">
        <v>414</v>
      </c>
      <c r="B483">
        <v>43783</v>
      </c>
    </row>
    <row r="484" spans="1:2">
      <c r="A484" s="1" t="s">
        <v>570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535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521</v>
      </c>
      <c r="B560">
        <v>43845</v>
      </c>
    </row>
    <row r="561" spans="1:2">
      <c r="A561" s="1" t="s">
        <v>450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518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447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427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467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542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637</v>
      </c>
    </row>
    <row r="652" spans="1:2">
      <c r="A652" s="1" t="s">
        <v>403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328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637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395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573</v>
      </c>
      <c r="B731">
        <v>43812</v>
      </c>
    </row>
    <row r="732" spans="1:2">
      <c r="A732" s="1" t="s">
        <v>2029</v>
      </c>
      <c r="B732" t="s">
        <v>637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531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637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398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637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538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637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387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255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637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510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637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527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617</v>
      </c>
      <c r="B888">
        <v>43654</v>
      </c>
    </row>
    <row r="889" spans="1:2">
      <c r="A889" s="1" t="s">
        <v>2178</v>
      </c>
      <c r="B889">
        <v>43830</v>
      </c>
    </row>
    <row r="890" spans="1:2">
      <c r="A890" s="1" t="s">
        <v>2179</v>
      </c>
      <c r="B890">
        <v>43789</v>
      </c>
    </row>
    <row r="891" spans="1:2">
      <c r="A891" s="1" t="s">
        <v>2180</v>
      </c>
      <c r="B891">
        <v>43830</v>
      </c>
    </row>
    <row r="892" spans="1:2">
      <c r="A892" s="1" t="s">
        <v>2181</v>
      </c>
      <c r="B892">
        <v>43861</v>
      </c>
    </row>
    <row r="893" spans="1:2">
      <c r="A893" s="1" t="s">
        <v>2182</v>
      </c>
      <c r="B893">
        <v>43726</v>
      </c>
    </row>
    <row r="894" spans="1:2">
      <c r="A894" s="1" t="s">
        <v>591</v>
      </c>
      <c r="B894">
        <v>43861</v>
      </c>
    </row>
    <row r="895" spans="1:2">
      <c r="A895" s="1" t="s">
        <v>2183</v>
      </c>
      <c r="B895">
        <v>43829</v>
      </c>
    </row>
    <row r="896" spans="1:2">
      <c r="A896" s="1" t="s">
        <v>442</v>
      </c>
      <c r="B896">
        <v>43728</v>
      </c>
    </row>
    <row r="897" spans="1:2">
      <c r="A897" s="1" t="s">
        <v>2184</v>
      </c>
      <c r="B897">
        <v>43640</v>
      </c>
    </row>
    <row r="898" spans="1:2">
      <c r="A898" s="1" t="s">
        <v>2185</v>
      </c>
      <c r="B898">
        <v>43814</v>
      </c>
    </row>
    <row r="899" spans="1:2">
      <c r="A899" s="1" t="s">
        <v>2186</v>
      </c>
      <c r="B899">
        <v>43830</v>
      </c>
    </row>
    <row r="900" spans="1:2">
      <c r="A900" s="1" t="s">
        <v>2187</v>
      </c>
      <c r="B900">
        <v>43830</v>
      </c>
    </row>
    <row r="901" spans="1:2">
      <c r="A901" s="1" t="s">
        <v>2188</v>
      </c>
      <c r="B901">
        <v>43770</v>
      </c>
    </row>
    <row r="902" spans="1:2">
      <c r="A902" s="1" t="s">
        <v>2189</v>
      </c>
      <c r="B902">
        <v>43818</v>
      </c>
    </row>
    <row r="903" spans="1:2">
      <c r="A903" s="1" t="s">
        <v>2190</v>
      </c>
      <c r="B903">
        <v>43861</v>
      </c>
    </row>
    <row r="904" spans="1:2">
      <c r="A904" s="1" t="s">
        <v>2191</v>
      </c>
      <c r="B904">
        <v>43905</v>
      </c>
    </row>
    <row r="905" spans="1:2">
      <c r="A905" s="1" t="s">
        <v>2192</v>
      </c>
      <c r="B905">
        <v>43875</v>
      </c>
    </row>
    <row r="906" spans="1:2">
      <c r="A906" s="1" t="s">
        <v>2193</v>
      </c>
      <c r="B906">
        <v>43801</v>
      </c>
    </row>
    <row r="907" spans="1:2">
      <c r="A907" s="1" t="s">
        <v>2194</v>
      </c>
      <c r="B907">
        <v>43811</v>
      </c>
    </row>
    <row r="908" spans="1:2">
      <c r="A908" s="1" t="s">
        <v>2195</v>
      </c>
      <c r="B908">
        <v>43830</v>
      </c>
    </row>
    <row r="909" spans="1:2">
      <c r="A909" s="1" t="s">
        <v>2196</v>
      </c>
      <c r="B909">
        <v>43845</v>
      </c>
    </row>
    <row r="910" spans="1:2">
      <c r="A910" s="1" t="s">
        <v>2197</v>
      </c>
      <c r="B910">
        <v>43830</v>
      </c>
    </row>
    <row r="911" spans="1:2">
      <c r="A911" s="1" t="s">
        <v>2198</v>
      </c>
      <c r="B911">
        <v>43637</v>
      </c>
    </row>
    <row r="912" spans="1:2">
      <c r="A912" s="1" t="s">
        <v>372</v>
      </c>
      <c r="B912">
        <v>43830</v>
      </c>
    </row>
    <row r="913" spans="1:2">
      <c r="A913" s="1" t="s">
        <v>2199</v>
      </c>
      <c r="B913">
        <v>43814</v>
      </c>
    </row>
    <row r="914" spans="1:2">
      <c r="A914" s="1" t="s">
        <v>2200</v>
      </c>
      <c r="B914">
        <v>43826</v>
      </c>
    </row>
    <row r="915" spans="1:2">
      <c r="A915" s="1" t="s">
        <v>271</v>
      </c>
      <c r="B915">
        <v>43783</v>
      </c>
    </row>
    <row r="916" spans="1:2">
      <c r="A916" s="1" t="s">
        <v>2201</v>
      </c>
      <c r="B916">
        <v>43830</v>
      </c>
    </row>
    <row r="917" spans="1:2">
      <c r="A917" s="1" t="s">
        <v>2202</v>
      </c>
      <c r="B917">
        <v>43845</v>
      </c>
    </row>
    <row r="918" spans="1:2">
      <c r="A918" s="1" t="s">
        <v>2203</v>
      </c>
      <c r="B918">
        <v>43845</v>
      </c>
    </row>
    <row r="919" spans="1:2">
      <c r="A919" s="1" t="s">
        <v>2204</v>
      </c>
      <c r="B919" t="s">
        <v>637</v>
      </c>
    </row>
    <row r="920" spans="1:2">
      <c r="A920" s="1" t="s">
        <v>2205</v>
      </c>
      <c r="B920">
        <v>43796</v>
      </c>
    </row>
    <row r="921" spans="1:2">
      <c r="A921" s="1" t="s">
        <v>2206</v>
      </c>
      <c r="B921">
        <v>43814</v>
      </c>
    </row>
    <row r="922" spans="1:2">
      <c r="A922" s="1" t="s">
        <v>2207</v>
      </c>
      <c r="B922">
        <v>43798</v>
      </c>
    </row>
    <row r="923" spans="1:2">
      <c r="A923" s="1" t="s">
        <v>2208</v>
      </c>
      <c r="B923">
        <v>43830</v>
      </c>
    </row>
    <row r="924" spans="1:2">
      <c r="A924" s="1" t="s">
        <v>2209</v>
      </c>
      <c r="B924">
        <v>43796</v>
      </c>
    </row>
    <row r="925" spans="1:2">
      <c r="A925" s="1" t="s">
        <v>2210</v>
      </c>
      <c r="B925">
        <v>43830</v>
      </c>
    </row>
    <row r="926" spans="1:2">
      <c r="A926" s="1" t="s">
        <v>2211</v>
      </c>
      <c r="B926">
        <v>43830</v>
      </c>
    </row>
    <row r="927" spans="1:2">
      <c r="A927" s="1" t="s">
        <v>2212</v>
      </c>
      <c r="B927">
        <v>43784</v>
      </c>
    </row>
    <row r="928" spans="1:2">
      <c r="A928" s="1" t="s">
        <v>2213</v>
      </c>
      <c r="B928">
        <v>43801</v>
      </c>
    </row>
    <row r="929" spans="1:2">
      <c r="A929" s="1" t="s">
        <v>2214</v>
      </c>
      <c r="B929">
        <v>43788</v>
      </c>
    </row>
    <row r="930" spans="1:2">
      <c r="A930" s="1" t="s">
        <v>2215</v>
      </c>
      <c r="B930">
        <v>43789</v>
      </c>
    </row>
    <row r="931" spans="1:2">
      <c r="A931" s="1" t="s">
        <v>2216</v>
      </c>
      <c r="B931">
        <v>43861</v>
      </c>
    </row>
    <row r="932" spans="1:2">
      <c r="A932" s="1" t="s">
        <v>2217</v>
      </c>
      <c r="B932">
        <v>43826</v>
      </c>
    </row>
    <row r="933" spans="1:2">
      <c r="A933" s="1" t="s">
        <v>2218</v>
      </c>
      <c r="B933">
        <v>43637</v>
      </c>
    </row>
    <row r="934" spans="1:2">
      <c r="A934" s="1" t="s">
        <v>2219</v>
      </c>
      <c r="B934">
        <v>43891</v>
      </c>
    </row>
    <row r="935" spans="1:2">
      <c r="A935" s="1" t="s">
        <v>2220</v>
      </c>
      <c r="B935">
        <v>43830</v>
      </c>
    </row>
    <row r="936" spans="1:2">
      <c r="A936" s="1" t="s">
        <v>2221</v>
      </c>
      <c r="B936">
        <v>43798</v>
      </c>
    </row>
    <row r="937" spans="1:2">
      <c r="A937" s="1" t="s">
        <v>2222</v>
      </c>
      <c r="B937" t="s">
        <v>637</v>
      </c>
    </row>
    <row r="938" spans="1:2">
      <c r="A938" s="1" t="s">
        <v>2223</v>
      </c>
      <c r="B938">
        <v>43616</v>
      </c>
    </row>
    <row r="939" spans="1:2">
      <c r="A939" s="1" t="s">
        <v>2224</v>
      </c>
      <c r="B939">
        <v>43845</v>
      </c>
    </row>
    <row r="940" spans="1:2">
      <c r="A940" s="1" t="s">
        <v>2225</v>
      </c>
      <c r="B940">
        <v>43795</v>
      </c>
    </row>
    <row r="941" spans="1:2">
      <c r="A941" s="1" t="s">
        <v>2226</v>
      </c>
      <c r="B941">
        <v>43830</v>
      </c>
    </row>
    <row r="942" spans="1:2">
      <c r="A942" s="1" t="s">
        <v>2227</v>
      </c>
      <c r="B942">
        <v>43857</v>
      </c>
    </row>
    <row r="943" spans="1:2">
      <c r="A943" s="1" t="s">
        <v>2228</v>
      </c>
      <c r="B943">
        <v>43753</v>
      </c>
    </row>
    <row r="944" spans="1:2">
      <c r="A944" s="1" t="s">
        <v>2229</v>
      </c>
      <c r="B944">
        <v>43836</v>
      </c>
    </row>
    <row r="945" spans="1:2">
      <c r="A945" s="1" t="s">
        <v>2230</v>
      </c>
      <c r="B945">
        <v>43819</v>
      </c>
    </row>
    <row r="946" spans="1:2">
      <c r="A946" s="1" t="s">
        <v>2231</v>
      </c>
      <c r="B946">
        <v>43822</v>
      </c>
    </row>
    <row r="947" spans="1:2">
      <c r="A947" s="1" t="s">
        <v>2232</v>
      </c>
      <c r="B947">
        <v>43815</v>
      </c>
    </row>
    <row r="948" spans="1:2">
      <c r="A948" s="1" t="s">
        <v>2233</v>
      </c>
      <c r="B948">
        <v>43830</v>
      </c>
    </row>
    <row r="949" spans="1:2">
      <c r="A949" s="1" t="s">
        <v>2234</v>
      </c>
      <c r="B949">
        <v>43857</v>
      </c>
    </row>
    <row r="950" spans="1:2">
      <c r="A950" s="1" t="s">
        <v>2235</v>
      </c>
      <c r="B950">
        <v>43875</v>
      </c>
    </row>
    <row r="951" spans="1:2">
      <c r="A951" s="1" t="s">
        <v>2236</v>
      </c>
      <c r="B951">
        <v>43738</v>
      </c>
    </row>
    <row r="952" spans="1:2">
      <c r="A952" s="1" t="s">
        <v>2237</v>
      </c>
      <c r="B952">
        <v>43830</v>
      </c>
    </row>
    <row r="953" spans="1:2">
      <c r="A953" s="1" t="s">
        <v>2238</v>
      </c>
      <c r="B953">
        <v>43812</v>
      </c>
    </row>
    <row r="954" spans="1:2">
      <c r="A954" s="1" t="s">
        <v>2239</v>
      </c>
      <c r="B954">
        <v>43840</v>
      </c>
    </row>
    <row r="955" spans="1:2">
      <c r="A955" s="1" t="s">
        <v>2240</v>
      </c>
      <c r="B955">
        <v>43783</v>
      </c>
    </row>
    <row r="956" spans="1:2">
      <c r="A956" s="1" t="s">
        <v>2241</v>
      </c>
      <c r="B956">
        <v>43832</v>
      </c>
    </row>
    <row r="957" spans="1:2">
      <c r="A957" s="1" t="s">
        <v>2242</v>
      </c>
      <c r="B957">
        <v>43845</v>
      </c>
    </row>
    <row r="958" spans="1:2">
      <c r="A958" s="1" t="s">
        <v>2243</v>
      </c>
      <c r="B958">
        <v>43830</v>
      </c>
    </row>
    <row r="959" spans="1:2">
      <c r="A959" s="1" t="s">
        <v>2244</v>
      </c>
      <c r="B959">
        <v>43735</v>
      </c>
    </row>
    <row r="960" spans="1:2">
      <c r="A960" s="1" t="s">
        <v>2245</v>
      </c>
      <c r="B960">
        <v>43822</v>
      </c>
    </row>
    <row r="961" spans="1:2">
      <c r="A961" s="1" t="s">
        <v>2246</v>
      </c>
      <c r="B961">
        <v>43825</v>
      </c>
    </row>
    <row r="962" spans="1:2">
      <c r="A962" s="1" t="s">
        <v>2247</v>
      </c>
      <c r="B962">
        <v>43845</v>
      </c>
    </row>
    <row r="963" spans="1:2">
      <c r="A963" s="1" t="s">
        <v>2248</v>
      </c>
      <c r="B963">
        <v>43830</v>
      </c>
    </row>
    <row r="964" spans="1:2">
      <c r="A964" s="1" t="s">
        <v>2249</v>
      </c>
      <c r="B964">
        <v>43804</v>
      </c>
    </row>
    <row r="965" spans="1:2">
      <c r="A965" s="1" t="s">
        <v>2250</v>
      </c>
      <c r="B965">
        <v>43801</v>
      </c>
    </row>
    <row r="966" spans="1:2">
      <c r="A966" s="1" t="s">
        <v>2251</v>
      </c>
      <c r="B966">
        <v>43891</v>
      </c>
    </row>
    <row r="967" spans="1:2">
      <c r="A967" s="1" t="s">
        <v>2252</v>
      </c>
      <c r="B967">
        <v>43815</v>
      </c>
    </row>
    <row r="968" spans="1:2">
      <c r="A968" s="1" t="s">
        <v>2253</v>
      </c>
      <c r="B968">
        <v>43833</v>
      </c>
    </row>
    <row r="969" spans="1:2">
      <c r="A969" s="1" t="s">
        <v>2254</v>
      </c>
      <c r="B969">
        <v>43768</v>
      </c>
    </row>
    <row r="970" spans="1:2">
      <c r="A970" s="1" t="s">
        <v>2255</v>
      </c>
      <c r="B970">
        <v>43819</v>
      </c>
    </row>
    <row r="971" spans="1:2">
      <c r="A971" s="1" t="s">
        <v>2256</v>
      </c>
      <c r="B971">
        <v>43822</v>
      </c>
    </row>
    <row r="972" spans="1:2">
      <c r="A972" s="1" t="s">
        <v>2257</v>
      </c>
      <c r="B972">
        <v>43830</v>
      </c>
    </row>
    <row r="973" spans="1:2">
      <c r="A973" s="1" t="s">
        <v>2258</v>
      </c>
      <c r="B973">
        <v>43838</v>
      </c>
    </row>
    <row r="974" spans="1:2">
      <c r="A974" s="1" t="s">
        <v>2259</v>
      </c>
      <c r="B974">
        <v>43830</v>
      </c>
    </row>
    <row r="975" spans="1:2">
      <c r="A975" s="1" t="s">
        <v>2260</v>
      </c>
      <c r="B975">
        <v>43845</v>
      </c>
    </row>
    <row r="976" spans="1:2">
      <c r="A976" s="1" t="s">
        <v>2261</v>
      </c>
      <c r="B976">
        <v>43861</v>
      </c>
    </row>
    <row r="977" spans="1:2">
      <c r="A977" s="1" t="s">
        <v>2262</v>
      </c>
      <c r="B977" t="s">
        <v>637</v>
      </c>
    </row>
    <row r="978" spans="1:2">
      <c r="A978" s="1" t="s">
        <v>2263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2264</v>
      </c>
      <c r="B980">
        <v>43830</v>
      </c>
    </row>
    <row r="981" spans="1:2">
      <c r="A981" s="1" t="s">
        <v>2265</v>
      </c>
      <c r="B981">
        <v>43845</v>
      </c>
    </row>
    <row r="982" spans="1:2">
      <c r="A982" s="1" t="s">
        <v>2266</v>
      </c>
      <c r="B982">
        <v>43777</v>
      </c>
    </row>
    <row r="983" spans="1:2">
      <c r="A983" s="1" t="s">
        <v>2267</v>
      </c>
      <c r="B983">
        <v>43819</v>
      </c>
    </row>
    <row r="984" spans="1:2">
      <c r="A984" s="1" t="s">
        <v>2268</v>
      </c>
      <c r="B984">
        <v>43830</v>
      </c>
    </row>
    <row r="985" spans="1:2">
      <c r="A985" s="1" t="s">
        <v>2269</v>
      </c>
      <c r="B985">
        <v>43808</v>
      </c>
    </row>
    <row r="986" spans="1:2">
      <c r="A986" s="1" t="s">
        <v>2270</v>
      </c>
      <c r="B986">
        <v>43800</v>
      </c>
    </row>
    <row r="987" spans="1:2">
      <c r="A987" s="1" t="s">
        <v>2271</v>
      </c>
      <c r="B987">
        <v>43864</v>
      </c>
    </row>
    <row r="988" spans="1:2">
      <c r="A988" s="1" t="s">
        <v>2272</v>
      </c>
      <c r="B988">
        <v>43822</v>
      </c>
    </row>
    <row r="989" spans="1:2">
      <c r="A989" s="1" t="s">
        <v>2273</v>
      </c>
      <c r="B989">
        <v>43830</v>
      </c>
    </row>
    <row r="990" spans="1:2">
      <c r="A990" s="1" t="s">
        <v>2274</v>
      </c>
      <c r="B990">
        <v>43861</v>
      </c>
    </row>
    <row r="991" spans="1:2">
      <c r="A991" s="1" t="s">
        <v>2275</v>
      </c>
      <c r="B991">
        <v>43832</v>
      </c>
    </row>
    <row r="992" spans="1:2">
      <c r="A992" s="1" t="s">
        <v>2276</v>
      </c>
      <c r="B992">
        <v>43738</v>
      </c>
    </row>
    <row r="993" spans="1:2">
      <c r="A993" s="1" t="s">
        <v>2277</v>
      </c>
      <c r="B993">
        <v>43830</v>
      </c>
    </row>
    <row r="994" spans="1:2">
      <c r="A994" s="1" t="s">
        <v>2278</v>
      </c>
      <c r="B994">
        <v>43861</v>
      </c>
    </row>
    <row r="995" spans="1:2">
      <c r="A995" s="1" t="s">
        <v>2279</v>
      </c>
      <c r="B995">
        <v>43818</v>
      </c>
    </row>
    <row r="996" spans="1:2">
      <c r="A996" s="1" t="s">
        <v>2280</v>
      </c>
      <c r="B996">
        <v>43465</v>
      </c>
    </row>
    <row r="997" spans="1:2">
      <c r="A997" s="1" t="s">
        <v>2281</v>
      </c>
      <c r="B997">
        <v>43830</v>
      </c>
    </row>
    <row r="998" spans="1:2">
      <c r="A998" s="1" t="s">
        <v>2282</v>
      </c>
      <c r="B998">
        <v>43770</v>
      </c>
    </row>
    <row r="999" spans="1:2">
      <c r="A999" s="1" t="s">
        <v>2283</v>
      </c>
      <c r="B999">
        <v>43830</v>
      </c>
    </row>
    <row r="1000" spans="1:2">
      <c r="A1000" s="1" t="s">
        <v>2284</v>
      </c>
      <c r="B1000" t="s">
        <v>637</v>
      </c>
    </row>
    <row r="1001" spans="1:2">
      <c r="A1001" s="1" t="s">
        <v>2285</v>
      </c>
      <c r="B1001">
        <v>43861</v>
      </c>
    </row>
    <row r="1002" spans="1:2">
      <c r="A1002" s="1" t="s">
        <v>2286</v>
      </c>
      <c r="B1002">
        <v>43790</v>
      </c>
    </row>
    <row r="1003" spans="1:2">
      <c r="A1003" s="1" t="s">
        <v>2287</v>
      </c>
      <c r="B1003">
        <v>43845</v>
      </c>
    </row>
    <row r="1004" spans="1:2">
      <c r="A1004" s="1" t="s">
        <v>2288</v>
      </c>
      <c r="B1004">
        <v>43830</v>
      </c>
    </row>
    <row r="1005" spans="1:2">
      <c r="A1005" s="1" t="s">
        <v>2289</v>
      </c>
      <c r="B1005">
        <v>43763</v>
      </c>
    </row>
    <row r="1006" spans="1:2">
      <c r="A1006" s="1" t="s">
        <v>2290</v>
      </c>
      <c r="B1006">
        <v>43781</v>
      </c>
    </row>
    <row r="1007" spans="1:2">
      <c r="A1007" s="1" t="s">
        <v>2291</v>
      </c>
      <c r="B1007">
        <v>43825</v>
      </c>
    </row>
    <row r="1008" spans="1:2">
      <c r="A1008" s="1" t="s">
        <v>2292</v>
      </c>
      <c r="B1008">
        <v>43809</v>
      </c>
    </row>
    <row r="1009" spans="1:2">
      <c r="A1009" s="1" t="s">
        <v>2293</v>
      </c>
      <c r="B1009">
        <v>43833</v>
      </c>
    </row>
    <row r="1010" spans="1:2">
      <c r="A1010" s="1" t="s">
        <v>2294</v>
      </c>
      <c r="B1010">
        <v>43733</v>
      </c>
    </row>
    <row r="1011" spans="1:2">
      <c r="A1011" s="1" t="s">
        <v>2295</v>
      </c>
      <c r="B1011">
        <v>43830</v>
      </c>
    </row>
    <row r="1012" spans="1:2">
      <c r="A1012" s="1" t="s">
        <v>2296</v>
      </c>
      <c r="B1012">
        <v>43830</v>
      </c>
    </row>
    <row r="1013" spans="1:2">
      <c r="A1013" s="1" t="s">
        <v>2297</v>
      </c>
      <c r="B1013">
        <v>43876</v>
      </c>
    </row>
    <row r="1014" spans="1:2">
      <c r="A1014" s="1" t="s">
        <v>2298</v>
      </c>
      <c r="B1014">
        <v>43720</v>
      </c>
    </row>
    <row r="1015" spans="1:2">
      <c r="A1015" s="1" t="s">
        <v>2299</v>
      </c>
      <c r="B1015">
        <v>43845</v>
      </c>
    </row>
    <row r="1016" spans="1:2">
      <c r="A1016" s="1" t="s">
        <v>2300</v>
      </c>
      <c r="B1016">
        <v>43861</v>
      </c>
    </row>
    <row r="1017" spans="1:2">
      <c r="A1017" s="1" t="s">
        <v>2301</v>
      </c>
      <c r="B1017">
        <v>43830</v>
      </c>
    </row>
    <row r="1018" spans="1:2">
      <c r="A1018" s="1" t="s">
        <v>2302</v>
      </c>
      <c r="B1018">
        <v>43830</v>
      </c>
    </row>
    <row r="1019" spans="1:2">
      <c r="A1019" s="1" t="s">
        <v>2303</v>
      </c>
      <c r="B1019">
        <v>43826</v>
      </c>
    </row>
    <row r="1020" spans="1:2">
      <c r="A1020" s="1" t="s">
        <v>2304</v>
      </c>
      <c r="B1020">
        <v>43770</v>
      </c>
    </row>
    <row r="1021" spans="1:2">
      <c r="A1021" s="1" t="s">
        <v>382</v>
      </c>
      <c r="B1021">
        <v>43801</v>
      </c>
    </row>
    <row r="1022" spans="1:2">
      <c r="A1022" s="1" t="s">
        <v>2305</v>
      </c>
      <c r="B1022">
        <v>43581</v>
      </c>
    </row>
    <row r="1023" spans="1:2">
      <c r="A1023" s="1" t="s">
        <v>2306</v>
      </c>
      <c r="B1023">
        <v>43830</v>
      </c>
    </row>
    <row r="1024" spans="1:2">
      <c r="A1024" s="1" t="s">
        <v>2307</v>
      </c>
      <c r="B1024">
        <v>43739</v>
      </c>
    </row>
    <row r="1025" spans="1:2">
      <c r="A1025" s="1" t="s">
        <v>454</v>
      </c>
      <c r="B1025">
        <v>43830</v>
      </c>
    </row>
    <row r="1026" spans="1:2">
      <c r="A1026" s="1" t="s">
        <v>2308</v>
      </c>
      <c r="B1026">
        <v>43845</v>
      </c>
    </row>
    <row r="1027" spans="1:2">
      <c r="A1027" s="1" t="s">
        <v>2309</v>
      </c>
      <c r="B1027">
        <v>43830</v>
      </c>
    </row>
    <row r="1028" spans="1:2">
      <c r="A1028" s="1" t="s">
        <v>2310</v>
      </c>
      <c r="B1028">
        <v>43804</v>
      </c>
    </row>
    <row r="1029" spans="1:2">
      <c r="A1029" s="1" t="s">
        <v>2311</v>
      </c>
      <c r="B1029">
        <v>43784</v>
      </c>
    </row>
    <row r="1030" spans="1:2">
      <c r="A1030" s="1" t="s">
        <v>2312</v>
      </c>
      <c r="B1030">
        <v>43861</v>
      </c>
    </row>
    <row r="1031" spans="1:2">
      <c r="A1031" s="1" t="s">
        <v>2313</v>
      </c>
      <c r="B1031">
        <v>43801</v>
      </c>
    </row>
    <row r="1032" spans="1:2">
      <c r="A1032" s="1" t="s">
        <v>2314</v>
      </c>
      <c r="B1032">
        <v>43861</v>
      </c>
    </row>
    <row r="1033" spans="1:2">
      <c r="A1033" s="1" t="s">
        <v>2315</v>
      </c>
      <c r="B1033">
        <v>43830</v>
      </c>
    </row>
    <row r="1034" spans="1:2">
      <c r="A1034" s="1" t="s">
        <v>529</v>
      </c>
      <c r="B1034">
        <v>43833</v>
      </c>
    </row>
    <row r="1035" spans="1:2">
      <c r="A1035" s="1" t="s">
        <v>2316</v>
      </c>
      <c r="B1035">
        <v>43830</v>
      </c>
    </row>
    <row r="1036" spans="1:2">
      <c r="A1036" s="1" t="s">
        <v>2317</v>
      </c>
      <c r="B1036">
        <v>43738</v>
      </c>
    </row>
    <row r="1037" spans="1:2">
      <c r="A1037" s="1" t="s">
        <v>2318</v>
      </c>
      <c r="B1037">
        <v>43812</v>
      </c>
    </row>
    <row r="1038" spans="1:2">
      <c r="A1038" s="1" t="s">
        <v>2319</v>
      </c>
      <c r="B1038">
        <v>43830</v>
      </c>
    </row>
    <row r="1039" spans="1:2">
      <c r="A1039" s="1" t="s">
        <v>2320</v>
      </c>
      <c r="B1039">
        <v>43762</v>
      </c>
    </row>
    <row r="1040" spans="1:2">
      <c r="A1040" s="1" t="s">
        <v>2321</v>
      </c>
      <c r="B1040">
        <v>43861</v>
      </c>
    </row>
    <row r="1041" spans="1:2">
      <c r="A1041" s="1" t="s">
        <v>539</v>
      </c>
      <c r="B1041">
        <v>43816</v>
      </c>
    </row>
    <row r="1042" spans="1:2">
      <c r="A1042" s="1" t="s">
        <v>2322</v>
      </c>
      <c r="B1042">
        <v>43830</v>
      </c>
    </row>
    <row r="1043" spans="1:2">
      <c r="A1043" s="1" t="s">
        <v>2323</v>
      </c>
      <c r="B1043">
        <v>43819</v>
      </c>
    </row>
    <row r="1044" spans="1:2">
      <c r="A1044" s="1" t="s">
        <v>2324</v>
      </c>
      <c r="B1044">
        <v>43804</v>
      </c>
    </row>
    <row r="1045" spans="1:2">
      <c r="A1045" s="1" t="s">
        <v>2325</v>
      </c>
      <c r="B1045">
        <v>43815</v>
      </c>
    </row>
    <row r="1046" spans="1:2">
      <c r="A1046" s="1" t="s">
        <v>2326</v>
      </c>
      <c r="B1046">
        <v>43578</v>
      </c>
    </row>
    <row r="1047" spans="1:2">
      <c r="A1047" s="1" t="s">
        <v>2327</v>
      </c>
      <c r="B1047">
        <v>43829</v>
      </c>
    </row>
    <row r="1048" spans="1:2">
      <c r="A1048" s="1" t="s">
        <v>2328</v>
      </c>
      <c r="B1048">
        <v>43845</v>
      </c>
    </row>
    <row r="1049" spans="1:2">
      <c r="A1049" s="1" t="s">
        <v>600</v>
      </c>
      <c r="B1049">
        <v>43826</v>
      </c>
    </row>
    <row r="1050" spans="1:2">
      <c r="A1050" s="1" t="s">
        <v>2329</v>
      </c>
      <c r="B1050">
        <v>43733</v>
      </c>
    </row>
    <row r="1051" spans="1:2">
      <c r="A1051" s="1" t="s">
        <v>2330</v>
      </c>
      <c r="B1051">
        <v>43847</v>
      </c>
    </row>
    <row r="1052" spans="1:2">
      <c r="A1052" s="1" t="s">
        <v>537</v>
      </c>
      <c r="B1052">
        <v>43845</v>
      </c>
    </row>
    <row r="1053" spans="1:2">
      <c r="A1053" s="1" t="s">
        <v>2331</v>
      </c>
      <c r="B1053">
        <v>43845</v>
      </c>
    </row>
    <row r="1054" spans="1:2">
      <c r="A1054" s="1" t="s">
        <v>2332</v>
      </c>
      <c r="B1054">
        <v>43845</v>
      </c>
    </row>
    <row r="1055" spans="1:2">
      <c r="A1055" s="1" t="s">
        <v>402</v>
      </c>
      <c r="B1055">
        <v>43829</v>
      </c>
    </row>
    <row r="1056" spans="1:2">
      <c r="A1056" s="1" t="s">
        <v>2333</v>
      </c>
      <c r="B1056">
        <v>43830</v>
      </c>
    </row>
    <row r="1057" spans="1:2">
      <c r="A1057" s="1" t="s">
        <v>2334</v>
      </c>
      <c r="B1057">
        <v>43739</v>
      </c>
    </row>
    <row r="1058" spans="1:2">
      <c r="A1058" s="1" t="s">
        <v>2335</v>
      </c>
      <c r="B1058">
        <v>43845</v>
      </c>
    </row>
    <row r="1059" spans="1:2">
      <c r="A1059" s="1" t="s">
        <v>2336</v>
      </c>
      <c r="B1059">
        <v>43845</v>
      </c>
    </row>
    <row r="1060" spans="1:2">
      <c r="A1060" s="1" t="s">
        <v>2337</v>
      </c>
      <c r="B1060">
        <v>43833</v>
      </c>
    </row>
    <row r="1061" spans="1:2">
      <c r="A1061" s="1" t="s">
        <v>2338</v>
      </c>
      <c r="B1061">
        <v>43845</v>
      </c>
    </row>
    <row r="1062" spans="1:2">
      <c r="A1062" s="1" t="s">
        <v>143</v>
      </c>
      <c r="B1062">
        <v>43840</v>
      </c>
    </row>
    <row r="1063" spans="1:2">
      <c r="A1063" s="1" t="s">
        <v>2339</v>
      </c>
      <c r="B1063">
        <v>43606</v>
      </c>
    </row>
    <row r="1064" spans="1:2">
      <c r="A1064" s="1" t="s">
        <v>2340</v>
      </c>
      <c r="B1064">
        <v>43861</v>
      </c>
    </row>
    <row r="1065" spans="1:2">
      <c r="A1065" s="1" t="s">
        <v>2341</v>
      </c>
      <c r="B1065">
        <v>43833</v>
      </c>
    </row>
    <row r="1066" spans="1:2">
      <c r="A1066" s="1" t="s">
        <v>2342</v>
      </c>
      <c r="B1066">
        <v>43839</v>
      </c>
    </row>
    <row r="1067" spans="1:2">
      <c r="A1067" s="1" t="s">
        <v>396</v>
      </c>
      <c r="B1067">
        <v>43784</v>
      </c>
    </row>
    <row r="1068" spans="1:2">
      <c r="A1068" s="1" t="s">
        <v>2343</v>
      </c>
      <c r="B1068">
        <v>43818</v>
      </c>
    </row>
    <row r="1069" spans="1:2">
      <c r="A1069" s="1" t="s">
        <v>2344</v>
      </c>
      <c r="B1069">
        <v>43826</v>
      </c>
    </row>
    <row r="1070" spans="1:2">
      <c r="A1070" s="1" t="s">
        <v>2345</v>
      </c>
      <c r="B1070">
        <v>43822</v>
      </c>
    </row>
    <row r="1071" spans="1:2">
      <c r="A1071" s="1" t="s">
        <v>2346</v>
      </c>
      <c r="B1071">
        <v>43661</v>
      </c>
    </row>
    <row r="1072" spans="1:2">
      <c r="A1072" s="1" t="s">
        <v>2347</v>
      </c>
      <c r="B1072">
        <v>43845</v>
      </c>
    </row>
    <row r="1073" spans="1:2">
      <c r="A1073" s="1" t="s">
        <v>2348</v>
      </c>
      <c r="B1073">
        <v>43830</v>
      </c>
    </row>
    <row r="1074" spans="1:2">
      <c r="A1074" s="1" t="s">
        <v>2349</v>
      </c>
      <c r="B1074">
        <v>43822</v>
      </c>
    </row>
    <row r="1075" spans="1:2">
      <c r="A1075" s="1" t="s">
        <v>2350</v>
      </c>
      <c r="B1075">
        <v>43815</v>
      </c>
    </row>
    <row r="1076" spans="1:2">
      <c r="A1076" s="1" t="s">
        <v>571</v>
      </c>
      <c r="B1076">
        <v>43892</v>
      </c>
    </row>
    <row r="1077" spans="1:2">
      <c r="A1077" s="1" t="s">
        <v>2351</v>
      </c>
      <c r="B1077">
        <v>43826</v>
      </c>
    </row>
    <row r="1078" spans="1:2">
      <c r="A1078" s="1" t="s">
        <v>2352</v>
      </c>
      <c r="B1078">
        <v>43861</v>
      </c>
    </row>
    <row r="1079" spans="1:2">
      <c r="A1079" s="1" t="s">
        <v>2353</v>
      </c>
      <c r="B1079">
        <v>43815</v>
      </c>
    </row>
    <row r="1080" spans="1:2">
      <c r="A1080" s="1" t="s">
        <v>2354</v>
      </c>
      <c r="B1080">
        <v>43814</v>
      </c>
    </row>
    <row r="1081" spans="1:2">
      <c r="A1081" s="1" t="s">
        <v>2355</v>
      </c>
      <c r="B1081">
        <v>43677</v>
      </c>
    </row>
    <row r="1082" spans="1:2">
      <c r="A1082" s="1" t="s">
        <v>2356</v>
      </c>
      <c r="B1082">
        <v>43815</v>
      </c>
    </row>
    <row r="1083" spans="1:2">
      <c r="A1083" s="1" t="s">
        <v>2357</v>
      </c>
      <c r="B1083">
        <v>43830</v>
      </c>
    </row>
    <row r="1084" spans="1:2">
      <c r="A1084" s="1" t="s">
        <v>2358</v>
      </c>
      <c r="B1084">
        <v>43845</v>
      </c>
    </row>
    <row r="1085" spans="1:2">
      <c r="A1085" s="1" t="s">
        <v>2359</v>
      </c>
      <c r="B1085">
        <v>43830</v>
      </c>
    </row>
    <row r="1086" spans="1:2">
      <c r="A1086" s="1" t="s">
        <v>2360</v>
      </c>
      <c r="B1086">
        <v>43728</v>
      </c>
    </row>
    <row r="1087" spans="1:2">
      <c r="A1087" s="1" t="s">
        <v>2361</v>
      </c>
      <c r="B1087">
        <v>43810</v>
      </c>
    </row>
    <row r="1088" spans="1:2">
      <c r="A1088" s="1" t="s">
        <v>2362</v>
      </c>
      <c r="B1088">
        <v>43832</v>
      </c>
    </row>
    <row r="1089" spans="1:2">
      <c r="A1089" s="1" t="s">
        <v>2363</v>
      </c>
      <c r="B1089">
        <v>43830</v>
      </c>
    </row>
    <row r="1090" spans="1:2">
      <c r="A1090" s="1" t="s">
        <v>2364</v>
      </c>
      <c r="B1090">
        <v>43906</v>
      </c>
    </row>
    <row r="1091" spans="1:2">
      <c r="A1091" s="1" t="s">
        <v>448</v>
      </c>
      <c r="B1091">
        <v>43612</v>
      </c>
    </row>
    <row r="1092" spans="1:2">
      <c r="A1092" s="1" t="s">
        <v>2365</v>
      </c>
      <c r="B1092">
        <v>43832</v>
      </c>
    </row>
    <row r="1093" spans="1:2">
      <c r="A1093" s="1" t="s">
        <v>2366</v>
      </c>
      <c r="B1093">
        <v>43830</v>
      </c>
    </row>
    <row r="1094" spans="1:2">
      <c r="A1094" s="1" t="s">
        <v>2367</v>
      </c>
      <c r="B1094">
        <v>43819</v>
      </c>
    </row>
    <row r="1095" spans="1:2">
      <c r="A1095" s="1" t="s">
        <v>2368</v>
      </c>
      <c r="B1095">
        <v>43768</v>
      </c>
    </row>
    <row r="1096" spans="1:2">
      <c r="A1096" s="1" t="s">
        <v>2369</v>
      </c>
      <c r="B1096">
        <v>43837</v>
      </c>
    </row>
    <row r="1097" spans="1:2">
      <c r="A1097" s="1" t="s">
        <v>252</v>
      </c>
      <c r="B1097">
        <v>43783</v>
      </c>
    </row>
    <row r="1098" spans="1:2">
      <c r="A1098" s="1" t="s">
        <v>2370</v>
      </c>
      <c r="B1098">
        <v>43733</v>
      </c>
    </row>
    <row r="1099" spans="1:2">
      <c r="A1099" s="1" t="s">
        <v>609</v>
      </c>
      <c r="B1099">
        <v>43805</v>
      </c>
    </row>
    <row r="1100" spans="1:2">
      <c r="A1100" s="1" t="s">
        <v>458</v>
      </c>
      <c r="B1100">
        <v>43845</v>
      </c>
    </row>
    <row r="1101" spans="1:2">
      <c r="A1101" s="1" t="s">
        <v>2371</v>
      </c>
      <c r="B1101">
        <v>43801</v>
      </c>
    </row>
    <row r="1102" spans="1:2">
      <c r="A1102" s="1" t="s">
        <v>2372</v>
      </c>
      <c r="B1102" t="s">
        <v>637</v>
      </c>
    </row>
    <row r="1103" spans="1:2">
      <c r="A1103" s="1" t="s">
        <v>495</v>
      </c>
      <c r="B1103">
        <v>43819</v>
      </c>
    </row>
    <row r="1104" spans="1:2">
      <c r="A1104" s="1" t="s">
        <v>2373</v>
      </c>
      <c r="B1104">
        <v>43657</v>
      </c>
    </row>
    <row r="1105" spans="1:2">
      <c r="A1105" s="1" t="s">
        <v>2374</v>
      </c>
      <c r="B1105">
        <v>43830</v>
      </c>
    </row>
    <row r="1106" spans="1:2">
      <c r="A1106" s="1" t="s">
        <v>2375</v>
      </c>
      <c r="B1106">
        <v>43826</v>
      </c>
    </row>
    <row r="1107" spans="1:2">
      <c r="A1107" s="1" t="s">
        <v>2376</v>
      </c>
      <c r="B1107">
        <v>43830</v>
      </c>
    </row>
    <row r="1108" spans="1:2">
      <c r="A1108" s="1" t="s">
        <v>2377</v>
      </c>
      <c r="B1108">
        <v>43735</v>
      </c>
    </row>
    <row r="1109" spans="1:2">
      <c r="A1109" s="1" t="s">
        <v>2378</v>
      </c>
      <c r="B1109">
        <v>43560</v>
      </c>
    </row>
    <row r="1110" spans="1:2">
      <c r="A1110" s="1" t="s">
        <v>2379</v>
      </c>
      <c r="B1110">
        <v>43830</v>
      </c>
    </row>
    <row r="1111" spans="1:2">
      <c r="A1111" s="1" t="s">
        <v>393</v>
      </c>
      <c r="B1111">
        <v>43812</v>
      </c>
    </row>
    <row r="1112" spans="1:2">
      <c r="A1112" s="1" t="s">
        <v>2380</v>
      </c>
      <c r="B1112">
        <v>43830</v>
      </c>
    </row>
    <row r="1113" spans="1:2">
      <c r="A1113" s="1" t="s">
        <v>2381</v>
      </c>
      <c r="B1113">
        <v>43830</v>
      </c>
    </row>
    <row r="1114" spans="1:2">
      <c r="A1114" s="1" t="s">
        <v>2382</v>
      </c>
      <c r="B1114">
        <v>43854</v>
      </c>
    </row>
    <row r="1115" spans="1:2">
      <c r="A1115" s="1" t="s">
        <v>2383</v>
      </c>
      <c r="B1115" t="s">
        <v>637</v>
      </c>
    </row>
    <row r="1116" spans="1:2">
      <c r="A1116" s="1" t="s">
        <v>2384</v>
      </c>
      <c r="B1116">
        <v>43830</v>
      </c>
    </row>
    <row r="1117" spans="1:2">
      <c r="A1117" s="1" t="s">
        <v>2385</v>
      </c>
      <c r="B1117">
        <v>43817</v>
      </c>
    </row>
    <row r="1118" spans="1:2">
      <c r="A1118" s="1" t="s">
        <v>2386</v>
      </c>
      <c r="B1118">
        <v>43739</v>
      </c>
    </row>
    <row r="1119" spans="1:2">
      <c r="A1119" s="1" t="s">
        <v>2387</v>
      </c>
      <c r="B1119">
        <v>43784</v>
      </c>
    </row>
    <row r="1120" spans="1:2">
      <c r="A1120" s="1" t="s">
        <v>2388</v>
      </c>
      <c r="B1120">
        <v>43845</v>
      </c>
    </row>
    <row r="1121" spans="1:2">
      <c r="A1121" s="1" t="s">
        <v>2389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2390</v>
      </c>
      <c r="B1123">
        <v>43831</v>
      </c>
    </row>
    <row r="1124" spans="1:2">
      <c r="A1124" s="1" t="s">
        <v>2391</v>
      </c>
      <c r="B1124">
        <v>43832</v>
      </c>
    </row>
    <row r="1125" spans="1:2">
      <c r="A1125" s="1" t="s">
        <v>2392</v>
      </c>
      <c r="B1125">
        <v>43830</v>
      </c>
    </row>
    <row r="1126" spans="1:2">
      <c r="A1126" s="1" t="s">
        <v>2393</v>
      </c>
      <c r="B1126">
        <v>43892</v>
      </c>
    </row>
    <row r="1127" spans="1:2">
      <c r="A1127" s="1" t="s">
        <v>2394</v>
      </c>
      <c r="B1127">
        <v>43830</v>
      </c>
    </row>
    <row r="1128" spans="1:2">
      <c r="A1128" s="1" t="s">
        <v>2395</v>
      </c>
      <c r="B1128">
        <v>43818</v>
      </c>
    </row>
    <row r="1129" spans="1:2">
      <c r="A1129" s="1" t="s">
        <v>2396</v>
      </c>
      <c r="B1129">
        <v>43857</v>
      </c>
    </row>
    <row r="1130" spans="1:2">
      <c r="A1130" s="1" t="s">
        <v>2397</v>
      </c>
      <c r="B1130">
        <v>43830</v>
      </c>
    </row>
    <row r="1131" spans="1:2">
      <c r="A1131" s="1" t="s">
        <v>2398</v>
      </c>
      <c r="B1131">
        <v>43812</v>
      </c>
    </row>
    <row r="1132" spans="1:2">
      <c r="A1132" s="1" t="s">
        <v>2399</v>
      </c>
      <c r="B1132">
        <v>43845</v>
      </c>
    </row>
    <row r="1133" spans="1:2">
      <c r="A1133" s="1" t="s">
        <v>2400</v>
      </c>
      <c r="B1133">
        <v>43814</v>
      </c>
    </row>
    <row r="1134" spans="1:2">
      <c r="A1134" s="1" t="s">
        <v>2401</v>
      </c>
      <c r="B1134">
        <v>43861</v>
      </c>
    </row>
    <row r="1135" spans="1:2">
      <c r="A1135" s="1" t="s">
        <v>2402</v>
      </c>
      <c r="B1135" t="s">
        <v>637</v>
      </c>
    </row>
    <row r="1136" spans="1:2">
      <c r="A1136" s="1" t="s">
        <v>2403</v>
      </c>
      <c r="B1136" t="s">
        <v>637</v>
      </c>
    </row>
    <row r="1137" spans="1:2">
      <c r="A1137" s="1" t="s">
        <v>2404</v>
      </c>
      <c r="B1137">
        <v>43817</v>
      </c>
    </row>
    <row r="1138" spans="1:2">
      <c r="A1138" s="1" t="s">
        <v>2405</v>
      </c>
      <c r="B1138">
        <v>43832</v>
      </c>
    </row>
    <row r="1139" spans="1:2">
      <c r="A1139" s="1" t="s">
        <v>2406</v>
      </c>
      <c r="B1139">
        <v>43854</v>
      </c>
    </row>
    <row r="1140" spans="1:2">
      <c r="A1140" s="1" t="s">
        <v>2407</v>
      </c>
      <c r="B1140">
        <v>43711</v>
      </c>
    </row>
    <row r="1141" spans="1:2">
      <c r="A1141" s="1" t="s">
        <v>2408</v>
      </c>
      <c r="B1141">
        <v>43801</v>
      </c>
    </row>
    <row r="1142" spans="1:2">
      <c r="A1142" s="1" t="s">
        <v>2409</v>
      </c>
      <c r="B1142">
        <v>43830</v>
      </c>
    </row>
    <row r="1143" spans="1:2">
      <c r="A1143" s="1" t="s">
        <v>2410</v>
      </c>
      <c r="B1143">
        <v>43830</v>
      </c>
    </row>
    <row r="1144" spans="1:2">
      <c r="A1144" s="1" t="s">
        <v>415</v>
      </c>
      <c r="B1144">
        <v>43783</v>
      </c>
    </row>
    <row r="1145" spans="1:2">
      <c r="A1145" s="1" t="s">
        <v>2411</v>
      </c>
      <c r="B1145">
        <v>43815</v>
      </c>
    </row>
    <row r="1146" spans="1:2">
      <c r="A1146" s="1" t="s">
        <v>2412</v>
      </c>
      <c r="B1146">
        <v>43815</v>
      </c>
    </row>
    <row r="1147" spans="1:2">
      <c r="A1147" s="1" t="s">
        <v>2413</v>
      </c>
      <c r="B1147">
        <v>43812</v>
      </c>
    </row>
    <row r="1148" spans="1:2">
      <c r="A1148" s="1" t="s">
        <v>2414</v>
      </c>
      <c r="B1148">
        <v>43830</v>
      </c>
    </row>
    <row r="1149" spans="1:2">
      <c r="A1149" s="1" t="s">
        <v>391</v>
      </c>
      <c r="B1149">
        <v>43845</v>
      </c>
    </row>
    <row r="1150" spans="1:2">
      <c r="A1150" s="1" t="s">
        <v>2415</v>
      </c>
      <c r="B1150">
        <v>43830</v>
      </c>
    </row>
    <row r="1151" spans="1:2">
      <c r="A1151" s="1" t="s">
        <v>2416</v>
      </c>
      <c r="B1151">
        <v>43815</v>
      </c>
    </row>
    <row r="1152" spans="1:2">
      <c r="A1152" s="1" t="s">
        <v>2417</v>
      </c>
      <c r="B1152">
        <v>43845</v>
      </c>
    </row>
    <row r="1153" spans="1:2">
      <c r="A1153" s="1" t="s">
        <v>2418</v>
      </c>
      <c r="B1153">
        <v>43830</v>
      </c>
    </row>
    <row r="1154" spans="1:2">
      <c r="A1154" s="1" t="s">
        <v>2419</v>
      </c>
      <c r="B1154">
        <v>43845</v>
      </c>
    </row>
    <row r="1155" spans="1:2">
      <c r="A1155" s="1" t="s">
        <v>2420</v>
      </c>
      <c r="B1155">
        <v>43833</v>
      </c>
    </row>
    <row r="1156" spans="1:2">
      <c r="A1156" s="1" t="s">
        <v>2421</v>
      </c>
      <c r="B1156">
        <v>43884</v>
      </c>
    </row>
    <row r="1157" spans="1:2">
      <c r="A1157" s="1" t="s">
        <v>2422</v>
      </c>
      <c r="B1157">
        <v>43830</v>
      </c>
    </row>
    <row r="1158" spans="1:2">
      <c r="A1158" s="1" t="s">
        <v>2423</v>
      </c>
      <c r="B1158">
        <v>43815</v>
      </c>
    </row>
    <row r="1159" spans="1:2">
      <c r="A1159" s="1" t="s">
        <v>2424</v>
      </c>
      <c r="B1159">
        <v>43822</v>
      </c>
    </row>
    <row r="1160" spans="1:2">
      <c r="A1160" s="1" t="s">
        <v>2425</v>
      </c>
      <c r="B1160">
        <v>43745</v>
      </c>
    </row>
    <row r="1161" spans="1:2">
      <c r="A1161" s="1" t="s">
        <v>2426</v>
      </c>
      <c r="B1161" t="s">
        <v>637</v>
      </c>
    </row>
    <row r="1162" spans="1:2">
      <c r="A1162" s="1" t="s">
        <v>2427</v>
      </c>
      <c r="B1162">
        <v>43829</v>
      </c>
    </row>
    <row r="1163" spans="1:2">
      <c r="A1163" s="1" t="s">
        <v>2428</v>
      </c>
      <c r="B1163">
        <v>43829</v>
      </c>
    </row>
    <row r="1164" spans="1:2">
      <c r="A1164" s="1" t="s">
        <v>2429</v>
      </c>
      <c r="B1164">
        <v>43815</v>
      </c>
    </row>
    <row r="1165" spans="1:2">
      <c r="A1165" s="1" t="s">
        <v>2430</v>
      </c>
      <c r="B1165">
        <v>43826</v>
      </c>
    </row>
    <row r="1166" spans="1:2">
      <c r="A1166" s="1" t="s">
        <v>2431</v>
      </c>
      <c r="B1166">
        <v>43830</v>
      </c>
    </row>
    <row r="1167" spans="1:2">
      <c r="A1167" s="1" t="s">
        <v>2432</v>
      </c>
      <c r="B1167">
        <v>43831</v>
      </c>
    </row>
    <row r="1168" spans="1:2">
      <c r="A1168" s="1" t="s">
        <v>2433</v>
      </c>
      <c r="B1168">
        <v>43735</v>
      </c>
    </row>
    <row r="1169" spans="1:2">
      <c r="A1169" s="1" t="s">
        <v>131</v>
      </c>
      <c r="B1169">
        <v>43781</v>
      </c>
    </row>
    <row r="1170" spans="1:2">
      <c r="A1170" s="1" t="s">
        <v>2434</v>
      </c>
      <c r="B1170">
        <v>43738</v>
      </c>
    </row>
    <row r="1171" spans="1:2">
      <c r="A1171" s="1" t="s">
        <v>2435</v>
      </c>
      <c r="B1171">
        <v>43815</v>
      </c>
    </row>
    <row r="1172" spans="1:2">
      <c r="A1172" s="1" t="s">
        <v>596</v>
      </c>
      <c r="B1172">
        <v>43801</v>
      </c>
    </row>
    <row r="1173" spans="1:2">
      <c r="A1173" s="1" t="s">
        <v>2436</v>
      </c>
      <c r="B1173">
        <v>43742</v>
      </c>
    </row>
    <row r="1174" spans="1:2">
      <c r="A1174" s="1" t="s">
        <v>430</v>
      </c>
      <c r="B1174">
        <v>43699</v>
      </c>
    </row>
    <row r="1175" spans="1:2">
      <c r="A1175" s="1" t="s">
        <v>2437</v>
      </c>
      <c r="B1175">
        <v>43763</v>
      </c>
    </row>
    <row r="1176" spans="1:2">
      <c r="A1176" s="1" t="s">
        <v>2438</v>
      </c>
      <c r="B1176">
        <v>43845</v>
      </c>
    </row>
    <row r="1177" spans="1:2">
      <c r="A1177" s="1" t="s">
        <v>2439</v>
      </c>
      <c r="B1177">
        <v>43626</v>
      </c>
    </row>
    <row r="1178" spans="1:2">
      <c r="A1178" s="1" t="s">
        <v>2440</v>
      </c>
      <c r="B1178">
        <v>43845</v>
      </c>
    </row>
    <row r="1179" spans="1:2">
      <c r="A1179" s="1" t="s">
        <v>2441</v>
      </c>
      <c r="B1179">
        <v>43812</v>
      </c>
    </row>
    <row r="1180" spans="1:2">
      <c r="A1180" s="1" t="s">
        <v>2442</v>
      </c>
      <c r="B1180">
        <v>43783</v>
      </c>
    </row>
    <row r="1181" spans="1:2">
      <c r="A1181" s="1" t="s">
        <v>2443</v>
      </c>
      <c r="B1181">
        <v>43798</v>
      </c>
    </row>
    <row r="1182" spans="1:2">
      <c r="A1182" s="1" t="s">
        <v>2444</v>
      </c>
      <c r="B1182">
        <v>43830</v>
      </c>
    </row>
    <row r="1183" spans="1:2">
      <c r="A1183" s="1" t="s">
        <v>2445</v>
      </c>
      <c r="B1183">
        <v>43803</v>
      </c>
    </row>
    <row r="1184" spans="1:2">
      <c r="A1184" s="1" t="s">
        <v>2446</v>
      </c>
      <c r="B1184">
        <v>43832</v>
      </c>
    </row>
    <row r="1185" spans="1:2">
      <c r="A1185" s="1" t="s">
        <v>2447</v>
      </c>
      <c r="B1185">
        <v>43733</v>
      </c>
    </row>
    <row r="1186" spans="1:2">
      <c r="A1186" s="1" t="s">
        <v>2448</v>
      </c>
      <c r="B1186">
        <v>43703</v>
      </c>
    </row>
    <row r="1187" spans="1:2">
      <c r="A1187" s="1" t="s">
        <v>2449</v>
      </c>
      <c r="B1187">
        <v>43845</v>
      </c>
    </row>
    <row r="1188" spans="1:2">
      <c r="A1188" s="1" t="s">
        <v>2450</v>
      </c>
      <c r="B1188">
        <v>43768</v>
      </c>
    </row>
    <row r="1189" spans="1:2">
      <c r="A1189" s="1" t="s">
        <v>2451</v>
      </c>
      <c r="B1189">
        <v>43594</v>
      </c>
    </row>
    <row r="1190" spans="1:2">
      <c r="A1190" s="1" t="s">
        <v>2452</v>
      </c>
      <c r="B1190">
        <v>43811</v>
      </c>
    </row>
    <row r="1191" spans="1:2">
      <c r="A1191" s="1" t="s">
        <v>2453</v>
      </c>
      <c r="B1191">
        <v>43830</v>
      </c>
    </row>
    <row r="1192" spans="1:2">
      <c r="A1192" s="1" t="s">
        <v>2454</v>
      </c>
      <c r="B1192">
        <v>43784</v>
      </c>
    </row>
    <row r="1193" spans="1:2">
      <c r="A1193" s="1" t="s">
        <v>2455</v>
      </c>
      <c r="B1193">
        <v>43815</v>
      </c>
    </row>
    <row r="1194" spans="1:2">
      <c r="A1194" s="1" t="s">
        <v>2456</v>
      </c>
      <c r="B1194">
        <v>43815</v>
      </c>
    </row>
    <row r="1195" spans="1:2">
      <c r="A1195" s="1" t="s">
        <v>2457</v>
      </c>
      <c r="B1195">
        <v>43830</v>
      </c>
    </row>
    <row r="1196" spans="1:2">
      <c r="A1196" s="1" t="s">
        <v>2458</v>
      </c>
      <c r="B1196">
        <v>43830</v>
      </c>
    </row>
    <row r="1197" spans="1:2">
      <c r="A1197" s="1" t="s">
        <v>2459</v>
      </c>
      <c r="B1197">
        <v>43784</v>
      </c>
    </row>
    <row r="1198" spans="1:2">
      <c r="A1198" s="1" t="s">
        <v>2460</v>
      </c>
      <c r="B1198">
        <v>43777</v>
      </c>
    </row>
    <row r="1199" spans="1:2">
      <c r="A1199" s="1" t="s">
        <v>2461</v>
      </c>
      <c r="B1199">
        <v>43753</v>
      </c>
    </row>
    <row r="1200" spans="1:2">
      <c r="A1200" s="1" t="s">
        <v>2462</v>
      </c>
      <c r="B1200">
        <v>43861</v>
      </c>
    </row>
    <row r="1201" spans="1:2">
      <c r="A1201" s="1" t="s">
        <v>2463</v>
      </c>
      <c r="B1201">
        <v>43830</v>
      </c>
    </row>
    <row r="1202" spans="1:2">
      <c r="A1202" s="1" t="s">
        <v>2464</v>
      </c>
      <c r="B1202">
        <v>43830</v>
      </c>
    </row>
    <row r="1203" spans="1:2">
      <c r="A1203" s="1" t="s">
        <v>2465</v>
      </c>
      <c r="B1203">
        <v>43818</v>
      </c>
    </row>
    <row r="1204" spans="1:2">
      <c r="A1204" s="1" t="s">
        <v>2466</v>
      </c>
      <c r="B1204">
        <v>43790</v>
      </c>
    </row>
    <row r="1205" spans="1:2">
      <c r="A1205" s="1" t="s">
        <v>2467</v>
      </c>
      <c r="B1205">
        <v>43668</v>
      </c>
    </row>
    <row r="1206" spans="1:2">
      <c r="A1206" s="1" t="s">
        <v>2468</v>
      </c>
      <c r="B1206">
        <v>43665</v>
      </c>
    </row>
    <row r="1207" spans="1:2">
      <c r="A1207" s="1" t="s">
        <v>2469</v>
      </c>
      <c r="B1207">
        <v>43861</v>
      </c>
    </row>
    <row r="1208" spans="1:2">
      <c r="A1208" s="1" t="s">
        <v>2470</v>
      </c>
      <c r="B1208">
        <v>43832</v>
      </c>
    </row>
    <row r="1209" spans="1:2">
      <c r="A1209" s="1" t="s">
        <v>2471</v>
      </c>
      <c r="B1209">
        <v>43801</v>
      </c>
    </row>
    <row r="1210" spans="1:2">
      <c r="A1210" s="1" t="s">
        <v>2472</v>
      </c>
      <c r="B1210">
        <v>43798</v>
      </c>
    </row>
    <row r="1211" spans="1:2">
      <c r="A1211" s="1" t="s">
        <v>2473</v>
      </c>
      <c r="B1211">
        <v>43829</v>
      </c>
    </row>
    <row r="1212" spans="1:2">
      <c r="A1212" s="1" t="s">
        <v>2474</v>
      </c>
      <c r="B1212">
        <v>43738</v>
      </c>
    </row>
    <row r="1213" spans="1:2">
      <c r="A1213" s="1" t="s">
        <v>2475</v>
      </c>
      <c r="B1213">
        <v>43726</v>
      </c>
    </row>
    <row r="1214" spans="1:2">
      <c r="A1214" s="1" t="s">
        <v>2476</v>
      </c>
      <c r="B1214">
        <v>43814</v>
      </c>
    </row>
    <row r="1215" spans="1:2">
      <c r="A1215" s="1" t="s">
        <v>417</v>
      </c>
      <c r="B1215">
        <v>43798</v>
      </c>
    </row>
    <row r="1216" spans="1:2">
      <c r="A1216" s="1" t="s">
        <v>2477</v>
      </c>
      <c r="B1216">
        <v>43830</v>
      </c>
    </row>
    <row r="1217" spans="1:2">
      <c r="A1217" s="1" t="s">
        <v>2478</v>
      </c>
      <c r="B1217">
        <v>43830</v>
      </c>
    </row>
    <row r="1218" spans="1:2">
      <c r="A1218" s="1" t="s">
        <v>2479</v>
      </c>
      <c r="B1218">
        <v>43845</v>
      </c>
    </row>
    <row r="1219" spans="1:2">
      <c r="A1219" s="1" t="s">
        <v>2480</v>
      </c>
      <c r="B1219">
        <v>43830</v>
      </c>
    </row>
    <row r="1220" spans="1:2">
      <c r="A1220" s="1" t="s">
        <v>2481</v>
      </c>
      <c r="B1220">
        <v>43830</v>
      </c>
    </row>
    <row r="1221" spans="1:2">
      <c r="A1221" s="1" t="s">
        <v>2482</v>
      </c>
      <c r="B1221">
        <v>43829</v>
      </c>
    </row>
    <row r="1222" spans="1:2">
      <c r="A1222" s="1" t="s">
        <v>2483</v>
      </c>
      <c r="B1222">
        <v>43747</v>
      </c>
    </row>
    <row r="1223" spans="1:2">
      <c r="A1223" s="1" t="s">
        <v>2484</v>
      </c>
      <c r="B1223">
        <v>43845</v>
      </c>
    </row>
    <row r="1224" spans="1:2">
      <c r="A1224" s="1" t="s">
        <v>2485</v>
      </c>
      <c r="B1224">
        <v>43845</v>
      </c>
    </row>
    <row r="1225" spans="1:2">
      <c r="A1225" s="1" t="s">
        <v>2486</v>
      </c>
      <c r="B1225">
        <v>43830</v>
      </c>
    </row>
    <row r="1226" spans="1:2">
      <c r="A1226" s="1" t="s">
        <v>2487</v>
      </c>
      <c r="B1226">
        <v>43738</v>
      </c>
    </row>
    <row r="1227" spans="1:2">
      <c r="A1227" s="1" t="s">
        <v>2488</v>
      </c>
      <c r="B1227">
        <v>43892</v>
      </c>
    </row>
    <row r="1228" spans="1:2">
      <c r="A1228" s="1" t="s">
        <v>2489</v>
      </c>
      <c r="B1228">
        <v>43830</v>
      </c>
    </row>
    <row r="1229" spans="1:2">
      <c r="A1229" s="1" t="s">
        <v>2490</v>
      </c>
      <c r="B1229">
        <v>43854</v>
      </c>
    </row>
    <row r="1230" spans="1:2">
      <c r="A1230" s="1" t="s">
        <v>2491</v>
      </c>
      <c r="B1230">
        <v>43830</v>
      </c>
    </row>
    <row r="1231" spans="1:2">
      <c r="A1231" s="1" t="s">
        <v>2492</v>
      </c>
      <c r="B1231">
        <v>43805</v>
      </c>
    </row>
    <row r="1232" spans="1:2">
      <c r="A1232" s="1" t="s">
        <v>2493</v>
      </c>
      <c r="B1232">
        <v>43822</v>
      </c>
    </row>
    <row r="1233" spans="1:2">
      <c r="A1233" s="1" t="s">
        <v>2494</v>
      </c>
      <c r="B1233">
        <v>43815</v>
      </c>
    </row>
    <row r="1234" spans="1:2">
      <c r="A1234" s="1" t="s">
        <v>2495</v>
      </c>
      <c r="B1234">
        <v>43815</v>
      </c>
    </row>
    <row r="1235" spans="1:2">
      <c r="A1235" s="1" t="s">
        <v>2496</v>
      </c>
      <c r="B1235">
        <v>43830</v>
      </c>
    </row>
    <row r="1236" spans="1:2">
      <c r="A1236" s="1" t="s">
        <v>2497</v>
      </c>
      <c r="B1236">
        <v>43801</v>
      </c>
    </row>
    <row r="1237" spans="1:2">
      <c r="A1237" s="1" t="s">
        <v>2498</v>
      </c>
      <c r="B1237">
        <v>43825</v>
      </c>
    </row>
    <row r="1238" spans="1:2">
      <c r="A1238" s="1" t="s">
        <v>2499</v>
      </c>
      <c r="B1238">
        <v>43845</v>
      </c>
    </row>
    <row r="1239" spans="1:2">
      <c r="A1239" s="1" t="s">
        <v>2500</v>
      </c>
      <c r="B1239">
        <v>43830</v>
      </c>
    </row>
    <row r="1240" spans="1:2">
      <c r="A1240" s="1" t="s">
        <v>2501</v>
      </c>
      <c r="B1240">
        <v>43829</v>
      </c>
    </row>
    <row r="1241" spans="1:2">
      <c r="A1241" s="1" t="s">
        <v>2502</v>
      </c>
      <c r="B1241">
        <v>43815</v>
      </c>
    </row>
    <row r="1242" spans="1:2">
      <c r="A1242" s="1" t="s">
        <v>2503</v>
      </c>
      <c r="B1242">
        <v>43862</v>
      </c>
    </row>
    <row r="1243" spans="1:2">
      <c r="A1243" s="1" t="s">
        <v>2504</v>
      </c>
      <c r="B1243" t="s">
        <v>637</v>
      </c>
    </row>
    <row r="1244" spans="1:2">
      <c r="A1244" s="1" t="s">
        <v>376</v>
      </c>
      <c r="B1244">
        <v>43649</v>
      </c>
    </row>
    <row r="1245" spans="1:2">
      <c r="A1245" s="1" t="s">
        <v>2505</v>
      </c>
      <c r="B1245">
        <v>43814</v>
      </c>
    </row>
    <row r="1246" spans="1:2">
      <c r="A1246" s="1" t="s">
        <v>2506</v>
      </c>
      <c r="B1246">
        <v>43830</v>
      </c>
    </row>
    <row r="1247" spans="1:2">
      <c r="A1247" s="1" t="s">
        <v>259</v>
      </c>
      <c r="B1247">
        <v>43788</v>
      </c>
    </row>
    <row r="1248" spans="1:2">
      <c r="A1248" s="1" t="s">
        <v>2507</v>
      </c>
      <c r="B1248">
        <v>43626</v>
      </c>
    </row>
    <row r="1249" spans="1:2">
      <c r="A1249" s="1" t="s">
        <v>2508</v>
      </c>
      <c r="B1249">
        <v>43845</v>
      </c>
    </row>
    <row r="1250" spans="1:2">
      <c r="A1250" s="1" t="s">
        <v>2509</v>
      </c>
      <c r="B1250">
        <v>43798</v>
      </c>
    </row>
    <row r="1251" spans="1:2">
      <c r="A1251" s="1" t="s">
        <v>2510</v>
      </c>
      <c r="B1251">
        <v>43839</v>
      </c>
    </row>
    <row r="1252" spans="1:2">
      <c r="A1252" s="1" t="s">
        <v>2511</v>
      </c>
      <c r="B1252">
        <v>43629</v>
      </c>
    </row>
    <row r="1253" spans="1:2">
      <c r="A1253" s="1" t="s">
        <v>2512</v>
      </c>
      <c r="B1253">
        <v>43461</v>
      </c>
    </row>
    <row r="1254" spans="1:2">
      <c r="A1254" s="1" t="s">
        <v>2513</v>
      </c>
      <c r="B1254">
        <v>43829</v>
      </c>
    </row>
    <row r="1255" spans="1:2">
      <c r="A1255" s="1" t="s">
        <v>2514</v>
      </c>
      <c r="B1255">
        <v>43864</v>
      </c>
    </row>
    <row r="1256" spans="1:2">
      <c r="A1256" s="1" t="s">
        <v>2515</v>
      </c>
      <c r="B1256">
        <v>43830</v>
      </c>
    </row>
    <row r="1257" spans="1:2">
      <c r="A1257" s="1" t="s">
        <v>2516</v>
      </c>
      <c r="B1257">
        <v>43922</v>
      </c>
    </row>
    <row r="1258" spans="1:2">
      <c r="A1258" s="1" t="s">
        <v>2517</v>
      </c>
      <c r="B1258">
        <v>43840</v>
      </c>
    </row>
    <row r="1259" spans="1:2">
      <c r="A1259" s="1" t="s">
        <v>2518</v>
      </c>
      <c r="B1259">
        <v>43845</v>
      </c>
    </row>
    <row r="1260" spans="1:2">
      <c r="A1260" s="1" t="s">
        <v>2519</v>
      </c>
      <c r="B1260">
        <v>43622</v>
      </c>
    </row>
    <row r="1261" spans="1:2">
      <c r="A1261" s="1" t="s">
        <v>2520</v>
      </c>
      <c r="B1261">
        <v>43832</v>
      </c>
    </row>
    <row r="1262" spans="1:2">
      <c r="A1262" s="1" t="s">
        <v>2521</v>
      </c>
      <c r="B1262">
        <v>43832</v>
      </c>
    </row>
    <row r="1263" spans="1:2">
      <c r="A1263" s="1" t="s">
        <v>2522</v>
      </c>
      <c r="B1263">
        <v>43832</v>
      </c>
    </row>
    <row r="1264" spans="1:2">
      <c r="A1264" s="1" t="s">
        <v>2523</v>
      </c>
      <c r="B1264">
        <v>43818</v>
      </c>
    </row>
    <row r="1265" spans="1:2">
      <c r="A1265" s="1" t="s">
        <v>2524</v>
      </c>
      <c r="B1265">
        <v>43906</v>
      </c>
    </row>
    <row r="1266" spans="1:2">
      <c r="A1266" s="1" t="s">
        <v>2525</v>
      </c>
      <c r="B1266">
        <v>43753</v>
      </c>
    </row>
    <row r="1267" spans="1:2">
      <c r="A1267" s="1" t="s">
        <v>434</v>
      </c>
      <c r="B1267">
        <v>43845</v>
      </c>
    </row>
    <row r="1268" spans="1:2">
      <c r="A1268" s="1" t="s">
        <v>2526</v>
      </c>
      <c r="B1268">
        <v>43654</v>
      </c>
    </row>
    <row r="1269" spans="1:2">
      <c r="A1269" s="1" t="s">
        <v>2527</v>
      </c>
      <c r="B1269">
        <v>43724</v>
      </c>
    </row>
    <row r="1270" spans="1:2">
      <c r="A1270" s="1" t="s">
        <v>2528</v>
      </c>
      <c r="B1270">
        <v>43783</v>
      </c>
    </row>
    <row r="1271" spans="1:2">
      <c r="A1271" s="1" t="s">
        <v>2529</v>
      </c>
      <c r="B1271">
        <v>43801</v>
      </c>
    </row>
    <row r="1272" spans="1:2">
      <c r="A1272" s="1" t="s">
        <v>2530</v>
      </c>
      <c r="B1272" t="s">
        <v>637</v>
      </c>
    </row>
    <row r="1273" spans="1:2">
      <c r="A1273" s="1" t="s">
        <v>2531</v>
      </c>
      <c r="B1273">
        <v>43840</v>
      </c>
    </row>
    <row r="1274" spans="1:2">
      <c r="A1274" s="1" t="s">
        <v>2532</v>
      </c>
      <c r="B1274">
        <v>43714</v>
      </c>
    </row>
    <row r="1275" spans="1:2">
      <c r="A1275" s="1" t="s">
        <v>2533</v>
      </c>
      <c r="B1275">
        <v>43830</v>
      </c>
    </row>
    <row r="1276" spans="1:2">
      <c r="A1276" s="1" t="s">
        <v>2534</v>
      </c>
      <c r="B1276">
        <v>43798</v>
      </c>
    </row>
    <row r="1277" spans="1:2">
      <c r="A1277" s="1" t="s">
        <v>2535</v>
      </c>
      <c r="B1277">
        <v>43699</v>
      </c>
    </row>
    <row r="1278" spans="1:2">
      <c r="A1278" s="1" t="s">
        <v>2536</v>
      </c>
      <c r="B1278">
        <v>43825</v>
      </c>
    </row>
    <row r="1279" spans="1:2">
      <c r="A1279" s="1" t="s">
        <v>2537</v>
      </c>
      <c r="B1279">
        <v>43825</v>
      </c>
    </row>
    <row r="1280" spans="1:2">
      <c r="A1280" s="1" t="s">
        <v>2538</v>
      </c>
      <c r="B1280" t="s">
        <v>637</v>
      </c>
    </row>
    <row r="1281" spans="1:2">
      <c r="A1281" s="1" t="s">
        <v>2539</v>
      </c>
      <c r="B1281">
        <v>43867</v>
      </c>
    </row>
    <row r="1282" spans="1:2">
      <c r="A1282" s="1" t="s">
        <v>2540</v>
      </c>
      <c r="B1282">
        <v>43814</v>
      </c>
    </row>
    <row r="1283" spans="1:2">
      <c r="A1283" s="1" t="s">
        <v>2541</v>
      </c>
      <c r="B1283">
        <v>43552</v>
      </c>
    </row>
    <row r="1284" spans="1:2">
      <c r="A1284" s="1" t="s">
        <v>2542</v>
      </c>
      <c r="B1284">
        <v>43815</v>
      </c>
    </row>
    <row r="1285" spans="1:2">
      <c r="A1285" s="1" t="s">
        <v>2543</v>
      </c>
      <c r="B1285">
        <v>43783</v>
      </c>
    </row>
    <row r="1286" spans="1:2">
      <c r="A1286" s="1" t="s">
        <v>2544</v>
      </c>
      <c r="B1286">
        <v>43861</v>
      </c>
    </row>
    <row r="1287" spans="1:2">
      <c r="A1287" s="1" t="s">
        <v>2545</v>
      </c>
      <c r="B1287">
        <v>43845</v>
      </c>
    </row>
    <row r="1288" spans="1:2">
      <c r="A1288" s="1" t="s">
        <v>2546</v>
      </c>
      <c r="B1288">
        <v>43735</v>
      </c>
    </row>
    <row r="1289" spans="1:2">
      <c r="A1289" s="1" t="s">
        <v>2547</v>
      </c>
      <c r="B1289">
        <v>43837</v>
      </c>
    </row>
    <row r="1290" spans="1:2">
      <c r="A1290" s="1" t="s">
        <v>2548</v>
      </c>
      <c r="B1290">
        <v>43913</v>
      </c>
    </row>
    <row r="1291" spans="1:2">
      <c r="A1291" s="1" t="s">
        <v>2549</v>
      </c>
      <c r="B1291">
        <v>43434</v>
      </c>
    </row>
    <row r="1292" spans="1:2">
      <c r="A1292" s="1" t="s">
        <v>2550</v>
      </c>
      <c r="B1292">
        <v>43655</v>
      </c>
    </row>
    <row r="1293" spans="1:2">
      <c r="A1293" s="1" t="s">
        <v>2551</v>
      </c>
      <c r="B1293">
        <v>43801</v>
      </c>
    </row>
    <row r="1294" spans="1:2">
      <c r="A1294" s="1" t="s">
        <v>2552</v>
      </c>
      <c r="B1294">
        <v>43801</v>
      </c>
    </row>
    <row r="1295" spans="1:2">
      <c r="A1295" s="1" t="s">
        <v>2553</v>
      </c>
      <c r="B1295">
        <v>43830</v>
      </c>
    </row>
    <row r="1296" spans="1:2">
      <c r="A1296" s="1" t="s">
        <v>2554</v>
      </c>
      <c r="B1296">
        <v>43814</v>
      </c>
    </row>
    <row r="1297" spans="1:2">
      <c r="A1297" s="1" t="s">
        <v>2555</v>
      </c>
      <c r="B1297">
        <v>43830</v>
      </c>
    </row>
    <row r="1298" spans="1:2">
      <c r="A1298" s="1" t="s">
        <v>2556</v>
      </c>
      <c r="B1298">
        <v>43815</v>
      </c>
    </row>
    <row r="1299" spans="1:2">
      <c r="A1299" s="1" t="s">
        <v>2557</v>
      </c>
      <c r="B1299">
        <v>43845</v>
      </c>
    </row>
    <row r="1300" spans="1:2">
      <c r="A1300" s="1" t="s">
        <v>2558</v>
      </c>
      <c r="B1300">
        <v>43815</v>
      </c>
    </row>
    <row r="1301" spans="1:2">
      <c r="A1301" s="1" t="s">
        <v>481</v>
      </c>
      <c r="B1301">
        <v>43770</v>
      </c>
    </row>
    <row r="1302" spans="1:2">
      <c r="A1302" s="1" t="s">
        <v>2559</v>
      </c>
      <c r="B1302">
        <v>43815</v>
      </c>
    </row>
    <row r="1303" spans="1:2">
      <c r="A1303" s="1" t="s">
        <v>2560</v>
      </c>
      <c r="B1303">
        <v>43798</v>
      </c>
    </row>
    <row r="1304" spans="1:2">
      <c r="A1304" s="1" t="s">
        <v>2561</v>
      </c>
      <c r="B1304">
        <v>43795</v>
      </c>
    </row>
    <row r="1305" spans="1:2">
      <c r="A1305" s="1" t="s">
        <v>2562</v>
      </c>
      <c r="B1305" t="s">
        <v>637</v>
      </c>
    </row>
    <row r="1306" spans="1:2">
      <c r="A1306" s="1" t="s">
        <v>2563</v>
      </c>
      <c r="B1306">
        <v>43825</v>
      </c>
    </row>
    <row r="1307" spans="1:2">
      <c r="A1307" s="1" t="s">
        <v>2564</v>
      </c>
      <c r="B1307">
        <v>43768</v>
      </c>
    </row>
    <row r="1308" spans="1:2">
      <c r="A1308" s="1" t="s">
        <v>2565</v>
      </c>
      <c r="B1308">
        <v>43790</v>
      </c>
    </row>
    <row r="1309" spans="1:2">
      <c r="A1309" s="1" t="s">
        <v>2566</v>
      </c>
      <c r="B1309">
        <v>43832</v>
      </c>
    </row>
    <row r="1310" spans="1:2">
      <c r="A1310" s="1" t="s">
        <v>2567</v>
      </c>
      <c r="B1310">
        <v>43845</v>
      </c>
    </row>
    <row r="1311" spans="1:2">
      <c r="A1311" s="1" t="s">
        <v>2568</v>
      </c>
      <c r="B1311">
        <v>43818</v>
      </c>
    </row>
    <row r="1312" spans="1:2">
      <c r="A1312" s="1" t="s">
        <v>541</v>
      </c>
      <c r="B1312">
        <v>43798</v>
      </c>
    </row>
    <row r="1313" spans="1:2">
      <c r="A1313" s="1" t="s">
        <v>2569</v>
      </c>
      <c r="B1313">
        <v>43664</v>
      </c>
    </row>
    <row r="1314" spans="1:2">
      <c r="A1314" s="1" t="s">
        <v>2570</v>
      </c>
      <c r="B1314">
        <v>43801</v>
      </c>
    </row>
    <row r="1315" spans="1:2">
      <c r="A1315" s="1" t="s">
        <v>2571</v>
      </c>
      <c r="B1315">
        <v>43830</v>
      </c>
    </row>
    <row r="1316" spans="1:2">
      <c r="A1316" s="1" t="s">
        <v>2572</v>
      </c>
      <c r="B1316">
        <v>43815</v>
      </c>
    </row>
    <row r="1317" spans="1:2">
      <c r="A1317" s="1" t="s">
        <v>2573</v>
      </c>
      <c r="B1317">
        <v>43770</v>
      </c>
    </row>
    <row r="1318" spans="1:2">
      <c r="A1318" s="1" t="s">
        <v>2574</v>
      </c>
      <c r="B1318">
        <v>43830</v>
      </c>
    </row>
    <row r="1319" spans="1:2">
      <c r="A1319" s="1" t="s">
        <v>2575</v>
      </c>
      <c r="B1319">
        <v>43781</v>
      </c>
    </row>
    <row r="1320" spans="1:2">
      <c r="A1320" s="1" t="s">
        <v>2576</v>
      </c>
      <c r="B1320">
        <v>43724</v>
      </c>
    </row>
    <row r="1321" spans="1:2">
      <c r="A1321" s="1" t="s">
        <v>2577</v>
      </c>
      <c r="B1321">
        <v>43822</v>
      </c>
    </row>
    <row r="1322" spans="1:2">
      <c r="A1322" s="1" t="s">
        <v>2578</v>
      </c>
      <c r="B1322">
        <v>43801</v>
      </c>
    </row>
    <row r="1323" spans="1:2">
      <c r="A1323" s="1" t="s">
        <v>2579</v>
      </c>
      <c r="B1323">
        <v>43818</v>
      </c>
    </row>
    <row r="1324" spans="1:2">
      <c r="A1324" s="1" t="s">
        <v>2580</v>
      </c>
      <c r="B1324">
        <v>43798</v>
      </c>
    </row>
    <row r="1325" spans="1:2">
      <c r="A1325" s="1" t="s">
        <v>2581</v>
      </c>
      <c r="B1325">
        <v>43815</v>
      </c>
    </row>
    <row r="1326" spans="1:2">
      <c r="A1326" s="1" t="s">
        <v>2582</v>
      </c>
      <c r="B1326">
        <v>43801</v>
      </c>
    </row>
    <row r="1327" spans="1:2">
      <c r="A1327" s="1" t="s">
        <v>2583</v>
      </c>
      <c r="B1327">
        <v>43812</v>
      </c>
    </row>
    <row r="1328" spans="1:2">
      <c r="A1328" s="1" t="s">
        <v>2584</v>
      </c>
      <c r="B1328">
        <v>43845</v>
      </c>
    </row>
    <row r="1329" spans="1:2">
      <c r="A1329" s="1" t="s">
        <v>557</v>
      </c>
      <c r="B1329">
        <v>43860</v>
      </c>
    </row>
    <row r="1330" spans="1:2">
      <c r="A1330" s="1" t="s">
        <v>2585</v>
      </c>
      <c r="B1330">
        <v>43829</v>
      </c>
    </row>
    <row r="1331" spans="1:2">
      <c r="A1331" s="1" t="s">
        <v>2586</v>
      </c>
      <c r="B1331">
        <v>43859</v>
      </c>
    </row>
    <row r="1332" spans="1:2">
      <c r="A1332" s="1" t="s">
        <v>2587</v>
      </c>
      <c r="B1332">
        <v>43825</v>
      </c>
    </row>
    <row r="1333" spans="1:2">
      <c r="A1333" s="1" t="s">
        <v>2588</v>
      </c>
      <c r="B1333">
        <v>43678</v>
      </c>
    </row>
    <row r="1334" spans="1:2">
      <c r="A1334" s="1" t="s">
        <v>2589</v>
      </c>
      <c r="B1334">
        <v>43812</v>
      </c>
    </row>
    <row r="1335" spans="1:2">
      <c r="A1335" s="1" t="s">
        <v>2590</v>
      </c>
      <c r="B1335">
        <v>43724</v>
      </c>
    </row>
    <row r="1336" spans="1:2">
      <c r="A1336" s="1" t="s">
        <v>2591</v>
      </c>
      <c r="B1336">
        <v>43698</v>
      </c>
    </row>
    <row r="1337" spans="1:2">
      <c r="A1337" s="1" t="s">
        <v>2592</v>
      </c>
      <c r="B1337">
        <v>43892</v>
      </c>
    </row>
    <row r="1338" spans="1:2">
      <c r="A1338" s="1" t="s">
        <v>2593</v>
      </c>
      <c r="B1338">
        <v>43770</v>
      </c>
    </row>
    <row r="1339" spans="1:2">
      <c r="A1339" s="1" t="s">
        <v>2594</v>
      </c>
      <c r="B1339">
        <v>43830</v>
      </c>
    </row>
    <row r="1340" spans="1:2">
      <c r="A1340" s="1" t="s">
        <v>2595</v>
      </c>
      <c r="B1340">
        <v>43815</v>
      </c>
    </row>
    <row r="1341" spans="1:2">
      <c r="A1341" s="1" t="s">
        <v>2596</v>
      </c>
      <c r="B1341">
        <v>43619</v>
      </c>
    </row>
    <row r="1342" spans="1:2">
      <c r="A1342" s="1" t="s">
        <v>2597</v>
      </c>
      <c r="B1342">
        <v>43805</v>
      </c>
    </row>
    <row r="1343" spans="1:2">
      <c r="A1343" s="1" t="s">
        <v>2598</v>
      </c>
      <c r="B1343">
        <v>43831</v>
      </c>
    </row>
    <row r="1344" spans="1:2">
      <c r="A1344" s="1" t="s">
        <v>2599</v>
      </c>
      <c r="B1344">
        <v>43832</v>
      </c>
    </row>
    <row r="1345" spans="1:2">
      <c r="A1345" s="1" t="s">
        <v>166</v>
      </c>
      <c r="B1345">
        <v>43662</v>
      </c>
    </row>
    <row r="1346" spans="1:2">
      <c r="A1346" s="1" t="s">
        <v>2600</v>
      </c>
      <c r="B1346">
        <v>43815</v>
      </c>
    </row>
    <row r="1347" spans="1:2">
      <c r="A1347" s="1" t="s">
        <v>2601</v>
      </c>
      <c r="B1347">
        <v>43784</v>
      </c>
    </row>
    <row r="1348" spans="1:2">
      <c r="A1348" s="1" t="s">
        <v>2602</v>
      </c>
      <c r="B1348">
        <v>43845</v>
      </c>
    </row>
    <row r="1349" spans="1:2">
      <c r="A1349" s="1" t="s">
        <v>2603</v>
      </c>
      <c r="B1349">
        <v>43805</v>
      </c>
    </row>
    <row r="1350" spans="1:2">
      <c r="A1350" s="1" t="s">
        <v>2604</v>
      </c>
      <c r="B1350">
        <v>43846</v>
      </c>
    </row>
    <row r="1351" spans="1:2">
      <c r="A1351" s="1" t="s">
        <v>2605</v>
      </c>
      <c r="B1351">
        <v>43815</v>
      </c>
    </row>
    <row r="1352" spans="1:2">
      <c r="A1352" s="1" t="s">
        <v>2606</v>
      </c>
      <c r="B1352">
        <v>43830</v>
      </c>
    </row>
    <row r="1353" spans="1:2">
      <c r="A1353" s="1" t="s">
        <v>2607</v>
      </c>
      <c r="B1353">
        <v>43823</v>
      </c>
    </row>
    <row r="1354" spans="1:2">
      <c r="A1354" s="1" t="s">
        <v>2608</v>
      </c>
      <c r="B1354">
        <v>43740</v>
      </c>
    </row>
    <row r="1355" spans="1:2">
      <c r="A1355" s="1" t="s">
        <v>2609</v>
      </c>
      <c r="B1355">
        <v>43830</v>
      </c>
    </row>
    <row r="1356" spans="1:2">
      <c r="A1356" s="1" t="s">
        <v>2610</v>
      </c>
      <c r="B1356">
        <v>43832</v>
      </c>
    </row>
    <row r="1357" spans="1:2">
      <c r="A1357" s="1" t="s">
        <v>2611</v>
      </c>
      <c r="B1357">
        <v>43845</v>
      </c>
    </row>
    <row r="1358" spans="1:2">
      <c r="A1358" s="1" t="s">
        <v>2612</v>
      </c>
      <c r="B1358">
        <v>43830</v>
      </c>
    </row>
    <row r="1359" spans="1:2">
      <c r="A1359" s="1" t="s">
        <v>2613</v>
      </c>
      <c r="B1359">
        <v>43794</v>
      </c>
    </row>
    <row r="1360" spans="1:2">
      <c r="A1360" s="1" t="s">
        <v>2614</v>
      </c>
      <c r="B1360">
        <v>43675</v>
      </c>
    </row>
    <row r="1361" spans="1:2">
      <c r="A1361" s="1" t="s">
        <v>2615</v>
      </c>
      <c r="B1361">
        <v>43816</v>
      </c>
    </row>
    <row r="1362" spans="1:2">
      <c r="A1362" s="1" t="s">
        <v>2616</v>
      </c>
      <c r="B1362">
        <v>43815</v>
      </c>
    </row>
    <row r="1363" spans="1:2">
      <c r="A1363" s="1" t="s">
        <v>2617</v>
      </c>
      <c r="B1363">
        <v>43805</v>
      </c>
    </row>
    <row r="1364" spans="1:2">
      <c r="A1364" s="1" t="s">
        <v>2618</v>
      </c>
      <c r="B1364">
        <v>43845</v>
      </c>
    </row>
    <row r="1365" spans="1:2">
      <c r="A1365" s="1" t="s">
        <v>2619</v>
      </c>
      <c r="B1365" t="s">
        <v>637</v>
      </c>
    </row>
    <row r="1366" spans="1:2">
      <c r="A1366" s="1" t="s">
        <v>2620</v>
      </c>
      <c r="B1366">
        <v>43812</v>
      </c>
    </row>
    <row r="1367" spans="1:2">
      <c r="A1367" s="1" t="s">
        <v>386</v>
      </c>
      <c r="B1367">
        <v>43798</v>
      </c>
    </row>
    <row r="1368" spans="1:2">
      <c r="A1368" s="1" t="s">
        <v>2621</v>
      </c>
      <c r="B1368">
        <v>43830</v>
      </c>
    </row>
    <row r="1369" spans="1:2">
      <c r="A1369" s="1" t="s">
        <v>2622</v>
      </c>
      <c r="B1369">
        <v>43830</v>
      </c>
    </row>
    <row r="1370" spans="1:2">
      <c r="A1370" s="1" t="s">
        <v>2623</v>
      </c>
      <c r="B1370">
        <v>43829</v>
      </c>
    </row>
    <row r="1371" spans="1:2">
      <c r="A1371" s="1" t="s">
        <v>2624</v>
      </c>
      <c r="B1371">
        <v>43782</v>
      </c>
    </row>
    <row r="1372" spans="1:2">
      <c r="A1372" s="1" t="s">
        <v>2625</v>
      </c>
      <c r="B1372">
        <v>43801</v>
      </c>
    </row>
    <row r="1373" spans="1:2">
      <c r="A1373" s="1" t="s">
        <v>2626</v>
      </c>
      <c r="B1373">
        <v>43811</v>
      </c>
    </row>
    <row r="1374" spans="1:2">
      <c r="A1374" s="1" t="s">
        <v>2627</v>
      </c>
      <c r="B1374">
        <v>43815</v>
      </c>
    </row>
    <row r="1375" spans="1:2">
      <c r="A1375" s="1" t="s">
        <v>2628</v>
      </c>
      <c r="B1375">
        <v>43816</v>
      </c>
    </row>
    <row r="1376" spans="1:2">
      <c r="A1376" s="1" t="s">
        <v>2629</v>
      </c>
      <c r="B1376">
        <v>43815</v>
      </c>
    </row>
    <row r="1377" spans="1:2">
      <c r="A1377" s="1" t="s">
        <v>2630</v>
      </c>
      <c r="B1377">
        <v>43815</v>
      </c>
    </row>
    <row r="1378" spans="1:2">
      <c r="A1378" s="1" t="s">
        <v>2631</v>
      </c>
      <c r="B1378">
        <v>43845</v>
      </c>
    </row>
    <row r="1379" spans="1:2">
      <c r="A1379" s="1" t="s">
        <v>2632</v>
      </c>
      <c r="B1379">
        <v>43594</v>
      </c>
    </row>
    <row r="1380" spans="1:2">
      <c r="A1380" s="1" t="s">
        <v>2633</v>
      </c>
      <c r="B1380">
        <v>43845</v>
      </c>
    </row>
    <row r="1381" spans="1:2">
      <c r="A1381" s="1" t="s">
        <v>555</v>
      </c>
      <c r="B1381">
        <v>43762</v>
      </c>
    </row>
    <row r="1382" spans="1:2">
      <c r="A1382" s="1" t="s">
        <v>2634</v>
      </c>
      <c r="B1382">
        <v>43735</v>
      </c>
    </row>
    <row r="1383" spans="1:2">
      <c r="A1383" s="1" t="s">
        <v>2635</v>
      </c>
      <c r="B1383">
        <v>43830</v>
      </c>
    </row>
    <row r="1384" spans="1:2">
      <c r="A1384" s="1" t="s">
        <v>2636</v>
      </c>
      <c r="B1384">
        <v>43801</v>
      </c>
    </row>
    <row r="1385" spans="1:2">
      <c r="A1385" s="1" t="s">
        <v>2637</v>
      </c>
      <c r="B1385">
        <v>43845</v>
      </c>
    </row>
    <row r="1386" spans="1:2">
      <c r="A1386" s="1" t="s">
        <v>2638</v>
      </c>
      <c r="B1386">
        <v>43825</v>
      </c>
    </row>
    <row r="1387" spans="1:2">
      <c r="A1387" s="1" t="s">
        <v>2639</v>
      </c>
      <c r="B1387" t="s">
        <v>637</v>
      </c>
    </row>
    <row r="1388" spans="1:2">
      <c r="A1388" s="1" t="s">
        <v>2640</v>
      </c>
      <c r="B1388">
        <v>43829</v>
      </c>
    </row>
    <row r="1389" spans="1:2">
      <c r="A1389" s="1" t="s">
        <v>2641</v>
      </c>
      <c r="B1389">
        <v>43817</v>
      </c>
    </row>
    <row r="1390" spans="1:2">
      <c r="A1390" s="1" t="s">
        <v>2642</v>
      </c>
      <c r="B1390">
        <v>43636</v>
      </c>
    </row>
    <row r="1391" spans="1:2">
      <c r="A1391" s="1" t="s">
        <v>2643</v>
      </c>
      <c r="B1391">
        <v>43721</v>
      </c>
    </row>
    <row r="1392" spans="1:2">
      <c r="A1392" s="1" t="s">
        <v>2644</v>
      </c>
      <c r="B1392">
        <v>43812</v>
      </c>
    </row>
    <row r="1393" spans="1:2">
      <c r="A1393" s="1" t="s">
        <v>2645</v>
      </c>
      <c r="B1393">
        <v>43735</v>
      </c>
    </row>
    <row r="1394" spans="1:2">
      <c r="A1394" s="1" t="s">
        <v>2646</v>
      </c>
      <c r="B1394">
        <v>43798</v>
      </c>
    </row>
    <row r="1395" spans="1:2">
      <c r="A1395" s="1" t="s">
        <v>2647</v>
      </c>
      <c r="B1395">
        <v>43830</v>
      </c>
    </row>
    <row r="1396" spans="1:2">
      <c r="A1396" s="1" t="s">
        <v>2648</v>
      </c>
      <c r="B1396">
        <v>43868</v>
      </c>
    </row>
    <row r="1397" spans="1:2">
      <c r="A1397" s="1" t="s">
        <v>2649</v>
      </c>
      <c r="B1397">
        <v>43815</v>
      </c>
    </row>
    <row r="1398" spans="1:2">
      <c r="A1398" s="1" t="s">
        <v>2650</v>
      </c>
      <c r="B1398">
        <v>43801</v>
      </c>
    </row>
    <row r="1399" spans="1:2">
      <c r="A1399" s="1" t="s">
        <v>2651</v>
      </c>
      <c r="B1399">
        <v>43838</v>
      </c>
    </row>
    <row r="1400" spans="1:2">
      <c r="A1400" s="1" t="s">
        <v>2652</v>
      </c>
      <c r="B1400">
        <v>43832</v>
      </c>
    </row>
    <row r="1401" spans="1:2">
      <c r="A1401" s="1" t="s">
        <v>2653</v>
      </c>
      <c r="B1401">
        <v>43814</v>
      </c>
    </row>
    <row r="1402" spans="1:2">
      <c r="A1402" s="1" t="s">
        <v>2654</v>
      </c>
      <c r="B1402">
        <v>43832</v>
      </c>
    </row>
    <row r="1403" spans="1:2">
      <c r="A1403" s="1" t="s">
        <v>2655</v>
      </c>
      <c r="B1403">
        <v>43798</v>
      </c>
    </row>
    <row r="1404" spans="1:2">
      <c r="A1404" s="1" t="s">
        <v>2656</v>
      </c>
      <c r="B1404">
        <v>43815</v>
      </c>
    </row>
    <row r="1405" spans="1:2">
      <c r="A1405" s="1" t="s">
        <v>2657</v>
      </c>
      <c r="B1405">
        <v>43685</v>
      </c>
    </row>
    <row r="1406" spans="1:2">
      <c r="A1406" s="1" t="s">
        <v>2658</v>
      </c>
      <c r="B1406">
        <v>43879</v>
      </c>
    </row>
    <row r="1407" spans="1:2">
      <c r="A1407" s="1" t="s">
        <v>2659</v>
      </c>
      <c r="B1407">
        <v>43796</v>
      </c>
    </row>
    <row r="1408" spans="1:2">
      <c r="A1408" s="1" t="s">
        <v>262</v>
      </c>
      <c r="B1408">
        <v>43891</v>
      </c>
    </row>
    <row r="1409" spans="1:2">
      <c r="A1409" s="1" t="s">
        <v>2660</v>
      </c>
      <c r="B1409">
        <v>43818</v>
      </c>
    </row>
    <row r="1410" spans="1:2">
      <c r="A1410" s="1" t="s">
        <v>2661</v>
      </c>
      <c r="B1410">
        <v>43819</v>
      </c>
    </row>
    <row r="1411" spans="1:2">
      <c r="A1411" s="1" t="s">
        <v>2662</v>
      </c>
      <c r="B1411">
        <v>43830</v>
      </c>
    </row>
    <row r="1412" spans="1:2">
      <c r="A1412" s="1" t="s">
        <v>2663</v>
      </c>
      <c r="B1412">
        <v>43829</v>
      </c>
    </row>
    <row r="1413" spans="1:2">
      <c r="A1413" s="1" t="s">
        <v>2664</v>
      </c>
      <c r="B1413" t="s">
        <v>637</v>
      </c>
    </row>
    <row r="1414" spans="1:2">
      <c r="A1414" s="1" t="s">
        <v>2665</v>
      </c>
      <c r="B1414">
        <v>43648</v>
      </c>
    </row>
    <row r="1415" spans="1:2">
      <c r="A1415" s="1" t="s">
        <v>2666</v>
      </c>
      <c r="B1415">
        <v>43768</v>
      </c>
    </row>
    <row r="1416" spans="1:2">
      <c r="A1416" s="1" t="s">
        <v>465</v>
      </c>
      <c r="B1416">
        <v>43733</v>
      </c>
    </row>
    <row r="1417" spans="1:2">
      <c r="A1417" s="1" t="s">
        <v>2667</v>
      </c>
      <c r="B1417">
        <v>43830</v>
      </c>
    </row>
    <row r="1418" spans="1:2">
      <c r="A1418" s="1" t="s">
        <v>2668</v>
      </c>
      <c r="B1418">
        <v>43798</v>
      </c>
    </row>
    <row r="1419" spans="1:2">
      <c r="A1419" s="1" t="s">
        <v>2669</v>
      </c>
      <c r="B1419">
        <v>43830</v>
      </c>
    </row>
    <row r="1420" spans="1:2">
      <c r="A1420" s="1" t="s">
        <v>2670</v>
      </c>
      <c r="B1420">
        <v>43825</v>
      </c>
    </row>
    <row r="1421" spans="1:2">
      <c r="A1421" s="1" t="s">
        <v>2671</v>
      </c>
      <c r="B1421">
        <v>43830</v>
      </c>
    </row>
    <row r="1422" spans="1:2">
      <c r="A1422" s="1" t="s">
        <v>2672</v>
      </c>
      <c r="B1422">
        <v>43798</v>
      </c>
    </row>
    <row r="1423" spans="1:2">
      <c r="A1423" s="1" t="s">
        <v>2673</v>
      </c>
      <c r="B1423">
        <v>43814</v>
      </c>
    </row>
    <row r="1424" spans="1:2">
      <c r="A1424" s="1" t="s">
        <v>2674</v>
      </c>
      <c r="B1424">
        <v>43832</v>
      </c>
    </row>
    <row r="1425" spans="1:2">
      <c r="A1425" s="1" t="s">
        <v>2675</v>
      </c>
      <c r="B1425">
        <v>43770</v>
      </c>
    </row>
    <row r="1426" spans="1:2">
      <c r="A1426" s="1" t="s">
        <v>2676</v>
      </c>
      <c r="B1426">
        <v>43784</v>
      </c>
    </row>
    <row r="1427" spans="1:2">
      <c r="A1427" s="1" t="s">
        <v>2677</v>
      </c>
      <c r="B1427">
        <v>43830</v>
      </c>
    </row>
    <row r="1428" spans="1:2">
      <c r="A1428" s="1" t="s">
        <v>2678</v>
      </c>
      <c r="B1428">
        <v>43637</v>
      </c>
    </row>
    <row r="1429" spans="1:2">
      <c r="A1429" s="1" t="s">
        <v>2679</v>
      </c>
      <c r="B1429">
        <v>43819</v>
      </c>
    </row>
    <row r="1430" spans="1:2">
      <c r="A1430" s="1" t="s">
        <v>2680</v>
      </c>
      <c r="B1430">
        <v>43636</v>
      </c>
    </row>
    <row r="1431" spans="1:2">
      <c r="A1431" s="1" t="s">
        <v>2681</v>
      </c>
      <c r="B1431">
        <v>43787</v>
      </c>
    </row>
    <row r="1432" spans="1:2">
      <c r="A1432" s="1" t="s">
        <v>441</v>
      </c>
      <c r="B1432">
        <v>43843</v>
      </c>
    </row>
    <row r="1433" spans="1:2">
      <c r="A1433" s="1" t="s">
        <v>2682</v>
      </c>
      <c r="B1433">
        <v>43770</v>
      </c>
    </row>
    <row r="1434" spans="1:2">
      <c r="A1434" s="1" t="s">
        <v>2683</v>
      </c>
      <c r="B1434">
        <v>43815</v>
      </c>
    </row>
    <row r="1435" spans="1:2">
      <c r="A1435" s="1" t="s">
        <v>476</v>
      </c>
      <c r="B1435">
        <v>43815</v>
      </c>
    </row>
    <row r="1436" spans="1:2">
      <c r="A1436" s="1" t="s">
        <v>2684</v>
      </c>
      <c r="B1436">
        <v>43830</v>
      </c>
    </row>
    <row r="1437" spans="1:2">
      <c r="A1437" s="1" t="s">
        <v>550</v>
      </c>
      <c r="B1437">
        <v>43845</v>
      </c>
    </row>
    <row r="1438" spans="1:2">
      <c r="A1438" s="1" t="s">
        <v>2685</v>
      </c>
      <c r="B1438">
        <v>43724</v>
      </c>
    </row>
    <row r="1439" spans="1:2">
      <c r="A1439" s="1" t="s">
        <v>2686</v>
      </c>
      <c r="B1439">
        <v>43781</v>
      </c>
    </row>
    <row r="1440" spans="1:2">
      <c r="A1440" s="1" t="s">
        <v>2687</v>
      </c>
      <c r="B1440">
        <v>43830</v>
      </c>
    </row>
    <row r="1441" spans="1:2">
      <c r="A1441" s="1" t="s">
        <v>2688</v>
      </c>
      <c r="B1441">
        <v>43832</v>
      </c>
    </row>
    <row r="1442" spans="1:2">
      <c r="A1442" s="1" t="s">
        <v>412</v>
      </c>
      <c r="B1442">
        <v>43794</v>
      </c>
    </row>
    <row r="1443" spans="1:2">
      <c r="A1443" s="1" t="s">
        <v>2689</v>
      </c>
      <c r="B1443">
        <v>43784</v>
      </c>
    </row>
    <row r="1444" spans="1:2">
      <c r="A1444" s="1" t="s">
        <v>2690</v>
      </c>
      <c r="B1444" t="s">
        <v>637</v>
      </c>
    </row>
    <row r="1445" spans="1:2">
      <c r="A1445" s="1" t="s">
        <v>2691</v>
      </c>
      <c r="B1445">
        <v>43704</v>
      </c>
    </row>
    <row r="1446" spans="1:2">
      <c r="A1446" s="1" t="s">
        <v>2692</v>
      </c>
      <c r="B1446">
        <v>43845</v>
      </c>
    </row>
    <row r="1447" spans="1:2">
      <c r="A1447" s="1" t="s">
        <v>2693</v>
      </c>
      <c r="B1447">
        <v>43831</v>
      </c>
    </row>
    <row r="1448" spans="1:2">
      <c r="A1448" s="1" t="s">
        <v>2694</v>
      </c>
      <c r="B1448">
        <v>43891</v>
      </c>
    </row>
    <row r="1449" spans="1:2">
      <c r="A1449" s="1" t="s">
        <v>2695</v>
      </c>
      <c r="B1449">
        <v>43830</v>
      </c>
    </row>
    <row r="1450" spans="1:2">
      <c r="A1450" s="1" t="s">
        <v>2696</v>
      </c>
      <c r="B1450">
        <v>43857</v>
      </c>
    </row>
    <row r="1451" spans="1:2">
      <c r="A1451" s="1" t="s">
        <v>2697</v>
      </c>
      <c r="B1451">
        <v>43845</v>
      </c>
    </row>
    <row r="1452" spans="1:2">
      <c r="A1452" s="1" t="s">
        <v>2698</v>
      </c>
      <c r="B1452">
        <v>43823</v>
      </c>
    </row>
    <row r="1453" spans="1:2">
      <c r="A1453" s="1" t="s">
        <v>2699</v>
      </c>
      <c r="B1453">
        <v>43830</v>
      </c>
    </row>
    <row r="1454" spans="1:2">
      <c r="A1454" s="1" t="s">
        <v>2700</v>
      </c>
      <c r="B1454">
        <v>43819</v>
      </c>
    </row>
    <row r="1455" spans="1:2">
      <c r="A1455" s="1" t="s">
        <v>2701</v>
      </c>
      <c r="B1455">
        <v>43724</v>
      </c>
    </row>
    <row r="1456" spans="1:2">
      <c r="A1456" s="1" t="s">
        <v>2702</v>
      </c>
      <c r="B1456">
        <v>43815</v>
      </c>
    </row>
    <row r="1457" spans="1:2">
      <c r="A1457" s="1" t="s">
        <v>2703</v>
      </c>
      <c r="B1457">
        <v>43822</v>
      </c>
    </row>
    <row r="1458" spans="1:2">
      <c r="A1458" s="1" t="s">
        <v>406</v>
      </c>
      <c r="B1458">
        <v>43830</v>
      </c>
    </row>
    <row r="1459" spans="1:2">
      <c r="A1459" s="1" t="s">
        <v>2704</v>
      </c>
      <c r="B1459">
        <v>43461</v>
      </c>
    </row>
    <row r="1460" spans="1:2">
      <c r="A1460" s="1" t="s">
        <v>2705</v>
      </c>
      <c r="B1460">
        <v>43829</v>
      </c>
    </row>
    <row r="1461" spans="1:2">
      <c r="A1461" s="1" t="s">
        <v>2706</v>
      </c>
      <c r="B1461">
        <v>43773</v>
      </c>
    </row>
    <row r="1462" spans="1:2">
      <c r="A1462" s="1" t="s">
        <v>2707</v>
      </c>
      <c r="B1462">
        <v>43829</v>
      </c>
    </row>
    <row r="1463" spans="1:2">
      <c r="A1463" s="1" t="s">
        <v>2708</v>
      </c>
      <c r="B1463">
        <v>43801</v>
      </c>
    </row>
    <row r="1464" spans="1:2">
      <c r="A1464" s="1" t="s">
        <v>2709</v>
      </c>
      <c r="B1464">
        <v>43732</v>
      </c>
    </row>
    <row r="1465" spans="1:2">
      <c r="A1465" s="1" t="s">
        <v>2710</v>
      </c>
      <c r="B1465">
        <v>43770</v>
      </c>
    </row>
    <row r="1466" spans="1:2">
      <c r="A1466" s="1" t="s">
        <v>2711</v>
      </c>
      <c r="B1466">
        <v>43814</v>
      </c>
    </row>
    <row r="1467" spans="1:2">
      <c r="A1467" s="1" t="s">
        <v>2712</v>
      </c>
      <c r="B1467">
        <v>43805</v>
      </c>
    </row>
    <row r="1468" spans="1:2">
      <c r="A1468" s="1" t="s">
        <v>2713</v>
      </c>
      <c r="B1468">
        <v>43734</v>
      </c>
    </row>
    <row r="1469" spans="1:2">
      <c r="A1469" s="1" t="s">
        <v>2714</v>
      </c>
      <c r="B1469">
        <v>43654</v>
      </c>
    </row>
    <row r="1470" spans="1:2">
      <c r="A1470" s="1" t="s">
        <v>2715</v>
      </c>
      <c r="B1470">
        <v>43845</v>
      </c>
    </row>
    <row r="1471" spans="1:2">
      <c r="A1471" s="1" t="s">
        <v>2716</v>
      </c>
      <c r="B1471">
        <v>43815</v>
      </c>
    </row>
    <row r="1472" spans="1:2">
      <c r="A1472" s="1" t="s">
        <v>2717</v>
      </c>
      <c r="B1472">
        <v>43746</v>
      </c>
    </row>
    <row r="1473" spans="1:2">
      <c r="A1473" s="1" t="s">
        <v>2718</v>
      </c>
      <c r="B1473">
        <v>43830</v>
      </c>
    </row>
    <row r="1474" spans="1:2">
      <c r="A1474" s="1" t="s">
        <v>2719</v>
      </c>
      <c r="B1474">
        <v>43845</v>
      </c>
    </row>
    <row r="1475" spans="1:2">
      <c r="A1475" s="1" t="s">
        <v>2720</v>
      </c>
      <c r="B1475">
        <v>43665</v>
      </c>
    </row>
    <row r="1476" spans="1:2">
      <c r="A1476" s="1" t="s">
        <v>2721</v>
      </c>
      <c r="B1476">
        <v>43864</v>
      </c>
    </row>
    <row r="1477" spans="1:2">
      <c r="A1477" s="1" t="s">
        <v>2722</v>
      </c>
      <c r="B1477">
        <v>43864</v>
      </c>
    </row>
    <row r="1478" spans="1:2">
      <c r="A1478" s="1" t="s">
        <v>2723</v>
      </c>
      <c r="B1478">
        <v>43836</v>
      </c>
    </row>
    <row r="1479" spans="1:2">
      <c r="A1479" s="1" t="s">
        <v>2724</v>
      </c>
      <c r="B1479">
        <v>43440</v>
      </c>
    </row>
    <row r="1480" spans="1:2">
      <c r="A1480" s="1" t="s">
        <v>2725</v>
      </c>
      <c r="B1480">
        <v>43809</v>
      </c>
    </row>
    <row r="1481" spans="1:2">
      <c r="A1481" s="1" t="s">
        <v>2726</v>
      </c>
      <c r="B1481">
        <v>43801</v>
      </c>
    </row>
    <row r="1482" spans="1:2">
      <c r="A1482" s="1" t="s">
        <v>2727</v>
      </c>
      <c r="B1482">
        <v>43577</v>
      </c>
    </row>
    <row r="1483" spans="1:2">
      <c r="A1483" s="1" t="s">
        <v>2728</v>
      </c>
      <c r="B1483">
        <v>43818</v>
      </c>
    </row>
    <row r="1484" spans="1:2">
      <c r="A1484" s="1" t="s">
        <v>2729</v>
      </c>
      <c r="B1484">
        <v>43829</v>
      </c>
    </row>
    <row r="1485" spans="1:2">
      <c r="A1485" s="1" t="s">
        <v>2730</v>
      </c>
      <c r="B1485">
        <v>43833</v>
      </c>
    </row>
    <row r="1486" spans="1:2">
      <c r="A1486" s="1" t="s">
        <v>2731</v>
      </c>
      <c r="B1486">
        <v>43922</v>
      </c>
    </row>
    <row r="1487" spans="1:2">
      <c r="A1487" s="1" t="s">
        <v>2732</v>
      </c>
      <c r="B1487">
        <v>43621</v>
      </c>
    </row>
    <row r="1488" spans="1:2">
      <c r="A1488" s="1" t="s">
        <v>2733</v>
      </c>
      <c r="B1488">
        <v>43818</v>
      </c>
    </row>
    <row r="1489" spans="1:2">
      <c r="A1489" s="1" t="s">
        <v>2734</v>
      </c>
      <c r="B1489">
        <v>43845</v>
      </c>
    </row>
    <row r="1490" spans="1:2">
      <c r="A1490" s="1" t="s">
        <v>422</v>
      </c>
      <c r="B1490">
        <v>43819</v>
      </c>
    </row>
    <row r="1491" spans="1:2">
      <c r="A1491" s="1" t="s">
        <v>2735</v>
      </c>
      <c r="B1491">
        <v>43830</v>
      </c>
    </row>
    <row r="1492" spans="1:2">
      <c r="A1492" s="1" t="s">
        <v>2736</v>
      </c>
      <c r="B1492" t="s">
        <v>637</v>
      </c>
    </row>
    <row r="1493" spans="1:2">
      <c r="A1493" s="1" t="s">
        <v>2737</v>
      </c>
      <c r="B1493">
        <v>43831</v>
      </c>
    </row>
    <row r="1494" spans="1:2">
      <c r="A1494" s="1" t="s">
        <v>2738</v>
      </c>
      <c r="B1494">
        <v>43782</v>
      </c>
    </row>
    <row r="1495" spans="1:2">
      <c r="A1495" s="1" t="s">
        <v>2739</v>
      </c>
      <c r="B1495">
        <v>43845</v>
      </c>
    </row>
    <row r="1496" spans="1:2">
      <c r="A1496" s="1" t="s">
        <v>2740</v>
      </c>
      <c r="B1496">
        <v>43768</v>
      </c>
    </row>
    <row r="1497" spans="1:2">
      <c r="A1497" s="1" t="s">
        <v>2741</v>
      </c>
      <c r="B1497">
        <v>43832</v>
      </c>
    </row>
    <row r="1498" spans="1:2">
      <c r="A1498" s="1" t="s">
        <v>2742</v>
      </c>
      <c r="B1498">
        <v>43815</v>
      </c>
    </row>
    <row r="1499" spans="1:2">
      <c r="A1499" s="1" t="s">
        <v>2743</v>
      </c>
      <c r="B1499">
        <v>43847</v>
      </c>
    </row>
    <row r="1500" spans="1:2">
      <c r="A1500" s="1" t="s">
        <v>2744</v>
      </c>
      <c r="B1500">
        <v>43847</v>
      </c>
    </row>
    <row r="1501" spans="1:2">
      <c r="A1501" s="1" t="s">
        <v>2745</v>
      </c>
      <c r="B1501">
        <v>43713</v>
      </c>
    </row>
    <row r="1502" spans="1:2">
      <c r="A1502" s="1" t="s">
        <v>2746</v>
      </c>
      <c r="B1502">
        <v>43819</v>
      </c>
    </row>
    <row r="1503" spans="1:2">
      <c r="A1503" s="1" t="s">
        <v>2747</v>
      </c>
      <c r="B1503">
        <v>43738</v>
      </c>
    </row>
    <row r="1504" spans="1:2">
      <c r="A1504" s="1" t="s">
        <v>2748</v>
      </c>
      <c r="B1504">
        <v>43809</v>
      </c>
    </row>
    <row r="1505" spans="1:2">
      <c r="A1505" s="1" t="s">
        <v>2749</v>
      </c>
      <c r="B1505">
        <v>43755</v>
      </c>
    </row>
    <row r="1506" spans="1:2">
      <c r="A1506" s="1" t="s">
        <v>2750</v>
      </c>
      <c r="B1506">
        <v>43830</v>
      </c>
    </row>
    <row r="1507" spans="1:2">
      <c r="A1507" s="1" t="s">
        <v>2751</v>
      </c>
      <c r="B1507">
        <v>43864</v>
      </c>
    </row>
    <row r="1508" spans="1:2">
      <c r="A1508" s="1" t="s">
        <v>2752</v>
      </c>
      <c r="B1508">
        <v>43787</v>
      </c>
    </row>
    <row r="1509" spans="1:2">
      <c r="A1509" s="1" t="s">
        <v>2753</v>
      </c>
      <c r="B1509">
        <v>43811</v>
      </c>
    </row>
    <row r="1510" spans="1:2">
      <c r="A1510" s="1" t="s">
        <v>2754</v>
      </c>
      <c r="B1510">
        <v>43738</v>
      </c>
    </row>
    <row r="1511" spans="1:2">
      <c r="A1511" s="1" t="s">
        <v>2755</v>
      </c>
      <c r="B1511">
        <v>43770</v>
      </c>
    </row>
    <row r="1512" spans="1:2">
      <c r="A1512" s="1" t="s">
        <v>2756</v>
      </c>
      <c r="B1512">
        <v>43815</v>
      </c>
    </row>
    <row r="1513" spans="1:2">
      <c r="A1513" s="1" t="s">
        <v>2757</v>
      </c>
      <c r="B1513">
        <v>43825</v>
      </c>
    </row>
    <row r="1514" spans="1:2">
      <c r="A1514" s="1" t="s">
        <v>2758</v>
      </c>
      <c r="B1514">
        <v>43829</v>
      </c>
    </row>
    <row r="1515" spans="1:2">
      <c r="A1515" s="1" t="s">
        <v>2759</v>
      </c>
      <c r="B1515">
        <v>43815</v>
      </c>
    </row>
    <row r="1516" spans="1:2">
      <c r="A1516" s="1" t="s">
        <v>2760</v>
      </c>
      <c r="B1516">
        <v>43809</v>
      </c>
    </row>
    <row r="1517" spans="1:2">
      <c r="A1517" s="1" t="s">
        <v>2761</v>
      </c>
      <c r="B1517">
        <v>43815</v>
      </c>
    </row>
    <row r="1518" spans="1:2">
      <c r="A1518" s="1" t="s">
        <v>2762</v>
      </c>
      <c r="B1518">
        <v>43830</v>
      </c>
    </row>
    <row r="1519" spans="1:2">
      <c r="A1519" s="1" t="s">
        <v>2763</v>
      </c>
      <c r="B1519">
        <v>43733</v>
      </c>
    </row>
    <row r="1520" spans="1:2">
      <c r="A1520" s="1" t="s">
        <v>2764</v>
      </c>
      <c r="B1520">
        <v>43831</v>
      </c>
    </row>
    <row r="1521" spans="1:2">
      <c r="A1521" s="1" t="s">
        <v>2765</v>
      </c>
      <c r="B1521">
        <v>43745</v>
      </c>
    </row>
    <row r="1522" spans="1:2">
      <c r="A1522" s="1" t="s">
        <v>2766</v>
      </c>
      <c r="B1522">
        <v>43787</v>
      </c>
    </row>
    <row r="1523" spans="1:2">
      <c r="A1523" s="1" t="s">
        <v>2767</v>
      </c>
      <c r="B1523">
        <v>43823</v>
      </c>
    </row>
    <row r="1524" spans="1:2">
      <c r="A1524" s="1" t="s">
        <v>523</v>
      </c>
      <c r="B1524">
        <v>43830</v>
      </c>
    </row>
    <row r="1525" spans="1:2">
      <c r="A1525" s="1" t="s">
        <v>2768</v>
      </c>
      <c r="B1525" t="s">
        <v>637</v>
      </c>
    </row>
    <row r="1526" spans="1:2">
      <c r="A1526" s="1" t="s">
        <v>2769</v>
      </c>
      <c r="B1526">
        <v>43830</v>
      </c>
    </row>
    <row r="1527" spans="1:2">
      <c r="A1527" s="1" t="s">
        <v>364</v>
      </c>
      <c r="B1527">
        <v>43859</v>
      </c>
    </row>
    <row r="1528" spans="1:2">
      <c r="A1528" s="1" t="s">
        <v>2770</v>
      </c>
      <c r="B1528">
        <v>43552</v>
      </c>
    </row>
    <row r="1529" spans="1:2">
      <c r="A1529" s="1" t="s">
        <v>2771</v>
      </c>
      <c r="B1529">
        <v>43802</v>
      </c>
    </row>
    <row r="1530" spans="1:2">
      <c r="A1530" s="1" t="s">
        <v>2772</v>
      </c>
      <c r="B1530">
        <v>43727</v>
      </c>
    </row>
    <row r="1531" spans="1:2">
      <c r="A1531" s="1" t="s">
        <v>2773</v>
      </c>
      <c r="B1531">
        <v>43805</v>
      </c>
    </row>
    <row r="1532" spans="1:2">
      <c r="A1532" s="1" t="s">
        <v>407</v>
      </c>
      <c r="B1532">
        <v>43593</v>
      </c>
    </row>
    <row r="1533" spans="1:2">
      <c r="A1533" s="1" t="s">
        <v>2774</v>
      </c>
      <c r="B1533">
        <v>43776</v>
      </c>
    </row>
    <row r="1534" spans="1:2">
      <c r="A1534" s="1" t="s">
        <v>2775</v>
      </c>
      <c r="B1534">
        <v>43879</v>
      </c>
    </row>
    <row r="1535" spans="1:2">
      <c r="A1535" s="1" t="s">
        <v>2776</v>
      </c>
      <c r="B1535">
        <v>43801</v>
      </c>
    </row>
    <row r="1536" spans="1:2">
      <c r="A1536" s="1" t="s">
        <v>2777</v>
      </c>
      <c r="B1536">
        <v>43573</v>
      </c>
    </row>
    <row r="1537" spans="1:2">
      <c r="A1537" s="1" t="s">
        <v>2778</v>
      </c>
      <c r="B1537">
        <v>43798</v>
      </c>
    </row>
    <row r="1538" spans="1:2">
      <c r="A1538" s="1" t="s">
        <v>2779</v>
      </c>
      <c r="B1538">
        <v>43802</v>
      </c>
    </row>
    <row r="1539" spans="1:2">
      <c r="A1539" s="1" t="s">
        <v>2780</v>
      </c>
      <c r="B1539">
        <v>43845</v>
      </c>
    </row>
    <row r="1540" spans="1:2">
      <c r="A1540" s="1" t="s">
        <v>2781</v>
      </c>
      <c r="B1540">
        <v>43878</v>
      </c>
    </row>
    <row r="1541" spans="1:2">
      <c r="A1541" s="1" t="s">
        <v>2782</v>
      </c>
      <c r="B1541" t="s">
        <v>637</v>
      </c>
    </row>
    <row r="1542" spans="1:2">
      <c r="A1542" s="1" t="s">
        <v>2783</v>
      </c>
      <c r="B1542">
        <v>43830</v>
      </c>
    </row>
    <row r="1543" spans="1:2">
      <c r="A1543" s="1" t="s">
        <v>291</v>
      </c>
      <c r="B1543">
        <v>43840</v>
      </c>
    </row>
    <row r="1544" spans="1:2">
      <c r="A1544" s="1" t="s">
        <v>2784</v>
      </c>
      <c r="B1544">
        <v>43830</v>
      </c>
    </row>
    <row r="1545" spans="1:2">
      <c r="A1545" s="1" t="s">
        <v>2785</v>
      </c>
      <c r="B1545">
        <v>43753</v>
      </c>
    </row>
    <row r="1546" spans="1:2">
      <c r="A1546" s="1" t="s">
        <v>2786</v>
      </c>
      <c r="B1546">
        <v>43805</v>
      </c>
    </row>
    <row r="1547" spans="1:2">
      <c r="A1547" s="1" t="s">
        <v>568</v>
      </c>
      <c r="B1547">
        <v>43845</v>
      </c>
    </row>
    <row r="1548" spans="1:2">
      <c r="A1548" s="1" t="s">
        <v>2787</v>
      </c>
      <c r="B1548">
        <v>43812</v>
      </c>
    </row>
    <row r="1549" spans="1:2">
      <c r="A1549" s="1" t="s">
        <v>2788</v>
      </c>
      <c r="B1549">
        <v>43801</v>
      </c>
    </row>
    <row r="1550" spans="1:2">
      <c r="A1550" s="1" t="s">
        <v>2789</v>
      </c>
      <c r="B1550" t="s">
        <v>637</v>
      </c>
    </row>
    <row r="1551" spans="1:2">
      <c r="A1551" s="1" t="s">
        <v>2790</v>
      </c>
      <c r="B1551">
        <v>43831</v>
      </c>
    </row>
    <row r="1552" spans="1:2">
      <c r="A1552" s="1" t="s">
        <v>2791</v>
      </c>
      <c r="B1552">
        <v>43644</v>
      </c>
    </row>
    <row r="1553" spans="1:2">
      <c r="A1553" s="1" t="s">
        <v>2792</v>
      </c>
      <c r="B1553">
        <v>43814</v>
      </c>
    </row>
    <row r="1554" spans="1:2">
      <c r="A1554" s="1" t="s">
        <v>2793</v>
      </c>
      <c r="B1554">
        <v>43770</v>
      </c>
    </row>
    <row r="1555" spans="1:2">
      <c r="A1555" s="1" t="s">
        <v>207</v>
      </c>
      <c r="B1555">
        <v>43864</v>
      </c>
    </row>
    <row r="1556" spans="1:2">
      <c r="A1556" s="1" t="s">
        <v>2794</v>
      </c>
      <c r="B1556">
        <v>43602</v>
      </c>
    </row>
    <row r="1557" spans="1:2">
      <c r="A1557" s="1" t="s">
        <v>2795</v>
      </c>
      <c r="B1557">
        <v>43816</v>
      </c>
    </row>
    <row r="1558" spans="1:2">
      <c r="A1558" s="1" t="s">
        <v>2796</v>
      </c>
      <c r="B1558" t="s">
        <v>637</v>
      </c>
    </row>
    <row r="1559" spans="1:2">
      <c r="A1559" s="1" t="s">
        <v>584</v>
      </c>
      <c r="B1559">
        <v>43796</v>
      </c>
    </row>
    <row r="1560" spans="1:2">
      <c r="A1560" s="1" t="s">
        <v>2797</v>
      </c>
      <c r="B1560" t="s">
        <v>637</v>
      </c>
    </row>
    <row r="1561" spans="1:2">
      <c r="A1561" s="1" t="s">
        <v>2798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2799</v>
      </c>
      <c r="B1563">
        <v>43814</v>
      </c>
    </row>
    <row r="1564" spans="1:2">
      <c r="A1564" s="1" t="s">
        <v>2800</v>
      </c>
      <c r="B1564">
        <v>43602</v>
      </c>
    </row>
    <row r="1565" spans="1:2">
      <c r="A1565" s="1" t="s">
        <v>317</v>
      </c>
      <c r="B1565">
        <v>43845</v>
      </c>
    </row>
    <row r="1566" spans="1:2">
      <c r="A1566" s="1" t="s">
        <v>2801</v>
      </c>
      <c r="B1566">
        <v>43734</v>
      </c>
    </row>
    <row r="1567" spans="1:2">
      <c r="A1567" s="1" t="s">
        <v>2802</v>
      </c>
      <c r="B1567">
        <v>43815</v>
      </c>
    </row>
    <row r="1568" spans="1:2">
      <c r="A1568" s="1" t="s">
        <v>134</v>
      </c>
      <c r="B1568">
        <v>43864</v>
      </c>
    </row>
    <row r="1569" spans="1:2">
      <c r="A1569" s="1" t="s">
        <v>2803</v>
      </c>
      <c r="B1569">
        <v>43811</v>
      </c>
    </row>
    <row r="1570" spans="1:2">
      <c r="A1570" s="1" t="s">
        <v>2804</v>
      </c>
      <c r="B1570">
        <v>43815</v>
      </c>
    </row>
    <row r="1571" spans="1:2">
      <c r="A1571" s="1" t="s">
        <v>2805</v>
      </c>
      <c r="B1571">
        <v>43727</v>
      </c>
    </row>
    <row r="1572" spans="1:2">
      <c r="A1572" s="1" t="s">
        <v>2806</v>
      </c>
      <c r="B1572">
        <v>43798</v>
      </c>
    </row>
    <row r="1573" spans="1:2">
      <c r="A1573" s="1" t="s">
        <v>2807</v>
      </c>
      <c r="B1573">
        <v>43801</v>
      </c>
    </row>
    <row r="1574" spans="1:2">
      <c r="A1574" s="1" t="s">
        <v>2808</v>
      </c>
      <c r="B1574">
        <v>43805</v>
      </c>
    </row>
    <row r="1575" spans="1:2">
      <c r="A1575" s="1" t="s">
        <v>2809</v>
      </c>
      <c r="B1575">
        <v>43734</v>
      </c>
    </row>
    <row r="1576" spans="1:2">
      <c r="A1576" s="1" t="s">
        <v>2810</v>
      </c>
      <c r="B1576">
        <v>43830</v>
      </c>
    </row>
    <row r="1577" spans="1:2">
      <c r="A1577" s="1" t="s">
        <v>2811</v>
      </c>
      <c r="B1577">
        <v>43613</v>
      </c>
    </row>
    <row r="1578" spans="1:2">
      <c r="A1578" s="1" t="s">
        <v>2812</v>
      </c>
      <c r="B1578">
        <v>43585</v>
      </c>
    </row>
    <row r="1579" spans="1:2">
      <c r="A1579" s="1" t="s">
        <v>2813</v>
      </c>
      <c r="B1579">
        <v>43799</v>
      </c>
    </row>
    <row r="1580" spans="1:2">
      <c r="A1580" s="1" t="s">
        <v>2814</v>
      </c>
      <c r="B1580">
        <v>43740</v>
      </c>
    </row>
    <row r="1581" spans="1:2">
      <c r="A1581" s="1" t="s">
        <v>2815</v>
      </c>
      <c r="B1581">
        <v>43829</v>
      </c>
    </row>
    <row r="1582" spans="1:2">
      <c r="A1582" s="1" t="s">
        <v>2816</v>
      </c>
      <c r="B1582">
        <v>43832</v>
      </c>
    </row>
    <row r="1583" spans="1:2">
      <c r="A1583" s="1" t="s">
        <v>2817</v>
      </c>
      <c r="B1583">
        <v>43802</v>
      </c>
    </row>
    <row r="1584" spans="1:2">
      <c r="A1584" s="1" t="s">
        <v>2818</v>
      </c>
      <c r="B1584">
        <v>43815</v>
      </c>
    </row>
    <row r="1585" spans="1:2">
      <c r="A1585" s="1" t="s">
        <v>2819</v>
      </c>
      <c r="B1585">
        <v>43676</v>
      </c>
    </row>
    <row r="1586" spans="1:2">
      <c r="A1586" s="1" t="s">
        <v>2820</v>
      </c>
      <c r="B1586">
        <v>43854</v>
      </c>
    </row>
    <row r="1587" spans="1:2">
      <c r="A1587" s="1" t="s">
        <v>2821</v>
      </c>
      <c r="B1587">
        <v>43622</v>
      </c>
    </row>
    <row r="1588" spans="1:2">
      <c r="A1588" s="1" t="s">
        <v>2822</v>
      </c>
      <c r="B1588">
        <v>43774</v>
      </c>
    </row>
    <row r="1589" spans="1:2">
      <c r="A1589" s="1" t="s">
        <v>2823</v>
      </c>
      <c r="B1589">
        <v>43831</v>
      </c>
    </row>
    <row r="1590" spans="1:2">
      <c r="A1590" s="1" t="s">
        <v>2824</v>
      </c>
      <c r="B1590">
        <v>43815</v>
      </c>
    </row>
    <row r="1591" spans="1:2">
      <c r="A1591" s="1" t="s">
        <v>2825</v>
      </c>
      <c r="B1591">
        <v>43801</v>
      </c>
    </row>
    <row r="1592" spans="1:2">
      <c r="A1592" s="1" t="s">
        <v>2826</v>
      </c>
      <c r="B1592">
        <v>43805</v>
      </c>
    </row>
    <row r="1593" spans="1:2">
      <c r="A1593" s="1" t="s">
        <v>2827</v>
      </c>
      <c r="B1593">
        <v>43845</v>
      </c>
    </row>
    <row r="1594" spans="1:2">
      <c r="A1594" s="1" t="s">
        <v>2828</v>
      </c>
      <c r="B1594">
        <v>43830</v>
      </c>
    </row>
    <row r="1595" spans="1:2">
      <c r="A1595" s="1" t="s">
        <v>2829</v>
      </c>
      <c r="B1595">
        <v>43753</v>
      </c>
    </row>
    <row r="1596" spans="1:2">
      <c r="A1596" s="1" t="s">
        <v>2830</v>
      </c>
      <c r="B1596">
        <v>43815</v>
      </c>
    </row>
    <row r="1597" spans="1:2">
      <c r="A1597" s="1" t="s">
        <v>2831</v>
      </c>
      <c r="B1597">
        <v>43861</v>
      </c>
    </row>
    <row r="1598" spans="1:2">
      <c r="A1598" s="1" t="s">
        <v>2832</v>
      </c>
      <c r="B1598">
        <v>43692</v>
      </c>
    </row>
    <row r="1599" spans="1:2">
      <c r="A1599" s="1" t="s">
        <v>2833</v>
      </c>
      <c r="B1599">
        <v>43831</v>
      </c>
    </row>
    <row r="1600" spans="1:2">
      <c r="A1600" s="1" t="s">
        <v>2834</v>
      </c>
      <c r="B1600">
        <v>43801</v>
      </c>
    </row>
    <row r="1601" spans="1:2">
      <c r="A1601" s="1" t="s">
        <v>2835</v>
      </c>
      <c r="B1601">
        <v>43825</v>
      </c>
    </row>
    <row r="1602" spans="1:2">
      <c r="A1602" s="1" t="s">
        <v>2836</v>
      </c>
      <c r="B1602">
        <v>43847</v>
      </c>
    </row>
    <row r="1603" spans="1:2">
      <c r="A1603" s="1" t="s">
        <v>2837</v>
      </c>
      <c r="B1603">
        <v>43798</v>
      </c>
    </row>
    <row r="1604" spans="1:2">
      <c r="A1604" s="1" t="s">
        <v>2838</v>
      </c>
      <c r="B1604">
        <v>43738</v>
      </c>
    </row>
    <row r="1605" spans="1:2">
      <c r="A1605" s="1" t="s">
        <v>2839</v>
      </c>
      <c r="B1605">
        <v>43825</v>
      </c>
    </row>
    <row r="1606" spans="1:2">
      <c r="A1606" s="1" t="s">
        <v>2840</v>
      </c>
      <c r="B1606">
        <v>43620</v>
      </c>
    </row>
    <row r="1607" spans="1:2">
      <c r="A1607" s="1" t="s">
        <v>2841</v>
      </c>
      <c r="B1607">
        <v>43829</v>
      </c>
    </row>
    <row r="1608" spans="1:2">
      <c r="A1608" s="1" t="s">
        <v>384</v>
      </c>
      <c r="B1608">
        <v>43845</v>
      </c>
    </row>
    <row r="1609" spans="1:2">
      <c r="A1609" s="1" t="s">
        <v>2842</v>
      </c>
      <c r="B1609">
        <v>43812</v>
      </c>
    </row>
    <row r="1610" spans="1:2">
      <c r="A1610" s="1" t="s">
        <v>2843</v>
      </c>
      <c r="B1610">
        <v>43628</v>
      </c>
    </row>
    <row r="1611" spans="1:2">
      <c r="A1611" s="1" t="s">
        <v>2844</v>
      </c>
      <c r="B1611">
        <v>43815</v>
      </c>
    </row>
    <row r="1612" spans="1:2">
      <c r="A1612" s="1" t="s">
        <v>501</v>
      </c>
      <c r="B1612">
        <v>43756</v>
      </c>
    </row>
    <row r="1613" spans="1:2">
      <c r="A1613" s="1" t="s">
        <v>2845</v>
      </c>
      <c r="B1613">
        <v>43739</v>
      </c>
    </row>
    <row r="1614" spans="1:2">
      <c r="A1614" s="1" t="s">
        <v>2846</v>
      </c>
      <c r="B1614">
        <v>43819</v>
      </c>
    </row>
    <row r="1615" spans="1:2">
      <c r="A1615" s="1" t="s">
        <v>2847</v>
      </c>
      <c r="B1615">
        <v>43815</v>
      </c>
    </row>
    <row r="1616" spans="1:2">
      <c r="A1616" s="1" t="s">
        <v>2848</v>
      </c>
      <c r="B1616">
        <v>43801</v>
      </c>
    </row>
    <row r="1617" spans="1:2">
      <c r="A1617" s="1" t="s">
        <v>2849</v>
      </c>
      <c r="B1617">
        <v>43700</v>
      </c>
    </row>
    <row r="1618" spans="1:2">
      <c r="A1618" s="1" t="s">
        <v>2850</v>
      </c>
      <c r="B1618">
        <v>43815</v>
      </c>
    </row>
    <row r="1619" spans="1:2">
      <c r="A1619" s="1" t="s">
        <v>429</v>
      </c>
      <c r="B1619">
        <v>43829</v>
      </c>
    </row>
    <row r="1620" spans="1:2">
      <c r="A1620" s="1" t="s">
        <v>2851</v>
      </c>
      <c r="B1620">
        <v>43804</v>
      </c>
    </row>
    <row r="1621" spans="1:2">
      <c r="A1621" s="1" t="s">
        <v>2852</v>
      </c>
      <c r="B1621">
        <v>43805</v>
      </c>
    </row>
    <row r="1622" spans="1:2">
      <c r="A1622" s="1" t="s">
        <v>2853</v>
      </c>
      <c r="B1622">
        <v>43649</v>
      </c>
    </row>
    <row r="1623" spans="1:2">
      <c r="A1623" s="1" t="s">
        <v>16</v>
      </c>
      <c r="B1623">
        <v>43875</v>
      </c>
    </row>
    <row r="1624" spans="1:2">
      <c r="A1624" s="1" t="s">
        <v>2854</v>
      </c>
      <c r="B1624">
        <v>43661</v>
      </c>
    </row>
    <row r="1625" spans="1:2">
      <c r="A1625" s="1" t="s">
        <v>2855</v>
      </c>
      <c r="B1625">
        <v>43819</v>
      </c>
    </row>
    <row r="1626" spans="1:2">
      <c r="A1626" s="1" t="s">
        <v>2856</v>
      </c>
      <c r="B1626">
        <v>43815</v>
      </c>
    </row>
    <row r="1627" spans="1:2">
      <c r="A1627" s="1" t="s">
        <v>2857</v>
      </c>
      <c r="B1627">
        <v>43726</v>
      </c>
    </row>
    <row r="1628" spans="1:2">
      <c r="A1628" s="1" t="s">
        <v>2858</v>
      </c>
      <c r="B1628">
        <v>43689</v>
      </c>
    </row>
    <row r="1629" spans="1:2">
      <c r="A1629" s="1" t="s">
        <v>587</v>
      </c>
      <c r="B1629">
        <v>43823</v>
      </c>
    </row>
    <row r="1630" spans="1:2">
      <c r="A1630" s="1" t="s">
        <v>2859</v>
      </c>
      <c r="B1630">
        <v>43819</v>
      </c>
    </row>
    <row r="1631" spans="1:2">
      <c r="A1631" s="1" t="s">
        <v>2860</v>
      </c>
      <c r="B1631" t="s">
        <v>637</v>
      </c>
    </row>
    <row r="1632" spans="1:2">
      <c r="A1632" s="1" t="s">
        <v>2861</v>
      </c>
      <c r="B1632">
        <v>43801</v>
      </c>
    </row>
    <row r="1633" spans="1:2">
      <c r="A1633" s="1" t="s">
        <v>2862</v>
      </c>
      <c r="B1633">
        <v>43831</v>
      </c>
    </row>
    <row r="1634" spans="1:2">
      <c r="A1634" s="1" t="s">
        <v>2863</v>
      </c>
      <c r="B1634">
        <v>43825</v>
      </c>
    </row>
    <row r="1635" spans="1:2">
      <c r="A1635" s="1" t="s">
        <v>2864</v>
      </c>
      <c r="B1635">
        <v>43798</v>
      </c>
    </row>
    <row r="1636" spans="1:2">
      <c r="A1636" s="1" t="s">
        <v>2865</v>
      </c>
      <c r="B1636">
        <v>43845</v>
      </c>
    </row>
    <row r="1637" spans="1:2">
      <c r="A1637" s="1" t="s">
        <v>2866</v>
      </c>
      <c r="B1637">
        <v>43810</v>
      </c>
    </row>
    <row r="1638" spans="1:2">
      <c r="A1638" s="1" t="s">
        <v>2867</v>
      </c>
      <c r="B1638">
        <v>43829</v>
      </c>
    </row>
    <row r="1639" spans="1:2">
      <c r="A1639" s="1" t="s">
        <v>2868</v>
      </c>
      <c r="B1639">
        <v>43831</v>
      </c>
    </row>
    <row r="1640" spans="1:2">
      <c r="A1640" s="1" t="s">
        <v>2869</v>
      </c>
      <c r="B1640">
        <v>43800</v>
      </c>
    </row>
    <row r="1641" spans="1:2">
      <c r="A1641" s="1" t="s">
        <v>2870</v>
      </c>
      <c r="B1641">
        <v>43830</v>
      </c>
    </row>
    <row r="1642" spans="1:2">
      <c r="A1642" s="1" t="s">
        <v>2871</v>
      </c>
      <c r="B1642">
        <v>43891</v>
      </c>
    </row>
    <row r="1643" spans="1:2">
      <c r="A1643" s="1" t="s">
        <v>2872</v>
      </c>
      <c r="B1643">
        <v>43809</v>
      </c>
    </row>
    <row r="1644" spans="1:2">
      <c r="A1644" s="1" t="s">
        <v>2873</v>
      </c>
      <c r="B1644">
        <v>43735</v>
      </c>
    </row>
    <row r="1645" spans="1:2">
      <c r="A1645" s="1" t="s">
        <v>2874</v>
      </c>
      <c r="B1645">
        <v>43847</v>
      </c>
    </row>
    <row r="1646" spans="1:2">
      <c r="A1646" s="1" t="s">
        <v>421</v>
      </c>
      <c r="B1646">
        <v>43839</v>
      </c>
    </row>
    <row r="1647" spans="1:2">
      <c r="A1647" s="1" t="s">
        <v>2875</v>
      </c>
      <c r="B1647">
        <v>43815</v>
      </c>
    </row>
    <row r="1648" spans="1:2">
      <c r="A1648" s="1" t="s">
        <v>2876</v>
      </c>
      <c r="B1648">
        <v>43770</v>
      </c>
    </row>
    <row r="1649" spans="1:2">
      <c r="A1649" s="1" t="s">
        <v>2877</v>
      </c>
      <c r="B1649">
        <v>43825</v>
      </c>
    </row>
    <row r="1650" spans="1:2">
      <c r="A1650" s="1" t="s">
        <v>2878</v>
      </c>
      <c r="B1650">
        <v>43815</v>
      </c>
    </row>
    <row r="1651" spans="1:2">
      <c r="A1651" s="1" t="s">
        <v>2879</v>
      </c>
      <c r="B1651">
        <v>43815</v>
      </c>
    </row>
    <row r="1652" spans="1:2">
      <c r="A1652" s="1" t="s">
        <v>2880</v>
      </c>
      <c r="B1652">
        <v>43647</v>
      </c>
    </row>
    <row r="1653" spans="1:2">
      <c r="A1653" s="1" t="s">
        <v>2881</v>
      </c>
      <c r="B1653">
        <v>43825</v>
      </c>
    </row>
    <row r="1654" spans="1:2">
      <c r="A1654" s="1" t="s">
        <v>2882</v>
      </c>
      <c r="B1654">
        <v>43829</v>
      </c>
    </row>
    <row r="1655" spans="1:2">
      <c r="A1655" s="1" t="s">
        <v>2883</v>
      </c>
      <c r="B1655">
        <v>43864</v>
      </c>
    </row>
    <row r="1656" spans="1:2">
      <c r="A1656" s="1" t="s">
        <v>2884</v>
      </c>
      <c r="B1656">
        <v>43755</v>
      </c>
    </row>
    <row r="1657" spans="1:2">
      <c r="A1657" s="1" t="s">
        <v>2885</v>
      </c>
      <c r="B1657">
        <v>43845</v>
      </c>
    </row>
    <row r="1658" spans="1:2">
      <c r="A1658" s="1" t="s">
        <v>2886</v>
      </c>
      <c r="B1658">
        <v>43815</v>
      </c>
    </row>
    <row r="1659" spans="1:2">
      <c r="A1659" s="1" t="s">
        <v>282</v>
      </c>
      <c r="B1659">
        <v>43858</v>
      </c>
    </row>
    <row r="1660" spans="1:2">
      <c r="A1660" s="1" t="s">
        <v>2887</v>
      </c>
      <c r="B1660">
        <v>43815</v>
      </c>
    </row>
    <row r="1661" spans="1:2">
      <c r="A1661" s="1" t="s">
        <v>2888</v>
      </c>
      <c r="B1661">
        <v>43891</v>
      </c>
    </row>
    <row r="1662" spans="1:2">
      <c r="A1662" s="1" t="s">
        <v>2889</v>
      </c>
      <c r="B1662">
        <v>43780</v>
      </c>
    </row>
    <row r="1663" spans="1:2">
      <c r="A1663" s="1" t="s">
        <v>2890</v>
      </c>
      <c r="B1663">
        <v>43804</v>
      </c>
    </row>
    <row r="1664" spans="1:2">
      <c r="A1664" s="1" t="s">
        <v>2891</v>
      </c>
      <c r="B1664">
        <v>43906</v>
      </c>
    </row>
    <row r="1665" spans="1:2">
      <c r="A1665" s="1" t="s">
        <v>2892</v>
      </c>
      <c r="B1665">
        <v>43815</v>
      </c>
    </row>
    <row r="1666" spans="1:2">
      <c r="A1666" s="1" t="s">
        <v>2893</v>
      </c>
      <c r="B1666">
        <v>43814</v>
      </c>
    </row>
    <row r="1667" spans="1:2">
      <c r="A1667" s="1" t="s">
        <v>2894</v>
      </c>
      <c r="B1667">
        <v>43830</v>
      </c>
    </row>
    <row r="1668" spans="1:2">
      <c r="A1668" s="1" t="s">
        <v>2895</v>
      </c>
      <c r="B1668">
        <v>43825</v>
      </c>
    </row>
    <row r="1669" spans="1:2">
      <c r="A1669" s="1" t="s">
        <v>435</v>
      </c>
      <c r="B1669">
        <v>43845</v>
      </c>
    </row>
    <row r="1670" spans="1:2">
      <c r="A1670" s="1" t="s">
        <v>2896</v>
      </c>
      <c r="B1670">
        <v>43693</v>
      </c>
    </row>
    <row r="1671" spans="1:2">
      <c r="A1671" s="1" t="s">
        <v>2897</v>
      </c>
      <c r="B1671">
        <v>43845</v>
      </c>
    </row>
    <row r="1672" spans="1:2">
      <c r="A1672" s="1" t="s">
        <v>2898</v>
      </c>
      <c r="B1672">
        <v>43808</v>
      </c>
    </row>
    <row r="1673" spans="1:2">
      <c r="A1673" s="1" t="s">
        <v>2899</v>
      </c>
      <c r="B1673">
        <v>43815</v>
      </c>
    </row>
    <row r="1674" spans="1:2">
      <c r="A1674" s="1" t="s">
        <v>2900</v>
      </c>
      <c r="B1674">
        <v>43819</v>
      </c>
    </row>
    <row r="1675" spans="1:2">
      <c r="A1675" s="1" t="s">
        <v>2901</v>
      </c>
      <c r="B1675">
        <v>43845</v>
      </c>
    </row>
    <row r="1676" spans="1:2">
      <c r="A1676" s="1" t="s">
        <v>397</v>
      </c>
      <c r="B1676">
        <v>43830</v>
      </c>
    </row>
    <row r="1677" spans="1:2">
      <c r="A1677" s="1" t="s">
        <v>492</v>
      </c>
      <c r="B1677">
        <v>43741</v>
      </c>
    </row>
    <row r="1678" spans="1:2">
      <c r="A1678" s="1" t="s">
        <v>601</v>
      </c>
      <c r="B1678">
        <v>43812</v>
      </c>
    </row>
    <row r="1679" spans="1:2">
      <c r="A1679" s="1" t="s">
        <v>2902</v>
      </c>
      <c r="B1679">
        <v>43815</v>
      </c>
    </row>
    <row r="1680" spans="1:2">
      <c r="A1680" s="1" t="s">
        <v>2903</v>
      </c>
      <c r="B1680">
        <v>43814</v>
      </c>
    </row>
    <row r="1681" spans="1:2">
      <c r="A1681" s="1" t="s">
        <v>2904</v>
      </c>
      <c r="B1681">
        <v>43829</v>
      </c>
    </row>
    <row r="1682" spans="1:2">
      <c r="A1682" s="1" t="s">
        <v>2905</v>
      </c>
      <c r="B1682">
        <v>43805</v>
      </c>
    </row>
    <row r="1683" spans="1:2">
      <c r="A1683" s="1" t="s">
        <v>2906</v>
      </c>
      <c r="B1683">
        <v>43837</v>
      </c>
    </row>
    <row r="1684" spans="1:2">
      <c r="A1684" s="1" t="s">
        <v>2907</v>
      </c>
      <c r="B1684">
        <v>43830</v>
      </c>
    </row>
    <row r="1685" spans="1:2">
      <c r="A1685" s="1" t="s">
        <v>2908</v>
      </c>
      <c r="B1685">
        <v>43798</v>
      </c>
    </row>
    <row r="1686" spans="1:2">
      <c r="A1686" s="1" t="s">
        <v>2909</v>
      </c>
      <c r="B1686">
        <v>43879</v>
      </c>
    </row>
    <row r="1687" spans="1:2">
      <c r="A1687" s="1" t="s">
        <v>477</v>
      </c>
      <c r="B1687">
        <v>43727</v>
      </c>
    </row>
    <row r="1688" spans="1:2">
      <c r="A1688" s="1" t="s">
        <v>2910</v>
      </c>
      <c r="B1688">
        <v>43781</v>
      </c>
    </row>
    <row r="1689" spans="1:2">
      <c r="A1689" s="1" t="s">
        <v>2911</v>
      </c>
      <c r="B1689">
        <v>43798</v>
      </c>
    </row>
    <row r="1690" spans="1:2">
      <c r="A1690" s="1" t="s">
        <v>2912</v>
      </c>
      <c r="B1690">
        <v>43829</v>
      </c>
    </row>
    <row r="1691" spans="1:2">
      <c r="A1691" s="1" t="s">
        <v>286</v>
      </c>
      <c r="B1691">
        <v>43825</v>
      </c>
    </row>
    <row r="1692" spans="1:2">
      <c r="A1692" s="1" t="s">
        <v>2913</v>
      </c>
      <c r="B1692">
        <v>43784</v>
      </c>
    </row>
    <row r="1693" spans="1:2">
      <c r="A1693" s="1" t="s">
        <v>2914</v>
      </c>
      <c r="B1693">
        <v>43829</v>
      </c>
    </row>
    <row r="1694" spans="1:2">
      <c r="A1694" s="1" t="s">
        <v>2915</v>
      </c>
      <c r="B1694">
        <v>43829</v>
      </c>
    </row>
    <row r="1695" spans="1:2">
      <c r="A1695" s="1" t="s">
        <v>2916</v>
      </c>
      <c r="B1695">
        <v>43830</v>
      </c>
    </row>
    <row r="1696" spans="1:2">
      <c r="A1696" s="1" t="s">
        <v>2917</v>
      </c>
      <c r="B1696">
        <v>43815</v>
      </c>
    </row>
    <row r="1697" spans="1:2">
      <c r="A1697" s="1" t="s">
        <v>2918</v>
      </c>
      <c r="B1697">
        <v>43845</v>
      </c>
    </row>
    <row r="1698" spans="1:2">
      <c r="A1698" s="1" t="s">
        <v>2919</v>
      </c>
      <c r="B1698">
        <v>43830</v>
      </c>
    </row>
    <row r="1699" spans="1:2">
      <c r="A1699" s="1" t="s">
        <v>2920</v>
      </c>
      <c r="B1699">
        <v>43812</v>
      </c>
    </row>
    <row r="1700" spans="1:2">
      <c r="A1700" s="1" t="s">
        <v>2921</v>
      </c>
      <c r="B1700">
        <v>43825</v>
      </c>
    </row>
    <row r="1701" spans="1:2">
      <c r="A1701" s="1" t="s">
        <v>2922</v>
      </c>
      <c r="B1701">
        <v>43830</v>
      </c>
    </row>
    <row r="1702" spans="1:2">
      <c r="A1702" s="1" t="s">
        <v>2923</v>
      </c>
      <c r="B1702">
        <v>43830</v>
      </c>
    </row>
    <row r="1703" spans="1:2">
      <c r="A1703" s="1" t="s">
        <v>2924</v>
      </c>
      <c r="B1703">
        <v>43829</v>
      </c>
    </row>
    <row r="1704" spans="1:2">
      <c r="A1704" s="1" t="s">
        <v>2925</v>
      </c>
      <c r="B1704">
        <v>43854</v>
      </c>
    </row>
    <row r="1705" spans="1:2">
      <c r="A1705" s="1" t="s">
        <v>2926</v>
      </c>
      <c r="B1705">
        <v>43759</v>
      </c>
    </row>
    <row r="1706" spans="1:2">
      <c r="A1706" s="1" t="s">
        <v>2927</v>
      </c>
      <c r="B1706">
        <v>43864</v>
      </c>
    </row>
    <row r="1707" spans="1:2">
      <c r="A1707" s="1" t="s">
        <v>2928</v>
      </c>
      <c r="B1707">
        <v>43830</v>
      </c>
    </row>
    <row r="1708" spans="1:2">
      <c r="A1708" s="1" t="s">
        <v>2929</v>
      </c>
      <c r="B1708">
        <v>43832</v>
      </c>
    </row>
    <row r="1709" spans="1:2">
      <c r="A1709" s="1" t="s">
        <v>2930</v>
      </c>
      <c r="B1709">
        <v>43814</v>
      </c>
    </row>
    <row r="1710" spans="1:2">
      <c r="A1710" s="1" t="s">
        <v>2931</v>
      </c>
      <c r="B1710">
        <v>43753</v>
      </c>
    </row>
    <row r="1711" spans="1:2">
      <c r="A1711" s="1" t="s">
        <v>2932</v>
      </c>
      <c r="B1711">
        <v>43801</v>
      </c>
    </row>
    <row r="1712" spans="1:2">
      <c r="A1712" s="1" t="s">
        <v>2933</v>
      </c>
      <c r="B1712">
        <v>43845</v>
      </c>
    </row>
    <row r="1713" spans="1:2">
      <c r="A1713" s="1" t="s">
        <v>2934</v>
      </c>
      <c r="B1713">
        <v>43825</v>
      </c>
    </row>
    <row r="1714" spans="1:2">
      <c r="A1714" s="1" t="s">
        <v>2935</v>
      </c>
      <c r="B1714">
        <v>43832</v>
      </c>
    </row>
    <row r="1715" spans="1:2">
      <c r="A1715" s="1" t="s">
        <v>2936</v>
      </c>
      <c r="B1715">
        <v>43825</v>
      </c>
    </row>
    <row r="1716" spans="1:2">
      <c r="A1716" s="1" t="s">
        <v>2937</v>
      </c>
      <c r="B1716">
        <v>43832</v>
      </c>
    </row>
    <row r="1717" spans="1:2">
      <c r="A1717" s="1" t="s">
        <v>2938</v>
      </c>
      <c r="B1717">
        <v>43829</v>
      </c>
    </row>
    <row r="1718" spans="1:2">
      <c r="A1718" s="1" t="s">
        <v>2939</v>
      </c>
      <c r="B1718">
        <v>43801</v>
      </c>
    </row>
    <row r="1719" spans="1:2">
      <c r="A1719" s="1" t="s">
        <v>2940</v>
      </c>
      <c r="B1719">
        <v>43815</v>
      </c>
    </row>
    <row r="1720" spans="1:2">
      <c r="A1720" s="1" t="s">
        <v>2941</v>
      </c>
      <c r="B1720">
        <v>43825</v>
      </c>
    </row>
    <row r="1721" spans="1:2">
      <c r="A1721" s="1" t="s">
        <v>2942</v>
      </c>
      <c r="B1721">
        <v>43829</v>
      </c>
    </row>
    <row r="1722" spans="1:2">
      <c r="A1722" s="1" t="s">
        <v>528</v>
      </c>
      <c r="B1722">
        <v>43789</v>
      </c>
    </row>
    <row r="1723" spans="1:2">
      <c r="A1723" s="1" t="s">
        <v>2943</v>
      </c>
      <c r="B1723">
        <v>43810</v>
      </c>
    </row>
    <row r="1724" spans="1:2">
      <c r="A1724" s="1" t="s">
        <v>2944</v>
      </c>
      <c r="B1724">
        <v>43840</v>
      </c>
    </row>
    <row r="1725" spans="1:2">
      <c r="A1725" s="1" t="s">
        <v>554</v>
      </c>
      <c r="B1725">
        <v>43840</v>
      </c>
    </row>
    <row r="1726" spans="1:2">
      <c r="A1726" s="1" t="s">
        <v>2945</v>
      </c>
      <c r="B1726">
        <v>43801</v>
      </c>
    </row>
    <row r="1727" spans="1:2">
      <c r="A1727" s="1" t="s">
        <v>2946</v>
      </c>
      <c r="B1727">
        <v>43825</v>
      </c>
    </row>
    <row r="1728" spans="1:2">
      <c r="A1728" s="1" t="s">
        <v>2947</v>
      </c>
      <c r="B1728">
        <v>43826</v>
      </c>
    </row>
    <row r="1729" spans="1:2">
      <c r="A1729" s="1" t="s">
        <v>2948</v>
      </c>
      <c r="B1729">
        <v>43726</v>
      </c>
    </row>
    <row r="1730" spans="1:2">
      <c r="A1730" s="1" t="s">
        <v>2949</v>
      </c>
      <c r="B1730">
        <v>43621</v>
      </c>
    </row>
    <row r="1731" spans="1:2">
      <c r="A1731" s="1" t="s">
        <v>2950</v>
      </c>
      <c r="B1731">
        <v>43656</v>
      </c>
    </row>
    <row r="1732" spans="1:2">
      <c r="A1732" s="1" t="s">
        <v>2951</v>
      </c>
      <c r="B1732">
        <v>43683</v>
      </c>
    </row>
    <row r="1733" spans="1:2">
      <c r="A1733" s="1" t="s">
        <v>2952</v>
      </c>
      <c r="B1733">
        <v>43830</v>
      </c>
    </row>
    <row r="1734" spans="1:2">
      <c r="A1734" s="1" t="s">
        <v>2953</v>
      </c>
      <c r="B1734">
        <v>43815</v>
      </c>
    </row>
    <row r="1735" spans="1:2">
      <c r="A1735" s="1" t="s">
        <v>2954</v>
      </c>
      <c r="B1735">
        <v>43798</v>
      </c>
    </row>
    <row r="1736" spans="1:2">
      <c r="A1736" s="1" t="s">
        <v>2955</v>
      </c>
      <c r="B1736">
        <v>43803</v>
      </c>
    </row>
    <row r="1737" spans="1:2">
      <c r="A1737" s="1" t="s">
        <v>2956</v>
      </c>
      <c r="B1737">
        <v>43815</v>
      </c>
    </row>
    <row r="1738" spans="1:2">
      <c r="A1738" s="1" t="s">
        <v>2957</v>
      </c>
      <c r="B1738">
        <v>43637</v>
      </c>
    </row>
    <row r="1739" spans="1:2">
      <c r="A1739" s="1" t="s">
        <v>2958</v>
      </c>
      <c r="B1739">
        <v>43830</v>
      </c>
    </row>
    <row r="1740" spans="1:2">
      <c r="A1740" s="1" t="s">
        <v>456</v>
      </c>
      <c r="B1740">
        <v>43812</v>
      </c>
    </row>
    <row r="1741" spans="1:2">
      <c r="A1741" s="1" t="s">
        <v>2959</v>
      </c>
      <c r="B1741">
        <v>43734</v>
      </c>
    </row>
    <row r="1742" spans="1:2">
      <c r="A1742" s="1" t="s">
        <v>2960</v>
      </c>
      <c r="B1742">
        <v>43800</v>
      </c>
    </row>
    <row r="1743" spans="1:2">
      <c r="A1743" s="1" t="s">
        <v>2961</v>
      </c>
      <c r="B1743">
        <v>43845</v>
      </c>
    </row>
    <row r="1744" spans="1:2">
      <c r="A1744" s="1" t="s">
        <v>2962</v>
      </c>
      <c r="B1744">
        <v>43770</v>
      </c>
    </row>
    <row r="1745" spans="1:2">
      <c r="A1745" s="1" t="s">
        <v>2963</v>
      </c>
      <c r="B1745">
        <v>43829</v>
      </c>
    </row>
    <row r="1746" spans="1:2">
      <c r="A1746" s="1" t="s">
        <v>2964</v>
      </c>
      <c r="B1746">
        <v>43574</v>
      </c>
    </row>
    <row r="1747" spans="1:2">
      <c r="A1747" s="1" t="s">
        <v>2965</v>
      </c>
      <c r="B1747">
        <v>43831</v>
      </c>
    </row>
    <row r="1748" spans="1:2">
      <c r="A1748" s="1" t="s">
        <v>2966</v>
      </c>
      <c r="B1748">
        <v>43831</v>
      </c>
    </row>
    <row r="1749" spans="1:2">
      <c r="A1749" s="1" t="s">
        <v>2967</v>
      </c>
      <c r="B1749">
        <v>43654</v>
      </c>
    </row>
    <row r="1750" spans="1:2">
      <c r="A1750" s="1" t="s">
        <v>2968</v>
      </c>
      <c r="B1750">
        <v>43805</v>
      </c>
    </row>
    <row r="1751" spans="1:2">
      <c r="A1751" s="1" t="s">
        <v>2969</v>
      </c>
      <c r="B1751">
        <v>43852</v>
      </c>
    </row>
    <row r="1752" spans="1:2">
      <c r="A1752" s="1" t="s">
        <v>2970</v>
      </c>
      <c r="B1752">
        <v>43845</v>
      </c>
    </row>
    <row r="1753" spans="1:2">
      <c r="A1753" s="1" t="s">
        <v>2971</v>
      </c>
      <c r="B1753">
        <v>43819</v>
      </c>
    </row>
    <row r="1754" spans="1:2">
      <c r="A1754" s="1" t="s">
        <v>2972</v>
      </c>
      <c r="B1754">
        <v>43685</v>
      </c>
    </row>
    <row r="1755" spans="1:2">
      <c r="A1755" s="1" t="s">
        <v>2973</v>
      </c>
      <c r="B1755">
        <v>43830</v>
      </c>
    </row>
    <row r="1756" spans="1:2">
      <c r="A1756" s="1" t="s">
        <v>2974</v>
      </c>
      <c r="B1756">
        <v>43845</v>
      </c>
    </row>
    <row r="1757" spans="1:2">
      <c r="A1757" s="1" t="s">
        <v>2975</v>
      </c>
      <c r="B1757">
        <v>43845</v>
      </c>
    </row>
    <row r="1758" spans="1:2">
      <c r="A1758" s="1" t="s">
        <v>2976</v>
      </c>
      <c r="B1758">
        <v>43819</v>
      </c>
    </row>
    <row r="1759" spans="1:2">
      <c r="A1759" s="1" t="s">
        <v>2977</v>
      </c>
      <c r="B1759">
        <v>43816</v>
      </c>
    </row>
    <row r="1760" spans="1:2">
      <c r="A1760" s="1" t="s">
        <v>2978</v>
      </c>
      <c r="B1760">
        <v>43815</v>
      </c>
    </row>
    <row r="1761" spans="1:2">
      <c r="A1761" s="1" t="s">
        <v>2979</v>
      </c>
      <c r="B1761">
        <v>43739</v>
      </c>
    </row>
    <row r="1762" spans="1:2">
      <c r="A1762" s="1" t="s">
        <v>2980</v>
      </c>
      <c r="B1762">
        <v>43753</v>
      </c>
    </row>
    <row r="1763" spans="1:2">
      <c r="A1763" s="1" t="s">
        <v>2981</v>
      </c>
      <c r="B1763">
        <v>43812</v>
      </c>
    </row>
    <row r="1764" spans="1:2">
      <c r="A1764" s="1" t="s">
        <v>2982</v>
      </c>
      <c r="B1764">
        <v>43876</v>
      </c>
    </row>
    <row r="1765" spans="1:2">
      <c r="A1765" s="1" t="s">
        <v>2983</v>
      </c>
      <c r="B1765">
        <v>43845</v>
      </c>
    </row>
    <row r="1766" spans="1:2">
      <c r="A1766" s="1" t="s">
        <v>2984</v>
      </c>
      <c r="B1766">
        <v>43796</v>
      </c>
    </row>
    <row r="1767" spans="1:2">
      <c r="A1767" s="1" t="s">
        <v>514</v>
      </c>
      <c r="B1767">
        <v>43809</v>
      </c>
    </row>
    <row r="1768" spans="1:2">
      <c r="A1768" s="1" t="s">
        <v>2985</v>
      </c>
      <c r="B1768">
        <v>43734</v>
      </c>
    </row>
    <row r="1769" spans="1:2">
      <c r="A1769" s="1" t="s">
        <v>2986</v>
      </c>
      <c r="B1769">
        <v>43825</v>
      </c>
    </row>
    <row r="1770" spans="1:2">
      <c r="A1770" s="1" t="s">
        <v>2987</v>
      </c>
      <c r="B1770">
        <v>43845</v>
      </c>
    </row>
    <row r="1771" spans="1:2">
      <c r="A1771" s="1" t="s">
        <v>2988</v>
      </c>
      <c r="B1771">
        <v>43819</v>
      </c>
    </row>
    <row r="1772" spans="1:2">
      <c r="A1772" s="1" t="s">
        <v>2989</v>
      </c>
      <c r="B1772">
        <v>43833</v>
      </c>
    </row>
    <row r="1773" spans="1:2">
      <c r="A1773" s="1" t="s">
        <v>334</v>
      </c>
      <c r="B1773">
        <v>43756</v>
      </c>
    </row>
    <row r="1774" spans="1:2">
      <c r="A1774" s="1" t="s">
        <v>2990</v>
      </c>
      <c r="B1774">
        <v>43655</v>
      </c>
    </row>
    <row r="1775" spans="1:2">
      <c r="A1775" s="1" t="s">
        <v>2991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342</v>
      </c>
      <c r="B1777">
        <v>43845</v>
      </c>
    </row>
    <row r="1778" spans="1:2">
      <c r="A1778" s="1" t="s">
        <v>2992</v>
      </c>
      <c r="B1778">
        <v>43600</v>
      </c>
    </row>
    <row r="1779" spans="1:2">
      <c r="A1779" s="1" t="s">
        <v>2993</v>
      </c>
      <c r="B1779">
        <v>43825</v>
      </c>
    </row>
    <row r="1780" spans="1:2">
      <c r="A1780" s="1" t="s">
        <v>2994</v>
      </c>
      <c r="B1780">
        <v>43768</v>
      </c>
    </row>
    <row r="1781" spans="1:2">
      <c r="A1781" s="1" t="s">
        <v>2995</v>
      </c>
      <c r="B1781">
        <v>43657</v>
      </c>
    </row>
    <row r="1782" spans="1:2">
      <c r="A1782" s="1" t="s">
        <v>2996</v>
      </c>
      <c r="B1782">
        <v>43830</v>
      </c>
    </row>
    <row r="1783" spans="1:2">
      <c r="A1783" s="1" t="s">
        <v>2997</v>
      </c>
      <c r="B1783" t="s">
        <v>637</v>
      </c>
    </row>
    <row r="1784" spans="1:2">
      <c r="A1784" s="1" t="s">
        <v>2998</v>
      </c>
      <c r="B1784">
        <v>43819</v>
      </c>
    </row>
    <row r="1785" spans="1:2">
      <c r="A1785" s="1" t="s">
        <v>2999</v>
      </c>
      <c r="B1785" t="s">
        <v>637</v>
      </c>
    </row>
    <row r="1786" spans="1:2">
      <c r="A1786" s="1" t="s">
        <v>3000</v>
      </c>
      <c r="B1786">
        <v>43830</v>
      </c>
    </row>
    <row r="1787" spans="1:2">
      <c r="A1787" s="1" t="s">
        <v>3001</v>
      </c>
      <c r="B1787">
        <v>43815</v>
      </c>
    </row>
    <row r="1788" spans="1:2">
      <c r="A1788" s="1" t="s">
        <v>3002</v>
      </c>
      <c r="B1788">
        <v>43783</v>
      </c>
    </row>
    <row r="1789" spans="1:2">
      <c r="A1789" s="1" t="s">
        <v>3003</v>
      </c>
      <c r="B1789">
        <v>43830</v>
      </c>
    </row>
    <row r="1790" spans="1:2">
      <c r="A1790" s="1" t="s">
        <v>3004</v>
      </c>
      <c r="B1790">
        <v>43642</v>
      </c>
    </row>
    <row r="1791" spans="1:2">
      <c r="A1791" s="1" t="s">
        <v>3005</v>
      </c>
      <c r="B1791">
        <v>43825</v>
      </c>
    </row>
    <row r="1792" spans="1:2">
      <c r="A1792" s="1" t="s">
        <v>3006</v>
      </c>
      <c r="B1792">
        <v>43829</v>
      </c>
    </row>
    <row r="1793" spans="1:2">
      <c r="A1793" s="1" t="s">
        <v>3007</v>
      </c>
      <c r="B1793">
        <v>43762</v>
      </c>
    </row>
    <row r="1794" spans="1:2">
      <c r="A1794" s="1" t="s">
        <v>3008</v>
      </c>
      <c r="B1794" t="s">
        <v>637</v>
      </c>
    </row>
    <row r="1795" spans="1:2">
      <c r="A1795" s="1" t="s">
        <v>3009</v>
      </c>
      <c r="B1795">
        <v>43890</v>
      </c>
    </row>
    <row r="1796" spans="1:2">
      <c r="A1796" s="1" t="s">
        <v>3010</v>
      </c>
      <c r="B1796">
        <v>43845</v>
      </c>
    </row>
    <row r="1797" spans="1:2">
      <c r="A1797" s="1" t="s">
        <v>3011</v>
      </c>
      <c r="B1797">
        <v>43845</v>
      </c>
    </row>
    <row r="1798" spans="1:2">
      <c r="A1798" s="1" t="s">
        <v>581</v>
      </c>
      <c r="B1798">
        <v>43845</v>
      </c>
    </row>
    <row r="1799" spans="1:2">
      <c r="A1799" s="1" t="s">
        <v>3012</v>
      </c>
      <c r="B1799">
        <v>43815</v>
      </c>
    </row>
    <row r="1800" spans="1:2">
      <c r="A1800" s="1" t="s">
        <v>3013</v>
      </c>
      <c r="B1800">
        <v>43549</v>
      </c>
    </row>
    <row r="1801" spans="1:2">
      <c r="A1801" s="1" t="s">
        <v>3014</v>
      </c>
      <c r="B1801">
        <v>43830</v>
      </c>
    </row>
    <row r="1802" spans="1:2">
      <c r="A1802" s="1" t="s">
        <v>3015</v>
      </c>
      <c r="B1802">
        <v>43830</v>
      </c>
    </row>
    <row r="1803" spans="1:2">
      <c r="A1803" s="1" t="s">
        <v>3016</v>
      </c>
      <c r="B1803">
        <v>43825</v>
      </c>
    </row>
    <row r="1804" spans="1:2">
      <c r="A1804" s="1" t="s">
        <v>3017</v>
      </c>
      <c r="B1804">
        <v>43683</v>
      </c>
    </row>
    <row r="1805" spans="1:2">
      <c r="A1805" s="1" t="s">
        <v>3018</v>
      </c>
      <c r="B1805">
        <v>43832</v>
      </c>
    </row>
    <row r="1806" spans="1:2">
      <c r="A1806" s="1" t="s">
        <v>3019</v>
      </c>
      <c r="B1806">
        <v>43654</v>
      </c>
    </row>
    <row r="1807" spans="1:2">
      <c r="A1807" s="1" t="s">
        <v>3020</v>
      </c>
      <c r="B1807">
        <v>43734</v>
      </c>
    </row>
    <row r="1808" spans="1:2">
      <c r="A1808" s="1" t="s">
        <v>3021</v>
      </c>
      <c r="B1808">
        <v>43784</v>
      </c>
    </row>
    <row r="1809" spans="1:2">
      <c r="A1809" s="1" t="s">
        <v>3022</v>
      </c>
      <c r="B1809">
        <v>43769</v>
      </c>
    </row>
    <row r="1810" spans="1:2">
      <c r="A1810" s="1" t="s">
        <v>3023</v>
      </c>
      <c r="B1810">
        <v>43672</v>
      </c>
    </row>
    <row r="1811" spans="1:2">
      <c r="A1811" s="1" t="s">
        <v>3024</v>
      </c>
      <c r="B1811">
        <v>43860</v>
      </c>
    </row>
    <row r="1812" spans="1:2">
      <c r="A1812" s="1" t="s">
        <v>3025</v>
      </c>
      <c r="B1812">
        <v>43892</v>
      </c>
    </row>
    <row r="1813" spans="1:2">
      <c r="A1813" s="1" t="s">
        <v>3026</v>
      </c>
      <c r="B1813">
        <v>43655</v>
      </c>
    </row>
    <row r="1814" spans="1:2">
      <c r="A1814" s="1" t="s">
        <v>3027</v>
      </c>
      <c r="B1814">
        <v>43812</v>
      </c>
    </row>
    <row r="1815" spans="1:2">
      <c r="A1815" s="1" t="s">
        <v>332</v>
      </c>
      <c r="B1815">
        <v>43854</v>
      </c>
    </row>
    <row r="1816" spans="1:2">
      <c r="A1816" s="1" t="s">
        <v>3028</v>
      </c>
      <c r="B1816">
        <v>43798</v>
      </c>
    </row>
    <row r="1817" spans="1:2">
      <c r="A1817" s="1" t="s">
        <v>3029</v>
      </c>
      <c r="B1817">
        <v>43845</v>
      </c>
    </row>
    <row r="1818" spans="1:2">
      <c r="A1818" s="1" t="s">
        <v>3030</v>
      </c>
      <c r="B1818">
        <v>43784</v>
      </c>
    </row>
    <row r="1819" spans="1:2">
      <c r="A1819" s="1" t="s">
        <v>3031</v>
      </c>
      <c r="B1819">
        <v>43830</v>
      </c>
    </row>
    <row r="1820" spans="1:2">
      <c r="A1820" s="1" t="s">
        <v>3032</v>
      </c>
      <c r="B1820">
        <v>43749</v>
      </c>
    </row>
    <row r="1821" spans="1:2">
      <c r="A1821" s="1" t="s">
        <v>3033</v>
      </c>
      <c r="B1821">
        <v>43825</v>
      </c>
    </row>
    <row r="1822" spans="1:2">
      <c r="A1822" s="1" t="s">
        <v>3034</v>
      </c>
      <c r="B1822">
        <v>43798</v>
      </c>
    </row>
    <row r="1823" spans="1:2">
      <c r="A1823" s="1" t="s">
        <v>3035</v>
      </c>
      <c r="B1823">
        <v>43691</v>
      </c>
    </row>
    <row r="1824" spans="1:2">
      <c r="A1824" s="1" t="s">
        <v>3036</v>
      </c>
      <c r="B1824">
        <v>43768</v>
      </c>
    </row>
    <row r="1825" spans="1:2">
      <c r="A1825" s="1" t="s">
        <v>3037</v>
      </c>
      <c r="B1825">
        <v>43689</v>
      </c>
    </row>
    <row r="1826" spans="1:2">
      <c r="A1826" s="1" t="s">
        <v>3038</v>
      </c>
      <c r="B1826">
        <v>43678</v>
      </c>
    </row>
    <row r="1827" spans="1:2">
      <c r="A1827" s="1" t="s">
        <v>3039</v>
      </c>
      <c r="B1827">
        <v>43830</v>
      </c>
    </row>
    <row r="1828" spans="1:2">
      <c r="A1828" s="1" t="s">
        <v>3040</v>
      </c>
      <c r="B1828">
        <v>43753</v>
      </c>
    </row>
    <row r="1829" spans="1:2">
      <c r="A1829" s="1" t="s">
        <v>3041</v>
      </c>
      <c r="B1829">
        <v>43819</v>
      </c>
    </row>
    <row r="1830" spans="1:2">
      <c r="A1830" s="1" t="s">
        <v>3042</v>
      </c>
      <c r="B1830">
        <v>43832</v>
      </c>
    </row>
    <row r="1831" spans="1:2">
      <c r="A1831" s="1" t="s">
        <v>3043</v>
      </c>
      <c r="B1831">
        <v>43831</v>
      </c>
    </row>
    <row r="1832" spans="1:2">
      <c r="A1832" s="1" t="s">
        <v>3044</v>
      </c>
      <c r="B1832">
        <v>43815</v>
      </c>
    </row>
    <row r="1833" spans="1:2">
      <c r="A1833" s="1" t="s">
        <v>3045</v>
      </c>
      <c r="B1833">
        <v>43798</v>
      </c>
    </row>
    <row r="1834" spans="1:2">
      <c r="A1834" s="1" t="s">
        <v>3046</v>
      </c>
      <c r="B1834">
        <v>43829</v>
      </c>
    </row>
    <row r="1835" spans="1:2">
      <c r="A1835" s="1" t="s">
        <v>3047</v>
      </c>
      <c r="B1835">
        <v>43588</v>
      </c>
    </row>
    <row r="1836" spans="1:2">
      <c r="A1836" s="1" t="s">
        <v>3048</v>
      </c>
      <c r="B1836">
        <v>43829</v>
      </c>
    </row>
    <row r="1837" spans="1:2">
      <c r="A1837" s="1" t="s">
        <v>3049</v>
      </c>
      <c r="B1837">
        <v>43808</v>
      </c>
    </row>
    <row r="1838" spans="1:2">
      <c r="A1838" s="1" t="s">
        <v>3050</v>
      </c>
      <c r="B1838">
        <v>43830</v>
      </c>
    </row>
    <row r="1839" spans="1:2">
      <c r="A1839" s="1" t="s">
        <v>3051</v>
      </c>
      <c r="B1839">
        <v>43830</v>
      </c>
    </row>
    <row r="1840" spans="1:2">
      <c r="A1840" s="1" t="s">
        <v>3052</v>
      </c>
      <c r="B1840">
        <v>43770</v>
      </c>
    </row>
    <row r="1841" spans="1:2">
      <c r="A1841" s="1" t="s">
        <v>3053</v>
      </c>
      <c r="B1841">
        <v>43777</v>
      </c>
    </row>
    <row r="1842" spans="1:2">
      <c r="A1842" s="1" t="s">
        <v>3054</v>
      </c>
      <c r="B1842">
        <v>43921</v>
      </c>
    </row>
    <row r="1843" spans="1:2">
      <c r="A1843" s="1" t="s">
        <v>3055</v>
      </c>
      <c r="B1843">
        <v>43735</v>
      </c>
    </row>
    <row r="1844" spans="1:2">
      <c r="A1844" s="1" t="s">
        <v>261</v>
      </c>
      <c r="B1844">
        <v>43859</v>
      </c>
    </row>
    <row r="1845" spans="1:2">
      <c r="A1845" s="1" t="s">
        <v>3056</v>
      </c>
      <c r="B1845">
        <v>43654</v>
      </c>
    </row>
    <row r="1846" spans="1:2">
      <c r="A1846" s="1" t="s">
        <v>3057</v>
      </c>
      <c r="B1846">
        <v>43845</v>
      </c>
    </row>
    <row r="1847" spans="1:2">
      <c r="A1847" s="1" t="s">
        <v>331</v>
      </c>
      <c r="B1847">
        <v>43791</v>
      </c>
    </row>
    <row r="1848" spans="1:2">
      <c r="A1848" s="1" t="s">
        <v>3058</v>
      </c>
      <c r="B1848">
        <v>43830</v>
      </c>
    </row>
    <row r="1849" spans="1:2">
      <c r="A1849" s="1" t="s">
        <v>3059</v>
      </c>
      <c r="B1849">
        <v>43462</v>
      </c>
    </row>
    <row r="1850" spans="1:2">
      <c r="A1850" s="1" t="s">
        <v>3060</v>
      </c>
      <c r="B1850">
        <v>43816</v>
      </c>
    </row>
    <row r="1851" spans="1:2">
      <c r="A1851" s="1" t="s">
        <v>3061</v>
      </c>
      <c r="B1851">
        <v>43830</v>
      </c>
    </row>
    <row r="1852" spans="1:2">
      <c r="A1852" s="1" t="s">
        <v>260</v>
      </c>
      <c r="B1852">
        <v>43784</v>
      </c>
    </row>
    <row r="1853" spans="1:2">
      <c r="A1853" s="1" t="s">
        <v>3062</v>
      </c>
      <c r="B1853">
        <v>43829</v>
      </c>
    </row>
    <row r="1854" spans="1:2">
      <c r="A1854" s="1" t="s">
        <v>169</v>
      </c>
      <c r="B1854">
        <v>43809</v>
      </c>
    </row>
    <row r="1855" spans="1:2">
      <c r="A1855" s="1" t="s">
        <v>3063</v>
      </c>
      <c r="B1855">
        <v>43876</v>
      </c>
    </row>
    <row r="1856" spans="1:2">
      <c r="A1856" s="1" t="s">
        <v>3064</v>
      </c>
      <c r="B1856">
        <v>43804</v>
      </c>
    </row>
    <row r="1857" spans="1:2">
      <c r="A1857" s="1" t="s">
        <v>3065</v>
      </c>
      <c r="B1857">
        <v>43832</v>
      </c>
    </row>
    <row r="1858" spans="1:2">
      <c r="A1858" s="1" t="s">
        <v>3066</v>
      </c>
      <c r="B1858">
        <v>43867</v>
      </c>
    </row>
    <row r="1859" spans="1:2">
      <c r="A1859" s="1" t="s">
        <v>3067</v>
      </c>
      <c r="B1859">
        <v>43845</v>
      </c>
    </row>
    <row r="1860" spans="1:2">
      <c r="A1860" s="1" t="s">
        <v>3068</v>
      </c>
      <c r="B1860">
        <v>43832</v>
      </c>
    </row>
    <row r="1861" spans="1:2">
      <c r="A1861" s="1" t="s">
        <v>3069</v>
      </c>
      <c r="B1861">
        <v>43798</v>
      </c>
    </row>
    <row r="1862" spans="1:2">
      <c r="A1862" s="1" t="s">
        <v>3070</v>
      </c>
      <c r="B1862">
        <v>43845</v>
      </c>
    </row>
    <row r="1863" spans="1:2">
      <c r="A1863" s="1" t="s">
        <v>3071</v>
      </c>
      <c r="B1863">
        <v>43788</v>
      </c>
    </row>
    <row r="1864" spans="1:2">
      <c r="A1864" s="1" t="s">
        <v>3072</v>
      </c>
      <c r="B1864">
        <v>43831</v>
      </c>
    </row>
    <row r="1865" spans="1:2">
      <c r="A1865" s="1" t="s">
        <v>3073</v>
      </c>
      <c r="B1865">
        <v>43892</v>
      </c>
    </row>
    <row r="1866" spans="1:2">
      <c r="A1866" s="1" t="s">
        <v>3074</v>
      </c>
      <c r="B1866">
        <v>43830</v>
      </c>
    </row>
    <row r="1867" spans="1:2">
      <c r="A1867" s="1" t="s">
        <v>3075</v>
      </c>
      <c r="B1867">
        <v>43829</v>
      </c>
    </row>
    <row r="1868" spans="1:2">
      <c r="A1868" s="1" t="s">
        <v>3076</v>
      </c>
      <c r="B1868">
        <v>43830</v>
      </c>
    </row>
    <row r="1869" spans="1:2">
      <c r="A1869" s="1" t="s">
        <v>3077</v>
      </c>
      <c r="B1869">
        <v>43864</v>
      </c>
    </row>
    <row r="1870" spans="1:2">
      <c r="A1870" s="1" t="s">
        <v>3078</v>
      </c>
      <c r="B1870">
        <v>43654</v>
      </c>
    </row>
    <row r="1871" spans="1:2">
      <c r="A1871" s="1" t="s">
        <v>3079</v>
      </c>
      <c r="B1871">
        <v>43830</v>
      </c>
    </row>
    <row r="1872" spans="1:2">
      <c r="A1872" s="1" t="s">
        <v>3080</v>
      </c>
      <c r="B1872">
        <v>43675</v>
      </c>
    </row>
    <row r="1873" spans="1:2">
      <c r="A1873" s="1" t="s">
        <v>3081</v>
      </c>
      <c r="B1873">
        <v>43839</v>
      </c>
    </row>
    <row r="1874" spans="1:2">
      <c r="A1874" s="1" t="s">
        <v>3082</v>
      </c>
      <c r="B1874">
        <v>43819</v>
      </c>
    </row>
    <row r="1875" spans="1:2">
      <c r="A1875" s="1" t="s">
        <v>3083</v>
      </c>
      <c r="B1875">
        <v>43829</v>
      </c>
    </row>
    <row r="1876" spans="1:2">
      <c r="A1876" s="1" t="s">
        <v>3084</v>
      </c>
      <c r="B1876">
        <v>43830</v>
      </c>
    </row>
    <row r="1877" spans="1:2">
      <c r="A1877" s="1" t="s">
        <v>3085</v>
      </c>
      <c r="B1877" t="s">
        <v>637</v>
      </c>
    </row>
    <row r="1878" spans="1:2">
      <c r="A1878" s="1" t="s">
        <v>3086</v>
      </c>
      <c r="B1878">
        <v>43819</v>
      </c>
    </row>
    <row r="1879" spans="1:2">
      <c r="A1879" s="1" t="s">
        <v>3087</v>
      </c>
      <c r="B1879">
        <v>43805</v>
      </c>
    </row>
    <row r="1880" spans="1:2">
      <c r="A1880" s="1" t="s">
        <v>3088</v>
      </c>
      <c r="B1880">
        <v>43798</v>
      </c>
    </row>
    <row r="1881" spans="1:2">
      <c r="A1881" s="1" t="s">
        <v>3089</v>
      </c>
      <c r="B1881">
        <v>43817</v>
      </c>
    </row>
    <row r="1882" spans="1:2">
      <c r="A1882" s="1" t="s">
        <v>3090</v>
      </c>
      <c r="B1882">
        <v>43830</v>
      </c>
    </row>
    <row r="1883" spans="1:2">
      <c r="A1883" s="1" t="s">
        <v>3091</v>
      </c>
      <c r="B1883">
        <v>43759</v>
      </c>
    </row>
    <row r="1884" spans="1:2">
      <c r="A1884" s="1" t="s">
        <v>3092</v>
      </c>
      <c r="B1884">
        <v>43830</v>
      </c>
    </row>
    <row r="1885" spans="1:2">
      <c r="A1885" s="1" t="s">
        <v>3093</v>
      </c>
      <c r="B1885">
        <v>43836</v>
      </c>
    </row>
    <row r="1886" spans="1:2">
      <c r="A1886" s="1" t="s">
        <v>3094</v>
      </c>
      <c r="B1886">
        <v>43839</v>
      </c>
    </row>
    <row r="1887" spans="1:2">
      <c r="A1887" s="1" t="s">
        <v>3095</v>
      </c>
      <c r="B1887">
        <v>43802</v>
      </c>
    </row>
    <row r="1888" spans="1:2">
      <c r="A1888" s="1" t="s">
        <v>3096</v>
      </c>
      <c r="B1888">
        <v>43815</v>
      </c>
    </row>
    <row r="1889" spans="1:2">
      <c r="A1889" s="1" t="s">
        <v>3097</v>
      </c>
      <c r="B1889">
        <v>43832</v>
      </c>
    </row>
    <row r="1890" spans="1:2">
      <c r="A1890" s="1" t="s">
        <v>3098</v>
      </c>
      <c r="B1890">
        <v>43891</v>
      </c>
    </row>
    <row r="1891" spans="1:2">
      <c r="A1891" s="1" t="s">
        <v>3099</v>
      </c>
      <c r="B1891">
        <v>43862</v>
      </c>
    </row>
    <row r="1892" spans="1:2">
      <c r="A1892" s="1" t="s">
        <v>3100</v>
      </c>
      <c r="B1892">
        <v>43876</v>
      </c>
    </row>
    <row r="1893" spans="1:2">
      <c r="A1893" s="1" t="s">
        <v>3101</v>
      </c>
      <c r="B1893">
        <v>43753</v>
      </c>
    </row>
    <row r="1894" spans="1:2">
      <c r="A1894" s="1" t="s">
        <v>3102</v>
      </c>
      <c r="B1894">
        <v>43738</v>
      </c>
    </row>
    <row r="1895" spans="1:2">
      <c r="A1895" s="1" t="s">
        <v>3103</v>
      </c>
      <c r="B1895">
        <v>43830</v>
      </c>
    </row>
    <row r="1896" spans="1:2">
      <c r="A1896" s="1" t="s">
        <v>3104</v>
      </c>
      <c r="B1896">
        <v>43628</v>
      </c>
    </row>
    <row r="1897" spans="1:2">
      <c r="A1897" s="1" t="s">
        <v>3105</v>
      </c>
      <c r="B1897">
        <v>43805</v>
      </c>
    </row>
    <row r="1898" spans="1:2">
      <c r="A1898" s="1" t="s">
        <v>3106</v>
      </c>
      <c r="B1898">
        <v>43773</v>
      </c>
    </row>
    <row r="1899" spans="1:2">
      <c r="A1899" s="1" t="s">
        <v>3107</v>
      </c>
      <c r="B1899" t="s">
        <v>637</v>
      </c>
    </row>
    <row r="1900" spans="1:2">
      <c r="A1900" s="1" t="s">
        <v>3108</v>
      </c>
      <c r="B1900">
        <v>43654</v>
      </c>
    </row>
    <row r="1901" spans="1:2">
      <c r="A1901" s="1" t="s">
        <v>3109</v>
      </c>
      <c r="B1901">
        <v>43864</v>
      </c>
    </row>
    <row r="1902" spans="1:2">
      <c r="A1902" s="1" t="s">
        <v>586</v>
      </c>
      <c r="B1902">
        <v>43845</v>
      </c>
    </row>
    <row r="1903" spans="1:2">
      <c r="A1903" s="1" t="s">
        <v>3110</v>
      </c>
      <c r="B1903" t="s">
        <v>637</v>
      </c>
    </row>
    <row r="1904" spans="1:2">
      <c r="A1904" s="1" t="s">
        <v>3111</v>
      </c>
      <c r="B1904">
        <v>43830</v>
      </c>
    </row>
    <row r="1905" spans="1:2">
      <c r="A1905" s="1" t="s">
        <v>3112</v>
      </c>
      <c r="B1905">
        <v>43832</v>
      </c>
    </row>
    <row r="1906" spans="1:2">
      <c r="A1906" s="1" t="s">
        <v>509</v>
      </c>
      <c r="B1906">
        <v>43761</v>
      </c>
    </row>
    <row r="1907" spans="1:2">
      <c r="A1907" s="1" t="s">
        <v>3113</v>
      </c>
      <c r="B1907">
        <v>43864</v>
      </c>
    </row>
    <row r="1908" spans="1:2">
      <c r="A1908" s="1" t="s">
        <v>3114</v>
      </c>
      <c r="B1908">
        <v>43733</v>
      </c>
    </row>
    <row r="1909" spans="1:2">
      <c r="A1909" s="1" t="s">
        <v>3115</v>
      </c>
      <c r="B1909">
        <v>43830</v>
      </c>
    </row>
    <row r="1910" spans="1:2">
      <c r="A1910" s="1" t="s">
        <v>3116</v>
      </c>
      <c r="B1910">
        <v>43798</v>
      </c>
    </row>
    <row r="1911" spans="1:2">
      <c r="A1911" s="1" t="s">
        <v>3117</v>
      </c>
      <c r="B1911">
        <v>43809</v>
      </c>
    </row>
    <row r="1912" spans="1:2">
      <c r="A1912" s="1" t="s">
        <v>3118</v>
      </c>
      <c r="B1912">
        <v>43830</v>
      </c>
    </row>
    <row r="1913" spans="1:2">
      <c r="A1913" s="1" t="s">
        <v>3119</v>
      </c>
      <c r="B1913">
        <v>43819</v>
      </c>
    </row>
    <row r="1914" spans="1:2">
      <c r="A1914" s="1" t="s">
        <v>3120</v>
      </c>
      <c r="B1914">
        <v>43707</v>
      </c>
    </row>
    <row r="1915" spans="1:2">
      <c r="A1915" s="1" t="s">
        <v>3121</v>
      </c>
      <c r="B1915">
        <v>43837</v>
      </c>
    </row>
    <row r="1916" spans="1:2">
      <c r="A1916" s="1" t="s">
        <v>453</v>
      </c>
      <c r="B1916">
        <v>43845</v>
      </c>
    </row>
    <row r="1917" spans="1:2">
      <c r="A1917" s="1" t="s">
        <v>3122</v>
      </c>
      <c r="B1917">
        <v>43890</v>
      </c>
    </row>
    <row r="1918" spans="1:2">
      <c r="A1918" s="1" t="s">
        <v>3123</v>
      </c>
      <c r="B1918">
        <v>43819</v>
      </c>
    </row>
    <row r="1919" spans="1:2">
      <c r="A1919" s="1" t="s">
        <v>3124</v>
      </c>
      <c r="B1919">
        <v>43735</v>
      </c>
    </row>
    <row r="1920" spans="1:2">
      <c r="A1920" s="1" t="s">
        <v>3125</v>
      </c>
      <c r="B1920">
        <v>43831</v>
      </c>
    </row>
    <row r="1921" spans="1:2">
      <c r="A1921" s="1" t="s">
        <v>3126</v>
      </c>
      <c r="B1921">
        <v>43803</v>
      </c>
    </row>
    <row r="1922" spans="1:2">
      <c r="A1922" s="1" t="s">
        <v>3127</v>
      </c>
      <c r="B1922">
        <v>43825</v>
      </c>
    </row>
    <row r="1923" spans="1:2">
      <c r="A1923" s="1" t="s">
        <v>3128</v>
      </c>
      <c r="B1923">
        <v>43831</v>
      </c>
    </row>
    <row r="1924" spans="1:2">
      <c r="A1924" s="1" t="s">
        <v>3129</v>
      </c>
      <c r="B1924">
        <v>43812</v>
      </c>
    </row>
    <row r="1925" spans="1:2">
      <c r="A1925" s="1" t="s">
        <v>3130</v>
      </c>
      <c r="B1925">
        <v>43830</v>
      </c>
    </row>
    <row r="1926" spans="1:2">
      <c r="A1926" s="1" t="s">
        <v>3131</v>
      </c>
      <c r="B1926">
        <v>43798</v>
      </c>
    </row>
    <row r="1927" spans="1:2">
      <c r="A1927" s="1" t="s">
        <v>3132</v>
      </c>
      <c r="B1927" t="s">
        <v>637</v>
      </c>
    </row>
    <row r="1928" spans="1:2">
      <c r="A1928" s="1" t="s">
        <v>3133</v>
      </c>
      <c r="B1928">
        <v>43423</v>
      </c>
    </row>
    <row r="1929" spans="1:2">
      <c r="A1929" s="1" t="s">
        <v>3134</v>
      </c>
      <c r="B1929" t="s">
        <v>637</v>
      </c>
    </row>
    <row r="1930" spans="1:2">
      <c r="A1930" s="1" t="s">
        <v>3135</v>
      </c>
      <c r="B1930">
        <v>43784</v>
      </c>
    </row>
    <row r="1931" spans="1:2">
      <c r="A1931" s="1" t="s">
        <v>3136</v>
      </c>
      <c r="B1931">
        <v>43831</v>
      </c>
    </row>
    <row r="1932" spans="1:2">
      <c r="A1932" s="1" t="s">
        <v>3137</v>
      </c>
      <c r="B1932">
        <v>43830</v>
      </c>
    </row>
    <row r="1933" spans="1:2">
      <c r="A1933" s="1" t="s">
        <v>499</v>
      </c>
      <c r="B1933">
        <v>43809</v>
      </c>
    </row>
    <row r="1934" spans="1:2">
      <c r="A1934" s="1" t="s">
        <v>3138</v>
      </c>
      <c r="B1934">
        <v>43831</v>
      </c>
    </row>
    <row r="1935" spans="1:2">
      <c r="A1935" s="1" t="s">
        <v>3139</v>
      </c>
      <c r="B1935">
        <v>43892</v>
      </c>
    </row>
    <row r="1936" spans="1:2">
      <c r="A1936" s="1" t="s">
        <v>3140</v>
      </c>
      <c r="B1936">
        <v>43798</v>
      </c>
    </row>
    <row r="1937" spans="1:2">
      <c r="A1937" s="1" t="s">
        <v>3141</v>
      </c>
      <c r="B1937">
        <v>43830</v>
      </c>
    </row>
    <row r="1938" spans="1:2">
      <c r="A1938" s="1" t="s">
        <v>497</v>
      </c>
      <c r="B1938">
        <v>43847</v>
      </c>
    </row>
    <row r="1939" spans="1:2">
      <c r="A1939" s="1" t="s">
        <v>3142</v>
      </c>
      <c r="B1939">
        <v>43602</v>
      </c>
    </row>
    <row r="1940" spans="1:2">
      <c r="A1940" s="1" t="s">
        <v>3143</v>
      </c>
      <c r="B1940">
        <v>43830</v>
      </c>
    </row>
    <row r="1941" spans="1:2">
      <c r="A1941" s="1" t="s">
        <v>3144</v>
      </c>
      <c r="B1941">
        <v>43465</v>
      </c>
    </row>
    <row r="1942" spans="1:2">
      <c r="A1942" s="1" t="s">
        <v>3145</v>
      </c>
      <c r="B1942">
        <v>43735</v>
      </c>
    </row>
    <row r="1943" spans="1:2">
      <c r="A1943" s="1" t="s">
        <v>3146</v>
      </c>
      <c r="B1943">
        <v>43805</v>
      </c>
    </row>
    <row r="1944" spans="1:2">
      <c r="A1944" s="1" t="s">
        <v>3147</v>
      </c>
      <c r="B1944">
        <v>43826</v>
      </c>
    </row>
    <row r="1945" spans="1:2">
      <c r="A1945" s="1" t="s">
        <v>3148</v>
      </c>
      <c r="B1945">
        <v>43796</v>
      </c>
    </row>
    <row r="1946" spans="1:2">
      <c r="A1946" s="1" t="s">
        <v>3149</v>
      </c>
      <c r="B1946">
        <v>43784</v>
      </c>
    </row>
    <row r="1947" spans="1:2">
      <c r="A1947" s="1" t="s">
        <v>3150</v>
      </c>
      <c r="B1947">
        <v>43830</v>
      </c>
    </row>
    <row r="1948" spans="1:2">
      <c r="A1948" s="1" t="s">
        <v>3151</v>
      </c>
      <c r="B1948">
        <v>43711</v>
      </c>
    </row>
    <row r="1949" spans="1:2">
      <c r="A1949" s="1" t="s">
        <v>602</v>
      </c>
      <c r="B1949">
        <v>43679</v>
      </c>
    </row>
    <row r="1950" spans="1:2">
      <c r="A1950" s="1" t="s">
        <v>608</v>
      </c>
      <c r="B1950">
        <v>43815</v>
      </c>
    </row>
    <row r="1951" spans="1:2">
      <c r="A1951" s="1" t="s">
        <v>3152</v>
      </c>
      <c r="B1951">
        <v>43890</v>
      </c>
    </row>
    <row r="1952" spans="1:2">
      <c r="A1952" s="1" t="s">
        <v>3153</v>
      </c>
      <c r="B1952">
        <v>43626</v>
      </c>
    </row>
    <row r="1953" spans="1:2">
      <c r="A1953" s="1" t="s">
        <v>3154</v>
      </c>
      <c r="B1953">
        <v>43833</v>
      </c>
    </row>
    <row r="1954" spans="1:2">
      <c r="A1954" s="1" t="s">
        <v>3155</v>
      </c>
      <c r="B1954">
        <v>43753</v>
      </c>
    </row>
    <row r="1955" spans="1:2">
      <c r="A1955" s="1" t="s">
        <v>3156</v>
      </c>
      <c r="B1955">
        <v>43805</v>
      </c>
    </row>
    <row r="1956" spans="1:2">
      <c r="A1956" s="1" t="s">
        <v>3157</v>
      </c>
      <c r="B1956">
        <v>43784</v>
      </c>
    </row>
    <row r="1957" spans="1:2">
      <c r="A1957" s="1" t="s">
        <v>3158</v>
      </c>
      <c r="B1957">
        <v>43830</v>
      </c>
    </row>
    <row r="1958" spans="1:2">
      <c r="A1958" s="1" t="s">
        <v>306</v>
      </c>
      <c r="B1958">
        <v>43832</v>
      </c>
    </row>
    <row r="1959" spans="1:2">
      <c r="A1959" s="1" t="s">
        <v>3159</v>
      </c>
      <c r="B1959">
        <v>43784</v>
      </c>
    </row>
    <row r="1960" spans="1:2">
      <c r="A1960" s="1" t="s">
        <v>3160</v>
      </c>
      <c r="B1960">
        <v>43798</v>
      </c>
    </row>
    <row r="1961" spans="1:2">
      <c r="A1961" s="1" t="s">
        <v>3161</v>
      </c>
      <c r="B1961">
        <v>43830</v>
      </c>
    </row>
    <row r="1962" spans="1:2">
      <c r="A1962" s="1" t="s">
        <v>3162</v>
      </c>
      <c r="B1962">
        <v>43830</v>
      </c>
    </row>
    <row r="1963" spans="1:2">
      <c r="A1963" s="1" t="s">
        <v>3163</v>
      </c>
      <c r="B1963">
        <v>43845</v>
      </c>
    </row>
    <row r="1964" spans="1:2">
      <c r="A1964" s="1" t="s">
        <v>3164</v>
      </c>
      <c r="B1964">
        <v>43830</v>
      </c>
    </row>
    <row r="1965" spans="1:2">
      <c r="A1965" s="1" t="s">
        <v>3165</v>
      </c>
      <c r="B1965">
        <v>43830</v>
      </c>
    </row>
    <row r="1966" spans="1:2">
      <c r="A1966" s="1" t="s">
        <v>3166</v>
      </c>
      <c r="B1966">
        <v>43812</v>
      </c>
    </row>
    <row r="1967" spans="1:2">
      <c r="A1967" s="1" t="s">
        <v>3167</v>
      </c>
      <c r="B1967">
        <v>43818</v>
      </c>
    </row>
    <row r="1968" spans="1:2">
      <c r="A1968" s="1" t="s">
        <v>3168</v>
      </c>
      <c r="B1968">
        <v>43825</v>
      </c>
    </row>
    <row r="1969" spans="1:2">
      <c r="A1969" s="1" t="s">
        <v>3169</v>
      </c>
      <c r="B1969">
        <v>43749</v>
      </c>
    </row>
    <row r="1970" spans="1:2">
      <c r="A1970" s="1" t="s">
        <v>3170</v>
      </c>
      <c r="B1970">
        <v>43832</v>
      </c>
    </row>
    <row r="1971" spans="1:2">
      <c r="A1971" s="1" t="s">
        <v>3171</v>
      </c>
      <c r="B1971">
        <v>43755</v>
      </c>
    </row>
    <row r="1972" spans="1:2">
      <c r="A1972" s="1" t="s">
        <v>3172</v>
      </c>
      <c r="B1972">
        <v>43861</v>
      </c>
    </row>
    <row r="1973" spans="1:2">
      <c r="A1973" s="1" t="s">
        <v>3173</v>
      </c>
      <c r="B1973">
        <v>43830</v>
      </c>
    </row>
    <row r="1974" spans="1:2">
      <c r="A1974" s="1" t="s">
        <v>3174</v>
      </c>
      <c r="B1974">
        <v>43830</v>
      </c>
    </row>
    <row r="1975" spans="1:2">
      <c r="A1975" s="1" t="s">
        <v>3175</v>
      </c>
      <c r="B1975">
        <v>43753</v>
      </c>
    </row>
    <row r="1976" spans="1:2">
      <c r="A1976" s="1" t="s">
        <v>3176</v>
      </c>
      <c r="B1976">
        <v>43892</v>
      </c>
    </row>
    <row r="1977" spans="1:2">
      <c r="A1977" s="1" t="s">
        <v>3177</v>
      </c>
      <c r="B1977">
        <v>43862</v>
      </c>
    </row>
    <row r="1978" spans="1:2">
      <c r="A1978" s="1" t="s">
        <v>3178</v>
      </c>
      <c r="B1978">
        <v>43819</v>
      </c>
    </row>
    <row r="1979" spans="1:2">
      <c r="A1979" s="1" t="s">
        <v>3179</v>
      </c>
      <c r="B1979">
        <v>43707</v>
      </c>
    </row>
    <row r="1980" spans="1:2">
      <c r="A1980" s="1" t="s">
        <v>3180</v>
      </c>
      <c r="B1980">
        <v>43727</v>
      </c>
    </row>
    <row r="1981" spans="1:2">
      <c r="A1981" s="1" t="s">
        <v>3181</v>
      </c>
      <c r="B1981">
        <v>43739</v>
      </c>
    </row>
    <row r="1982" spans="1:2">
      <c r="A1982" s="1" t="s">
        <v>3182</v>
      </c>
      <c r="B1982">
        <v>43822</v>
      </c>
    </row>
    <row r="1983" spans="1:2">
      <c r="A1983" s="1" t="s">
        <v>3183</v>
      </c>
      <c r="B1983">
        <v>43832</v>
      </c>
    </row>
    <row r="1984" spans="1:2">
      <c r="A1984" s="1" t="s">
        <v>3184</v>
      </c>
      <c r="B1984">
        <v>43830</v>
      </c>
    </row>
    <row r="1985" spans="1:2">
      <c r="A1985" s="1" t="s">
        <v>3185</v>
      </c>
      <c r="B1985">
        <v>43845</v>
      </c>
    </row>
    <row r="1986" spans="1:2">
      <c r="A1986" s="1" t="s">
        <v>3186</v>
      </c>
      <c r="B1986">
        <v>43826</v>
      </c>
    </row>
    <row r="1987" spans="1:2">
      <c r="A1987" s="1" t="s">
        <v>3187</v>
      </c>
      <c r="B1987">
        <v>43805</v>
      </c>
    </row>
    <row r="1988" spans="1:2">
      <c r="A1988" s="1" t="s">
        <v>3188</v>
      </c>
      <c r="B1988">
        <v>43770</v>
      </c>
    </row>
    <row r="1989" spans="1:2">
      <c r="A1989" s="1" t="s">
        <v>3189</v>
      </c>
      <c r="B1989" t="s">
        <v>637</v>
      </c>
    </row>
    <row r="1990" spans="1:2">
      <c r="A1990" s="1" t="s">
        <v>3190</v>
      </c>
      <c r="B1990">
        <v>43830</v>
      </c>
    </row>
    <row r="1991" spans="1:2">
      <c r="A1991" s="1" t="s">
        <v>3191</v>
      </c>
      <c r="B1991">
        <v>43819</v>
      </c>
    </row>
    <row r="1992" spans="1:2">
      <c r="A1992" s="1" t="s">
        <v>3192</v>
      </c>
      <c r="B1992">
        <v>43830</v>
      </c>
    </row>
    <row r="1993" spans="1:2">
      <c r="A1993" s="1" t="s">
        <v>3193</v>
      </c>
      <c r="B1993" t="s">
        <v>637</v>
      </c>
    </row>
    <row r="1994" spans="1:2">
      <c r="A1994" s="1" t="s">
        <v>3194</v>
      </c>
      <c r="B1994">
        <v>43815</v>
      </c>
    </row>
    <row r="1995" spans="1:2">
      <c r="A1995" s="1" t="s">
        <v>3195</v>
      </c>
      <c r="B1995">
        <v>43818</v>
      </c>
    </row>
    <row r="1996" spans="1:2">
      <c r="A1996" s="1" t="s">
        <v>3196</v>
      </c>
      <c r="B1996">
        <v>43830</v>
      </c>
    </row>
    <row r="1997" spans="1:2">
      <c r="A1997" s="1" t="s">
        <v>190</v>
      </c>
      <c r="B1997">
        <v>43832</v>
      </c>
    </row>
    <row r="1998" spans="1:2">
      <c r="A1998" s="1" t="s">
        <v>3197</v>
      </c>
      <c r="B1998">
        <v>43845</v>
      </c>
    </row>
    <row r="1999" spans="1:2">
      <c r="A1999" s="1" t="s">
        <v>3198</v>
      </c>
      <c r="B1999">
        <v>43822</v>
      </c>
    </row>
    <row r="2000" spans="1:2">
      <c r="A2000" s="1" t="s">
        <v>485</v>
      </c>
      <c r="B2000">
        <v>43819</v>
      </c>
    </row>
    <row r="2001" spans="1:2">
      <c r="A2001" s="1" t="s">
        <v>3199</v>
      </c>
      <c r="B2001">
        <v>43794</v>
      </c>
    </row>
    <row r="2002" spans="1:2">
      <c r="A2002" s="1" t="s">
        <v>3200</v>
      </c>
      <c r="B2002">
        <v>43830</v>
      </c>
    </row>
    <row r="2003" spans="1:2">
      <c r="A2003" s="1" t="s">
        <v>3201</v>
      </c>
      <c r="B2003">
        <v>43829</v>
      </c>
    </row>
    <row r="2004" spans="1:2">
      <c r="A2004" s="1" t="s">
        <v>3202</v>
      </c>
      <c r="B2004">
        <v>43818</v>
      </c>
    </row>
    <row r="2005" spans="1:2">
      <c r="A2005" s="1" t="s">
        <v>3203</v>
      </c>
      <c r="B2005">
        <v>43830</v>
      </c>
    </row>
    <row r="2006" spans="1:2">
      <c r="A2006" s="1" t="s">
        <v>3204</v>
      </c>
      <c r="B2006">
        <v>43798</v>
      </c>
    </row>
    <row r="2007" spans="1:2">
      <c r="A2007" s="1" t="s">
        <v>3205</v>
      </c>
      <c r="B2007">
        <v>43815</v>
      </c>
    </row>
    <row r="2008" spans="1:2">
      <c r="A2008" s="1" t="s">
        <v>3206</v>
      </c>
      <c r="B2008">
        <v>43832</v>
      </c>
    </row>
    <row r="2009" spans="1:2">
      <c r="A2009" s="1" t="s">
        <v>3207</v>
      </c>
      <c r="B2009" t="s">
        <v>637</v>
      </c>
    </row>
    <row r="2010" spans="1:2">
      <c r="A2010" s="1" t="s">
        <v>3208</v>
      </c>
      <c r="B2010" t="s">
        <v>637</v>
      </c>
    </row>
    <row r="2011" spans="1:2">
      <c r="A2011" s="1" t="s">
        <v>3209</v>
      </c>
      <c r="B2011">
        <v>43788</v>
      </c>
    </row>
    <row r="2012" spans="1:2">
      <c r="A2012" s="1" t="s">
        <v>3210</v>
      </c>
      <c r="B2012">
        <v>43873</v>
      </c>
    </row>
    <row r="2013" spans="1:2">
      <c r="A2013" s="1" t="s">
        <v>3211</v>
      </c>
      <c r="B2013">
        <v>43733</v>
      </c>
    </row>
    <row r="2014" spans="1:2">
      <c r="A2014" s="1" t="s">
        <v>3212</v>
      </c>
      <c r="B2014">
        <v>43735</v>
      </c>
    </row>
    <row r="2015" spans="1:2">
      <c r="A2015" s="1" t="s">
        <v>3213</v>
      </c>
      <c r="B2015">
        <v>43819</v>
      </c>
    </row>
    <row r="2016" spans="1:2">
      <c r="A2016" s="1" t="s">
        <v>3214</v>
      </c>
      <c r="B2016">
        <v>43853</v>
      </c>
    </row>
    <row r="2017" spans="1:2">
      <c r="A2017" s="1" t="s">
        <v>3215</v>
      </c>
      <c r="B2017">
        <v>43783</v>
      </c>
    </row>
    <row r="2018" spans="1:2">
      <c r="A2018" s="1" t="s">
        <v>3216</v>
      </c>
      <c r="B2018">
        <v>43830</v>
      </c>
    </row>
    <row r="2019" spans="1:2">
      <c r="A2019" s="1" t="s">
        <v>3217</v>
      </c>
      <c r="B2019">
        <v>43832</v>
      </c>
    </row>
    <row r="2020" spans="1:2">
      <c r="A2020" s="1" t="s">
        <v>3218</v>
      </c>
      <c r="B2020">
        <v>43803</v>
      </c>
    </row>
    <row r="2021" spans="1:2">
      <c r="A2021" s="1" t="s">
        <v>3219</v>
      </c>
      <c r="B2021">
        <v>43845</v>
      </c>
    </row>
    <row r="2022" spans="1:2">
      <c r="A2022" s="1" t="s">
        <v>3220</v>
      </c>
      <c r="B2022">
        <v>43753</v>
      </c>
    </row>
    <row r="2023" spans="1:2">
      <c r="A2023" s="1" t="s">
        <v>3221</v>
      </c>
      <c r="B2023">
        <v>43798</v>
      </c>
    </row>
    <row r="2024" spans="1:2">
      <c r="A2024" s="1" t="s">
        <v>3222</v>
      </c>
      <c r="B2024">
        <v>43728</v>
      </c>
    </row>
    <row r="2025" spans="1:2">
      <c r="A2025" s="1" t="s">
        <v>3223</v>
      </c>
      <c r="B2025">
        <v>43794</v>
      </c>
    </row>
    <row r="2026" spans="1:2">
      <c r="A2026" s="1" t="s">
        <v>3224</v>
      </c>
      <c r="B2026">
        <v>43829</v>
      </c>
    </row>
    <row r="2027" spans="1:2">
      <c r="A2027" s="1" t="s">
        <v>3225</v>
      </c>
      <c r="B2027">
        <v>43830</v>
      </c>
    </row>
    <row r="2028" spans="1:2">
      <c r="A2028" s="1" t="s">
        <v>3226</v>
      </c>
      <c r="B2028" t="s">
        <v>637</v>
      </c>
    </row>
    <row r="2029" spans="1:2">
      <c r="A2029" s="1" t="s">
        <v>3227</v>
      </c>
      <c r="B2029">
        <v>43812</v>
      </c>
    </row>
    <row r="2030" spans="1:2">
      <c r="A2030" s="1" t="s">
        <v>3228</v>
      </c>
      <c r="B2030">
        <v>43830</v>
      </c>
    </row>
    <row r="2031" spans="1:2">
      <c r="A2031" s="1" t="s">
        <v>3229</v>
      </c>
      <c r="B2031" t="s">
        <v>637</v>
      </c>
    </row>
    <row r="2032" spans="1:2">
      <c r="A2032" s="1" t="s">
        <v>3230</v>
      </c>
      <c r="B2032">
        <v>43830</v>
      </c>
    </row>
    <row r="2033" spans="1:2">
      <c r="A2033" s="1" t="s">
        <v>3231</v>
      </c>
      <c r="B2033">
        <v>43591</v>
      </c>
    </row>
    <row r="2034" spans="1:2">
      <c r="A2034" s="1" t="s">
        <v>3232</v>
      </c>
      <c r="B2034">
        <v>43805</v>
      </c>
    </row>
    <row r="2035" spans="1:2">
      <c r="A2035" s="1" t="s">
        <v>3233</v>
      </c>
      <c r="B2035">
        <v>43831</v>
      </c>
    </row>
    <row r="2036" spans="1:2">
      <c r="A2036" s="1" t="s">
        <v>3234</v>
      </c>
      <c r="B2036">
        <v>43808</v>
      </c>
    </row>
    <row r="2037" spans="1:2">
      <c r="A2037" s="1" t="s">
        <v>3235</v>
      </c>
      <c r="B2037">
        <v>43876</v>
      </c>
    </row>
    <row r="2038" spans="1:2">
      <c r="A2038" s="1" t="s">
        <v>3236</v>
      </c>
      <c r="B2038">
        <v>43613</v>
      </c>
    </row>
    <row r="2039" spans="1:2">
      <c r="A2039" s="1" t="s">
        <v>3237</v>
      </c>
      <c r="B2039">
        <v>43832</v>
      </c>
    </row>
    <row r="2040" spans="1:2">
      <c r="A2040" s="1" t="s">
        <v>3238</v>
      </c>
      <c r="B2040">
        <v>43830</v>
      </c>
    </row>
    <row r="2041" spans="1:2">
      <c r="A2041" s="1" t="s">
        <v>420</v>
      </c>
      <c r="B2041">
        <v>43819</v>
      </c>
    </row>
    <row r="2042" spans="1:2">
      <c r="A2042" s="1" t="s">
        <v>3239</v>
      </c>
      <c r="B2042">
        <v>43830</v>
      </c>
    </row>
    <row r="2043" spans="1:2">
      <c r="A2043" s="1" t="s">
        <v>3240</v>
      </c>
      <c r="B2043">
        <v>43753</v>
      </c>
    </row>
    <row r="2044" spans="1:2">
      <c r="A2044" s="1" t="s">
        <v>336</v>
      </c>
      <c r="B2044">
        <v>43826</v>
      </c>
    </row>
    <row r="2045" spans="1:2">
      <c r="A2045" s="1" t="s">
        <v>3241</v>
      </c>
      <c r="B2045">
        <v>43773</v>
      </c>
    </row>
    <row r="2046" spans="1:2">
      <c r="A2046" s="1" t="s">
        <v>257</v>
      </c>
      <c r="B2046">
        <v>43819</v>
      </c>
    </row>
    <row r="2047" spans="1:2">
      <c r="A2047" s="1" t="s">
        <v>595</v>
      </c>
      <c r="B2047">
        <v>43790</v>
      </c>
    </row>
    <row r="2048" spans="1:2">
      <c r="A2048" s="1" t="s">
        <v>3242</v>
      </c>
      <c r="B2048">
        <v>43830</v>
      </c>
    </row>
    <row r="2049" spans="1:2">
      <c r="A2049" s="1" t="s">
        <v>3243</v>
      </c>
      <c r="B2049">
        <v>43735</v>
      </c>
    </row>
    <row r="2050" spans="1:2">
      <c r="A2050" s="1" t="s">
        <v>3244</v>
      </c>
      <c r="B2050">
        <v>43636</v>
      </c>
    </row>
    <row r="2051" spans="1:2">
      <c r="A2051" s="1" t="s">
        <v>3245</v>
      </c>
      <c r="B2051">
        <v>43804</v>
      </c>
    </row>
    <row r="2052" spans="1:2">
      <c r="A2052" s="1" t="s">
        <v>3246</v>
      </c>
      <c r="B2052">
        <v>43735</v>
      </c>
    </row>
    <row r="2053" spans="1:2">
      <c r="A2053" s="1" t="s">
        <v>3247</v>
      </c>
      <c r="B2053">
        <v>43735</v>
      </c>
    </row>
    <row r="2054" spans="1:2">
      <c r="A2054" s="1" t="s">
        <v>3248</v>
      </c>
      <c r="B2054">
        <v>43845</v>
      </c>
    </row>
    <row r="2055" spans="1:2">
      <c r="A2055" s="1" t="s">
        <v>3249</v>
      </c>
      <c r="B2055">
        <v>43741</v>
      </c>
    </row>
    <row r="2056" spans="1:2">
      <c r="A2056" s="1" t="s">
        <v>3250</v>
      </c>
      <c r="B2056">
        <v>43845</v>
      </c>
    </row>
    <row r="2057" spans="1:2">
      <c r="A2057" s="1" t="s">
        <v>3251</v>
      </c>
      <c r="B2057">
        <v>43830</v>
      </c>
    </row>
    <row r="2058" spans="1:2">
      <c r="A2058" s="1" t="s">
        <v>3252</v>
      </c>
      <c r="B2058">
        <v>43815</v>
      </c>
    </row>
    <row r="2059" spans="1:2">
      <c r="A2059" s="1" t="s">
        <v>3253</v>
      </c>
      <c r="B2059">
        <v>43839</v>
      </c>
    </row>
    <row r="2060" spans="1:2">
      <c r="A2060" s="1" t="s">
        <v>3254</v>
      </c>
      <c r="B2060">
        <v>43655</v>
      </c>
    </row>
    <row r="2061" spans="1:2">
      <c r="A2061" s="1" t="s">
        <v>3255</v>
      </c>
      <c r="B2061">
        <v>43845</v>
      </c>
    </row>
    <row r="2062" spans="1:2">
      <c r="A2062" s="1" t="s">
        <v>3256</v>
      </c>
      <c r="B2062">
        <v>43818</v>
      </c>
    </row>
    <row r="2063" spans="1:2">
      <c r="A2063" s="1" t="s">
        <v>3257</v>
      </c>
      <c r="B2063">
        <v>43832</v>
      </c>
    </row>
    <row r="2064" spans="1:2">
      <c r="A2064" s="1" t="s">
        <v>3258</v>
      </c>
      <c r="B2064">
        <v>43826</v>
      </c>
    </row>
    <row r="2065" spans="1:2">
      <c r="A2065" s="1" t="s">
        <v>3259</v>
      </c>
      <c r="B2065">
        <v>43830</v>
      </c>
    </row>
    <row r="2066" spans="1:2">
      <c r="A2066" s="1" t="s">
        <v>3260</v>
      </c>
      <c r="B2066">
        <v>43830</v>
      </c>
    </row>
    <row r="2067" spans="1:2">
      <c r="A2067" s="1" t="s">
        <v>552</v>
      </c>
      <c r="B2067">
        <v>43825</v>
      </c>
    </row>
    <row r="2068" spans="1:2">
      <c r="A2068" s="1" t="s">
        <v>3261</v>
      </c>
      <c r="B2068">
        <v>43818</v>
      </c>
    </row>
    <row r="2069" spans="1:2">
      <c r="A2069" s="1" t="s">
        <v>3262</v>
      </c>
      <c r="B2069">
        <v>43819</v>
      </c>
    </row>
    <row r="2070" spans="1:2">
      <c r="A2070" s="1" t="s">
        <v>3263</v>
      </c>
      <c r="B2070">
        <v>43791</v>
      </c>
    </row>
    <row r="2071" spans="1:2">
      <c r="A2071" s="1" t="s">
        <v>3264</v>
      </c>
      <c r="B2071">
        <v>43831</v>
      </c>
    </row>
    <row r="2072" spans="1:2">
      <c r="A2072" s="1" t="s">
        <v>3265</v>
      </c>
      <c r="B2072">
        <v>43845</v>
      </c>
    </row>
    <row r="2073" spans="1:2">
      <c r="A2073" s="1" t="s">
        <v>3266</v>
      </c>
      <c r="B2073">
        <v>43843</v>
      </c>
    </row>
    <row r="2074" spans="1:2">
      <c r="A2074" s="1" t="s">
        <v>3267</v>
      </c>
      <c r="B2074">
        <v>43800</v>
      </c>
    </row>
    <row r="2075" spans="1:2">
      <c r="A2075" s="1" t="s">
        <v>3268</v>
      </c>
      <c r="B2075">
        <v>43816</v>
      </c>
    </row>
    <row r="2076" spans="1:2">
      <c r="A2076" s="1" t="s">
        <v>3269</v>
      </c>
      <c r="B2076">
        <v>43626</v>
      </c>
    </row>
    <row r="2077" spans="1:2">
      <c r="A2077" s="1" t="s">
        <v>3270</v>
      </c>
      <c r="B2077">
        <v>43798</v>
      </c>
    </row>
    <row r="2078" spans="1:2">
      <c r="A2078" s="1" t="s">
        <v>3271</v>
      </c>
      <c r="B2078">
        <v>43781</v>
      </c>
    </row>
    <row r="2079" spans="1:2">
      <c r="A2079" s="1" t="s">
        <v>3272</v>
      </c>
      <c r="B2079">
        <v>43753</v>
      </c>
    </row>
    <row r="2080" spans="1:2">
      <c r="A2080" s="1" t="s">
        <v>3273</v>
      </c>
      <c r="B2080">
        <v>43812</v>
      </c>
    </row>
    <row r="2081" spans="1:2">
      <c r="A2081" s="1" t="s">
        <v>3274</v>
      </c>
      <c r="B2081">
        <v>43770</v>
      </c>
    </row>
    <row r="2082" spans="1:2">
      <c r="A2082" s="1" t="s">
        <v>3275</v>
      </c>
      <c r="B2082">
        <v>43832</v>
      </c>
    </row>
    <row r="2083" spans="1:2">
      <c r="A2083" s="1" t="s">
        <v>3276</v>
      </c>
      <c r="B2083">
        <v>43854</v>
      </c>
    </row>
    <row r="2084" spans="1:2">
      <c r="A2084" s="1" t="s">
        <v>3277</v>
      </c>
      <c r="B2084">
        <v>43809</v>
      </c>
    </row>
    <row r="2085" spans="1:2">
      <c r="A2085" s="1" t="s">
        <v>3278</v>
      </c>
      <c r="B2085">
        <v>43769</v>
      </c>
    </row>
    <row r="2086" spans="1:2">
      <c r="A2086" s="1" t="s">
        <v>3279</v>
      </c>
      <c r="B2086">
        <v>43801</v>
      </c>
    </row>
    <row r="2087" spans="1:2">
      <c r="A2087" s="1" t="s">
        <v>3280</v>
      </c>
      <c r="B2087">
        <v>43830</v>
      </c>
    </row>
    <row r="2088" spans="1:2">
      <c r="A2088" s="1" t="s">
        <v>3281</v>
      </c>
      <c r="B2088">
        <v>43690</v>
      </c>
    </row>
    <row r="2089" spans="1:2">
      <c r="A2089" s="1" t="s">
        <v>312</v>
      </c>
      <c r="B2089">
        <v>43830</v>
      </c>
    </row>
    <row r="2090" spans="1:2">
      <c r="A2090" s="1" t="s">
        <v>3282</v>
      </c>
      <c r="B2090">
        <v>43818</v>
      </c>
    </row>
    <row r="2091" spans="1:2">
      <c r="A2091" s="1" t="s">
        <v>3283</v>
      </c>
      <c r="B2091">
        <v>43678</v>
      </c>
    </row>
    <row r="2092" spans="1:2">
      <c r="A2092" s="1" t="s">
        <v>3284</v>
      </c>
      <c r="B2092">
        <v>43661</v>
      </c>
    </row>
    <row r="2093" spans="1:2">
      <c r="A2093" s="1" t="s">
        <v>145</v>
      </c>
      <c r="B2093">
        <v>43832</v>
      </c>
    </row>
    <row r="2094" spans="1:2">
      <c r="A2094" s="1" t="s">
        <v>3285</v>
      </c>
      <c r="B2094">
        <v>43830</v>
      </c>
    </row>
    <row r="2095" spans="1:2">
      <c r="A2095" s="1" t="s">
        <v>3286</v>
      </c>
      <c r="B2095">
        <v>43831</v>
      </c>
    </row>
    <row r="2096" spans="1:2">
      <c r="A2096" s="1" t="s">
        <v>3287</v>
      </c>
      <c r="B2096">
        <v>43818</v>
      </c>
    </row>
    <row r="2097" spans="1:2">
      <c r="A2097" s="1" t="s">
        <v>3288</v>
      </c>
      <c r="B2097">
        <v>43854</v>
      </c>
    </row>
    <row r="2098" spans="1:2">
      <c r="A2098" s="1" t="s">
        <v>468</v>
      </c>
      <c r="B2098">
        <v>43815</v>
      </c>
    </row>
    <row r="2099" spans="1:2">
      <c r="A2099" s="1" t="s">
        <v>3289</v>
      </c>
      <c r="B2099">
        <v>43738</v>
      </c>
    </row>
    <row r="2100" spans="1:2">
      <c r="A2100" s="1" t="s">
        <v>432</v>
      </c>
      <c r="B2100">
        <v>43802</v>
      </c>
    </row>
    <row r="2101" spans="1:2">
      <c r="A2101" s="1" t="s">
        <v>440</v>
      </c>
      <c r="B2101">
        <v>43829</v>
      </c>
    </row>
    <row r="2102" spans="1:2">
      <c r="A2102" s="1" t="s">
        <v>3290</v>
      </c>
      <c r="B2102">
        <v>43864</v>
      </c>
    </row>
    <row r="2103" spans="1:2">
      <c r="A2103" s="1" t="s">
        <v>3291</v>
      </c>
      <c r="B2103">
        <v>43735</v>
      </c>
    </row>
    <row r="2104" spans="1:2">
      <c r="A2104" s="1" t="s">
        <v>3292</v>
      </c>
      <c r="B2104">
        <v>43801</v>
      </c>
    </row>
    <row r="2105" spans="1:2">
      <c r="A2105" s="1" t="s">
        <v>3293</v>
      </c>
      <c r="B2105">
        <v>43831</v>
      </c>
    </row>
    <row r="2106" spans="1:2">
      <c r="A2106" s="1" t="s">
        <v>3294</v>
      </c>
      <c r="B2106">
        <v>43781</v>
      </c>
    </row>
    <row r="2107" spans="1:2">
      <c r="A2107" s="1" t="s">
        <v>3295</v>
      </c>
      <c r="B2107">
        <v>43830</v>
      </c>
    </row>
    <row r="2108" spans="1:2">
      <c r="A2108" s="1" t="s">
        <v>3296</v>
      </c>
      <c r="B2108">
        <v>43781</v>
      </c>
    </row>
    <row r="2109" spans="1:2">
      <c r="A2109" s="1" t="s">
        <v>3297</v>
      </c>
      <c r="B2109">
        <v>43738</v>
      </c>
    </row>
    <row r="2110" spans="1:2">
      <c r="A2110" s="1" t="s">
        <v>443</v>
      </c>
      <c r="B2110">
        <v>43808</v>
      </c>
    </row>
    <row r="2111" spans="1:2">
      <c r="A2111" s="1" t="s">
        <v>3298</v>
      </c>
      <c r="B2111">
        <v>43800</v>
      </c>
    </row>
    <row r="2112" spans="1:2">
      <c r="A2112" s="1" t="s">
        <v>3299</v>
      </c>
      <c r="B2112">
        <v>43770</v>
      </c>
    </row>
    <row r="2113" spans="1:2">
      <c r="A2113" s="1" t="s">
        <v>3300</v>
      </c>
      <c r="B2113">
        <v>43749</v>
      </c>
    </row>
    <row r="2114" spans="1:2">
      <c r="A2114" s="1" t="s">
        <v>3301</v>
      </c>
      <c r="B2114">
        <v>43864</v>
      </c>
    </row>
    <row r="2115" spans="1:2">
      <c r="A2115" s="1" t="s">
        <v>3302</v>
      </c>
      <c r="B2115">
        <v>43818</v>
      </c>
    </row>
    <row r="2116" spans="1:2">
      <c r="A2116" s="1" t="s">
        <v>559</v>
      </c>
      <c r="B2116">
        <v>43748</v>
      </c>
    </row>
    <row r="2117" spans="1:2">
      <c r="A2117" s="1" t="s">
        <v>3303</v>
      </c>
      <c r="B2117">
        <v>43830</v>
      </c>
    </row>
    <row r="2118" spans="1:2">
      <c r="A2118" s="1" t="s">
        <v>3304</v>
      </c>
      <c r="B2118">
        <v>43832</v>
      </c>
    </row>
    <row r="2119" spans="1:2">
      <c r="A2119" s="1" t="s">
        <v>3305</v>
      </c>
      <c r="B2119">
        <v>43832</v>
      </c>
    </row>
    <row r="2120" spans="1:2">
      <c r="A2120" s="1" t="s">
        <v>3306</v>
      </c>
      <c r="B2120">
        <v>43829</v>
      </c>
    </row>
    <row r="2121" spans="1:2">
      <c r="A2121" s="1" t="s">
        <v>3307</v>
      </c>
      <c r="B2121">
        <v>43845</v>
      </c>
    </row>
    <row r="2122" spans="1:2">
      <c r="A2122" s="1" t="s">
        <v>3308</v>
      </c>
      <c r="B2122">
        <v>43826</v>
      </c>
    </row>
    <row r="2123" spans="1:2">
      <c r="A2123" s="1" t="s">
        <v>3309</v>
      </c>
      <c r="B2123" t="s">
        <v>637</v>
      </c>
    </row>
    <row r="2124" spans="1:2">
      <c r="A2124" s="1" t="s">
        <v>401</v>
      </c>
      <c r="B2124">
        <v>43838</v>
      </c>
    </row>
    <row r="2125" spans="1:2">
      <c r="A2125" s="1" t="s">
        <v>3310</v>
      </c>
      <c r="B2125">
        <v>43739</v>
      </c>
    </row>
    <row r="2126" spans="1:2">
      <c r="A2126" s="1" t="s">
        <v>379</v>
      </c>
      <c r="B2126">
        <v>43745</v>
      </c>
    </row>
    <row r="2127" spans="1:2">
      <c r="A2127" s="1" t="s">
        <v>3311</v>
      </c>
      <c r="B2127">
        <v>43830</v>
      </c>
    </row>
    <row r="2128" spans="1:2">
      <c r="A2128" s="1" t="s">
        <v>3312</v>
      </c>
      <c r="B2128" t="s">
        <v>637</v>
      </c>
    </row>
    <row r="2129" spans="1:2">
      <c r="A2129" s="1" t="s">
        <v>356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637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392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428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637</v>
      </c>
    </row>
    <row r="2154" spans="1:2">
      <c r="A2154" s="1" t="s">
        <v>3335</v>
      </c>
      <c r="B2154">
        <v>43753</v>
      </c>
    </row>
    <row r="2155" spans="1:2">
      <c r="A2155" s="1" t="s">
        <v>319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551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589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637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462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463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413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543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272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637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637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478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637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305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137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26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637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567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297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637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273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355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172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275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295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515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419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160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158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296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461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637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637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637</v>
      </c>
    </row>
    <row r="2419" spans="1:2">
      <c r="A2419" s="1" t="s">
        <v>3573</v>
      </c>
      <c r="B2419">
        <v>43818</v>
      </c>
    </row>
    <row r="2420" spans="1:2">
      <c r="A2420" s="1" t="s">
        <v>194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513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637</v>
      </c>
    </row>
    <row r="2437" spans="1:2">
      <c r="A2437" s="1" t="s">
        <v>3589</v>
      </c>
      <c r="B2437">
        <v>43798</v>
      </c>
    </row>
    <row r="2438" spans="1:2">
      <c r="A2438" s="1" t="s">
        <v>283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503</v>
      </c>
      <c r="B2442">
        <v>43823</v>
      </c>
    </row>
    <row r="2443" spans="1:2">
      <c r="A2443" s="1" t="s">
        <v>409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264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637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292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301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637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175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605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637</v>
      </c>
    </row>
    <row r="2481" spans="1:2">
      <c r="A2481" s="1" t="s">
        <v>3624</v>
      </c>
      <c r="B2481" t="s">
        <v>637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606</v>
      </c>
      <c r="B2493">
        <v>43844</v>
      </c>
    </row>
    <row r="2494" spans="1:2">
      <c r="A2494" s="1" t="s">
        <v>147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637</v>
      </c>
    </row>
    <row r="2506" spans="1:2">
      <c r="A2506" s="1" t="s">
        <v>3647</v>
      </c>
      <c r="B2506" t="s">
        <v>637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294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405</v>
      </c>
      <c r="B2523">
        <v>43845</v>
      </c>
    </row>
    <row r="2524" spans="1:2">
      <c r="A2524" s="1" t="s">
        <v>575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637</v>
      </c>
    </row>
    <row r="2536" spans="1:2">
      <c r="A2536" s="1" t="s">
        <v>3674</v>
      </c>
      <c r="B2536">
        <v>43830</v>
      </c>
    </row>
    <row r="2537" spans="1:2">
      <c r="A2537" s="1" t="s">
        <v>47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511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520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637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23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11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637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507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452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324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546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637</v>
      </c>
    </row>
    <row r="2604" spans="1:2">
      <c r="A2604" s="1" t="s">
        <v>10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637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637</v>
      </c>
    </row>
    <row r="2610" spans="1:2">
      <c r="A2610" s="1" t="s">
        <v>438</v>
      </c>
      <c r="B2610">
        <v>43829</v>
      </c>
    </row>
    <row r="2611" spans="1:2">
      <c r="A2611" s="1" t="s">
        <v>3737</v>
      </c>
      <c r="B2611" t="s">
        <v>637</v>
      </c>
    </row>
    <row r="2612" spans="1:2">
      <c r="A2612" s="1" t="s">
        <v>3738</v>
      </c>
      <c r="B2612">
        <v>43647</v>
      </c>
    </row>
    <row r="2613" spans="1:2">
      <c r="A2613" s="1" t="s">
        <v>142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594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637</v>
      </c>
    </row>
    <row r="2623" spans="1:2">
      <c r="A2623" s="1" t="s">
        <v>3747</v>
      </c>
      <c r="B2623">
        <v>43654</v>
      </c>
    </row>
    <row r="2624" spans="1:2">
      <c r="A2624" s="1" t="s">
        <v>383</v>
      </c>
      <c r="B2624">
        <v>43812</v>
      </c>
    </row>
    <row r="2625" spans="1:2">
      <c r="A2625" s="1" t="s">
        <v>3748</v>
      </c>
      <c r="B2625" t="s">
        <v>637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637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637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637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201</v>
      </c>
      <c r="B2650">
        <v>43832</v>
      </c>
    </row>
    <row r="2651" spans="1:2">
      <c r="A2651" s="1" t="s">
        <v>533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545</v>
      </c>
      <c r="B2657">
        <v>43795</v>
      </c>
    </row>
    <row r="2658" spans="1:2">
      <c r="A2658" s="1" t="s">
        <v>3778</v>
      </c>
      <c r="B2658" t="s">
        <v>637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623</v>
      </c>
      <c r="B2664">
        <v>43696</v>
      </c>
    </row>
    <row r="2665" spans="1:2">
      <c r="A2665" s="1" t="s">
        <v>3784</v>
      </c>
      <c r="B2665" t="s">
        <v>637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470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637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343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277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637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182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333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323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287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637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506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179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637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149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144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202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63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418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593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425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637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188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9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154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637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637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637</v>
      </c>
    </row>
    <row r="2901" spans="1:2">
      <c r="A2901" s="1" t="s">
        <v>139</v>
      </c>
      <c r="B2901">
        <v>43845</v>
      </c>
    </row>
    <row r="2902" spans="1:2">
      <c r="A2902" s="1" t="s">
        <v>4001</v>
      </c>
      <c r="B2902" t="s">
        <v>637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637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637</v>
      </c>
    </row>
    <row r="2908" spans="1:2">
      <c r="A2908" s="1" t="s">
        <v>4007</v>
      </c>
      <c r="B2908">
        <v>43832</v>
      </c>
    </row>
    <row r="2909" spans="1:2">
      <c r="A2909" s="1" t="s">
        <v>203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597</v>
      </c>
      <c r="B2911">
        <v>43629</v>
      </c>
    </row>
    <row r="2912" spans="1:2">
      <c r="A2912" s="1" t="s">
        <v>46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177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637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637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637</v>
      </c>
    </row>
    <row r="2940" spans="1:2">
      <c r="A2940" s="1" t="s">
        <v>4035</v>
      </c>
      <c r="B2940" t="s">
        <v>637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385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267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20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637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637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215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504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637</v>
      </c>
    </row>
    <row r="2979" spans="1:2">
      <c r="A2979" s="1" t="s">
        <v>4069</v>
      </c>
      <c r="B2979">
        <v>43830</v>
      </c>
    </row>
    <row r="2980" spans="1:2">
      <c r="A2980" s="1" t="s">
        <v>28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337</v>
      </c>
      <c r="B2985">
        <v>43803</v>
      </c>
    </row>
    <row r="2986" spans="1:2">
      <c r="A2986" s="1" t="s">
        <v>196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159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637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637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637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637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637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303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168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416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637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637</v>
      </c>
    </row>
    <row r="3052" spans="1:2">
      <c r="A3052" s="1" t="s">
        <v>173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637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212</v>
      </c>
      <c r="B3060">
        <v>43801</v>
      </c>
    </row>
    <row r="3061" spans="1:2">
      <c r="A3061" s="1" t="s">
        <v>307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436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359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637</v>
      </c>
    </row>
    <row r="3124" spans="1:2">
      <c r="A3124" s="1" t="s">
        <v>67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472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254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637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340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487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637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156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637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610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195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225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308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181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637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637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576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293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339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637</v>
      </c>
    </row>
    <row r="3238" spans="1:2">
      <c r="A3238" s="1" t="s">
        <v>4302</v>
      </c>
      <c r="B3238" t="s">
        <v>637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637</v>
      </c>
    </row>
    <row r="3250" spans="1:2">
      <c r="A3250" s="1" t="s">
        <v>329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178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344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163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394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561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32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61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471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18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637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278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330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89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439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474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231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240</v>
      </c>
      <c r="B3362">
        <v>43818</v>
      </c>
    </row>
    <row r="3363" spans="1:2">
      <c r="A3363" s="1" t="s">
        <v>216</v>
      </c>
      <c r="B3363">
        <v>43837</v>
      </c>
    </row>
    <row r="3364" spans="1:2">
      <c r="A3364" s="1" t="s">
        <v>176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304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637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637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637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404</v>
      </c>
      <c r="B3408">
        <v>43845</v>
      </c>
    </row>
    <row r="3409" spans="1:2">
      <c r="A3409" s="1" t="s">
        <v>4451</v>
      </c>
      <c r="B3409" t="s">
        <v>637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138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637</v>
      </c>
    </row>
    <row r="3420" spans="1:2">
      <c r="A3420" s="1" t="s">
        <v>496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637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583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70</v>
      </c>
      <c r="B3435">
        <v>43812</v>
      </c>
    </row>
    <row r="3436" spans="1:2">
      <c r="A3436" s="1" t="s">
        <v>4474</v>
      </c>
      <c r="B3436" t="s">
        <v>637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161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141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31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519</v>
      </c>
      <c r="B3461">
        <v>43845</v>
      </c>
    </row>
    <row r="3462" spans="1:2">
      <c r="A3462" s="1" t="s">
        <v>164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431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247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73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285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637</v>
      </c>
    </row>
    <row r="3524" spans="1:2">
      <c r="A3524" s="1" t="s">
        <v>193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525</v>
      </c>
      <c r="B3527">
        <v>43801</v>
      </c>
    </row>
    <row r="3528" spans="1:2">
      <c r="A3528" s="1" t="s">
        <v>56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167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191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637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637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300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82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390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245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381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410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426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637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136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222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524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459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153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637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637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433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637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637</v>
      </c>
    </row>
    <row r="3643" spans="1:2">
      <c r="A3643" s="1" t="s">
        <v>4654</v>
      </c>
      <c r="B3643">
        <v>43819</v>
      </c>
    </row>
    <row r="3644" spans="1:2">
      <c r="A3644" s="1" t="s">
        <v>270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242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221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637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140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69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316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208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637</v>
      </c>
    </row>
    <row r="3702" spans="1:2">
      <c r="A3702" s="1" t="s">
        <v>4705</v>
      </c>
      <c r="B3702" t="s">
        <v>637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637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210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548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77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637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637</v>
      </c>
    </row>
    <row r="3760" spans="1:2">
      <c r="A3760" s="1" t="s">
        <v>4759</v>
      </c>
      <c r="B3760" t="s">
        <v>637</v>
      </c>
    </row>
    <row r="3761" spans="1:2">
      <c r="A3761" s="1" t="s">
        <v>4760</v>
      </c>
      <c r="B3761" t="s">
        <v>637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526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211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341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280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43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637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637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218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235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192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236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237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263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97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637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637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637</v>
      </c>
    </row>
    <row r="3894" spans="1:2">
      <c r="A3894" s="1" t="s">
        <v>469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241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17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637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400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348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234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36</v>
      </c>
      <c r="B3951">
        <v>43868</v>
      </c>
    </row>
    <row r="3952" spans="1:2">
      <c r="A3952" s="1" t="s">
        <v>227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107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482</v>
      </c>
      <c r="B3982">
        <v>43833</v>
      </c>
    </row>
    <row r="3983" spans="1:2">
      <c r="A3983" s="1" t="s">
        <v>4959</v>
      </c>
      <c r="B3983" t="s">
        <v>637</v>
      </c>
    </row>
    <row r="3984" spans="1:2">
      <c r="A3984" s="1" t="s">
        <v>4960</v>
      </c>
      <c r="B3984">
        <v>43644</v>
      </c>
    </row>
    <row r="3985" spans="1:2">
      <c r="A3985" s="1" t="s">
        <v>62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87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637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637</v>
      </c>
    </row>
    <row r="4029" spans="1:2">
      <c r="A4029" s="1" t="s">
        <v>5003</v>
      </c>
      <c r="B4029" t="s">
        <v>637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637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637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58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146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637</v>
      </c>
    </row>
    <row r="4060" spans="1:2">
      <c r="A4060" s="1" t="s">
        <v>135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309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637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228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321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183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637</v>
      </c>
    </row>
    <row r="4103" spans="1:2">
      <c r="A4103" s="1" t="s">
        <v>5070</v>
      </c>
      <c r="B4103">
        <v>43812</v>
      </c>
    </row>
    <row r="4104" spans="1:2">
      <c r="A4104" s="1" t="s">
        <v>266</v>
      </c>
      <c r="B4104">
        <v>43784</v>
      </c>
    </row>
    <row r="4105" spans="1:2">
      <c r="A4105" s="1" t="s">
        <v>302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637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96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637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480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189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637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125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637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204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174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38</v>
      </c>
      <c r="B4197">
        <v>43812</v>
      </c>
    </row>
    <row r="4198" spans="1:2">
      <c r="A4198" s="1" t="s">
        <v>171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111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637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52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637</v>
      </c>
    </row>
    <row r="4221" spans="1:2">
      <c r="A4221" s="1" t="s">
        <v>239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253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313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637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200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79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276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55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637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34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199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378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299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544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637</v>
      </c>
    </row>
    <row r="4301" spans="1:2">
      <c r="A4301" s="1" t="s">
        <v>5244</v>
      </c>
      <c r="B4301">
        <v>43826</v>
      </c>
    </row>
    <row r="4302" spans="1:2">
      <c r="A4302" s="1" t="s">
        <v>444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637</v>
      </c>
    </row>
    <row r="4305" spans="1:2">
      <c r="A4305" s="1" t="s">
        <v>5247</v>
      </c>
      <c r="B4305">
        <v>43739</v>
      </c>
    </row>
    <row r="4306" spans="1:2">
      <c r="A4306" s="1" t="s">
        <v>451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229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637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217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244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637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220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368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206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157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54</v>
      </c>
      <c r="B4376">
        <v>43864</v>
      </c>
    </row>
    <row r="4377" spans="1:2">
      <c r="A4377" s="1" t="s">
        <v>5310</v>
      </c>
      <c r="B4377" t="s">
        <v>637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637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637</v>
      </c>
    </row>
    <row r="4396" spans="1:2">
      <c r="A4396" s="1" t="s">
        <v>5329</v>
      </c>
      <c r="B4396" t="s">
        <v>637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150</v>
      </c>
      <c r="B4399">
        <v>43859</v>
      </c>
    </row>
    <row r="4400" spans="1:2">
      <c r="A4400" s="1" t="s">
        <v>5332</v>
      </c>
      <c r="B4400" t="s">
        <v>637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45</v>
      </c>
      <c r="B4407">
        <v>43840</v>
      </c>
    </row>
    <row r="4408" spans="1:2">
      <c r="A4408" s="1" t="s">
        <v>289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637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637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637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112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57</v>
      </c>
      <c r="B4444">
        <v>43801</v>
      </c>
    </row>
    <row r="4445" spans="1:2">
      <c r="A4445" s="1" t="s">
        <v>39</v>
      </c>
      <c r="B4445">
        <v>43815</v>
      </c>
    </row>
    <row r="4446" spans="1:2">
      <c r="A4446" s="1" t="s">
        <v>121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637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637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637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59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274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553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170</v>
      </c>
      <c r="B4531">
        <v>43903</v>
      </c>
    </row>
    <row r="4532" spans="1:2">
      <c r="A4532" s="1" t="s">
        <v>5453</v>
      </c>
      <c r="B4532" t="s">
        <v>637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637</v>
      </c>
    </row>
    <row r="4535" spans="1:2">
      <c r="A4535" s="1" t="s">
        <v>219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35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637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637</v>
      </c>
    </row>
    <row r="4558" spans="1:2">
      <c r="A4558" s="1" t="s">
        <v>21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269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637</v>
      </c>
    </row>
    <row r="4589" spans="1:2">
      <c r="A4589" s="1" t="s">
        <v>205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637</v>
      </c>
    </row>
    <row r="4597" spans="1:2">
      <c r="A4597" s="1" t="s">
        <v>5513</v>
      </c>
      <c r="B4597">
        <v>43805</v>
      </c>
    </row>
    <row r="4598" spans="1:2">
      <c r="A4598" s="1" t="s">
        <v>25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230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637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187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490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637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486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637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109</v>
      </c>
      <c r="B4650">
        <v>43814</v>
      </c>
    </row>
    <row r="4651" spans="1:2">
      <c r="A4651" s="1" t="s">
        <v>106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101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325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637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148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637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637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565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363</v>
      </c>
      <c r="B4688">
        <v>43871</v>
      </c>
    </row>
    <row r="4689" spans="1:2">
      <c r="A4689" s="1" t="s">
        <v>5593</v>
      </c>
      <c r="B4689" t="s">
        <v>637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637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637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99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361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92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74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75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95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637</v>
      </c>
    </row>
    <row r="4750" spans="1:2">
      <c r="A4750" s="1" t="s">
        <v>5648</v>
      </c>
      <c r="B4750" t="s">
        <v>637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637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637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637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637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455</v>
      </c>
      <c r="B4787">
        <v>43629</v>
      </c>
    </row>
    <row r="4788" spans="1:2">
      <c r="A4788" s="1" t="s">
        <v>5685</v>
      </c>
      <c r="B4788" t="s">
        <v>637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281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637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233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48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98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637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637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637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94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327</v>
      </c>
      <c r="B4845">
        <v>43791</v>
      </c>
    </row>
    <row r="4846" spans="1:2">
      <c r="A4846" s="1" t="s">
        <v>5737</v>
      </c>
      <c r="B4846" t="s">
        <v>637</v>
      </c>
    </row>
    <row r="4847" spans="1:2">
      <c r="A4847" s="1" t="s">
        <v>15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637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637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326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637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637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637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603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637</v>
      </c>
    </row>
    <row r="4931" spans="1:2">
      <c r="A4931" s="1" t="s">
        <v>5818</v>
      </c>
      <c r="B4931" t="s">
        <v>637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604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103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582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265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358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226</v>
      </c>
      <c r="B4967">
        <v>43823</v>
      </c>
    </row>
    <row r="4968" spans="1:2">
      <c r="A4968" s="1" t="s">
        <v>30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209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126</v>
      </c>
      <c r="B4988">
        <v>43791</v>
      </c>
    </row>
    <row r="4989" spans="1:2">
      <c r="A4989" s="1" t="s">
        <v>484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224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637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100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637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24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588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19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580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76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88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81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637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637</v>
      </c>
    </row>
    <row r="5067" spans="1:2">
      <c r="A5067" s="1" t="s">
        <v>5935</v>
      </c>
      <c r="B5067">
        <v>43738</v>
      </c>
    </row>
    <row r="5068" spans="1:2">
      <c r="A5068" s="1" t="s">
        <v>37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114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637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68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611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13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637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22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637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599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637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110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41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152</v>
      </c>
      <c r="B5205">
        <v>43871</v>
      </c>
    </row>
    <row r="5206" spans="1:2">
      <c r="A5206" s="1" t="s">
        <v>346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637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637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637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505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637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91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311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83</v>
      </c>
      <c r="B5285">
        <v>43809</v>
      </c>
    </row>
    <row r="5286" spans="1:2">
      <c r="A5286" s="1" t="s">
        <v>90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637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84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6146</v>
      </c>
      <c r="B5296" t="s">
        <v>637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637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116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288</v>
      </c>
      <c r="B5319">
        <v>43845</v>
      </c>
    </row>
    <row r="5320" spans="1:2">
      <c r="A5320" s="1" t="s">
        <v>320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335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637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185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637</v>
      </c>
    </row>
    <row r="5346" spans="1:2">
      <c r="A5346" s="1" t="s">
        <v>6191</v>
      </c>
      <c r="B5346">
        <v>43798</v>
      </c>
    </row>
    <row r="5347" spans="1:2">
      <c r="A5347" s="1" t="s">
        <v>108</v>
      </c>
      <c r="B5347">
        <v>43789</v>
      </c>
    </row>
    <row r="5348" spans="1:2">
      <c r="A5348" s="1" t="s">
        <v>6192</v>
      </c>
      <c r="B5348" t="s">
        <v>637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569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637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615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50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29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637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186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637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180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197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637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637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310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637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637</v>
      </c>
    </row>
    <row r="5466" spans="1:2">
      <c r="A5466" s="1" t="s">
        <v>162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27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637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637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66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351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40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42</v>
      </c>
      <c r="B5558">
        <v>43815</v>
      </c>
    </row>
    <row r="5559" spans="1:2">
      <c r="A5559" s="1" t="s">
        <v>113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489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102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637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119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122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637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637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213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637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365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6469</v>
      </c>
      <c r="B5649" t="s">
        <v>637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72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637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347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637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104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105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637</v>
      </c>
    </row>
    <row r="5739" spans="1:2">
      <c r="A5739" s="1" t="s">
        <v>6553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223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637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637</v>
      </c>
    </row>
    <row r="5761" spans="1:2">
      <c r="A5761" s="1" t="s">
        <v>6573</v>
      </c>
      <c r="B5761" t="s">
        <v>637</v>
      </c>
    </row>
    <row r="5762" spans="1:2">
      <c r="A5762" s="1" t="s">
        <v>71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238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637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577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637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637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637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338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619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53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124</v>
      </c>
      <c r="B5858">
        <v>43837</v>
      </c>
    </row>
    <row r="5859" spans="1:2">
      <c r="A5859" s="1" t="s">
        <v>6663</v>
      </c>
      <c r="B5859" t="s">
        <v>637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637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637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357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198</v>
      </c>
      <c r="B5881">
        <v>43613</v>
      </c>
    </row>
    <row r="5882" spans="1:2">
      <c r="A5882" s="1" t="s">
        <v>579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637</v>
      </c>
    </row>
    <row r="5889" spans="1:2">
      <c r="A5889" s="1" t="s">
        <v>6690</v>
      </c>
      <c r="B5889">
        <v>43805</v>
      </c>
    </row>
    <row r="5890" spans="1:2">
      <c r="A5890" s="1" t="s">
        <v>85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637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78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637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279</v>
      </c>
      <c r="B5926">
        <v>43784</v>
      </c>
    </row>
    <row r="5927" spans="1:2">
      <c r="A5927" s="1" t="s">
        <v>578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65</v>
      </c>
      <c r="B5932">
        <v>43811</v>
      </c>
    </row>
    <row r="5933" spans="1:2">
      <c r="A5933" s="1" t="s">
        <v>423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563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637</v>
      </c>
    </row>
    <row r="5939" spans="1:2">
      <c r="A5939" s="1" t="s">
        <v>6732</v>
      </c>
      <c r="B5939">
        <v>43654</v>
      </c>
    </row>
    <row r="5940" spans="1:2">
      <c r="A5940" s="1" t="s">
        <v>51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637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637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64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214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243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637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93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362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637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637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637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637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637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637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637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637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637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369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345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637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86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637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637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354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637</v>
      </c>
    </row>
    <row r="6279" spans="1:2">
      <c r="A6279" s="1" t="s">
        <v>7062</v>
      </c>
      <c r="B6279" t="s">
        <v>637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637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637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637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353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637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315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298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637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637</v>
      </c>
    </row>
    <row r="6453" spans="1:2">
      <c r="A6453" s="1" t="s">
        <v>7231</v>
      </c>
      <c r="B6453" t="s">
        <v>637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367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33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246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60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637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637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637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637</v>
      </c>
    </row>
    <row r="6581" spans="1:2">
      <c r="A6581" s="1" t="s">
        <v>7354</v>
      </c>
      <c r="B6581" t="s">
        <v>637</v>
      </c>
    </row>
    <row r="6582" spans="1:2">
      <c r="A6582" s="1" t="s">
        <v>7355</v>
      </c>
      <c r="B6582" t="s">
        <v>637</v>
      </c>
    </row>
    <row r="6583" spans="1:2">
      <c r="A6583" s="1" t="s">
        <v>7356</v>
      </c>
      <c r="B6583" t="s">
        <v>637</v>
      </c>
    </row>
    <row r="6584" spans="1:2">
      <c r="A6584" s="1" t="s">
        <v>7357</v>
      </c>
      <c r="B6584" t="s">
        <v>637</v>
      </c>
    </row>
    <row r="6585" spans="1:2">
      <c r="A6585" s="1" t="s">
        <v>7358</v>
      </c>
      <c r="B6585" t="s">
        <v>637</v>
      </c>
    </row>
    <row r="6586" spans="1:2">
      <c r="A6586" s="1" t="s">
        <v>7359</v>
      </c>
      <c r="B6586" t="s">
        <v>637</v>
      </c>
    </row>
    <row r="6587" spans="1:2">
      <c r="A6587" s="1" t="s">
        <v>7360</v>
      </c>
      <c r="B6587" t="s">
        <v>637</v>
      </c>
    </row>
    <row r="6588" spans="1:2">
      <c r="A6588" s="1" t="s">
        <v>7361</v>
      </c>
      <c r="B6588" t="s">
        <v>637</v>
      </c>
    </row>
    <row r="6589" spans="1:2">
      <c r="A6589" s="1" t="s">
        <v>7362</v>
      </c>
      <c r="B6589" t="s">
        <v>637</v>
      </c>
    </row>
    <row r="6590" spans="1:2">
      <c r="A6590" s="1" t="s">
        <v>7363</v>
      </c>
      <c r="B6590" t="s">
        <v>637</v>
      </c>
    </row>
    <row r="6591" spans="1:2">
      <c r="A6591" s="1" t="s">
        <v>7364</v>
      </c>
      <c r="B6591" t="s">
        <v>637</v>
      </c>
    </row>
    <row r="6592" spans="1:2">
      <c r="A6592" s="1" t="s">
        <v>7365</v>
      </c>
      <c r="B6592" t="s">
        <v>637</v>
      </c>
    </row>
    <row r="6593" spans="1:2">
      <c r="A6593" s="1" t="s">
        <v>7366</v>
      </c>
      <c r="B6593" t="s">
        <v>637</v>
      </c>
    </row>
    <row r="6594" spans="1:2">
      <c r="A6594" s="1" t="s">
        <v>7367</v>
      </c>
      <c r="B6594" t="s">
        <v>637</v>
      </c>
    </row>
    <row r="6595" spans="1:2">
      <c r="A6595" s="1" t="s">
        <v>7368</v>
      </c>
      <c r="B6595" t="s">
        <v>637</v>
      </c>
    </row>
    <row r="6596" spans="1:2">
      <c r="A6596" s="1" t="s">
        <v>7369</v>
      </c>
      <c r="B6596" t="s">
        <v>637</v>
      </c>
    </row>
    <row r="6597" spans="1:2">
      <c r="A6597" s="1" t="s">
        <v>7370</v>
      </c>
      <c r="B6597" t="s">
        <v>637</v>
      </c>
    </row>
    <row r="6598" spans="1:2">
      <c r="A6598" s="1" t="s">
        <v>7371</v>
      </c>
      <c r="B6598" t="s">
        <v>637</v>
      </c>
    </row>
    <row r="6599" spans="1:2">
      <c r="A6599" s="1" t="s">
        <v>7372</v>
      </c>
      <c r="B6599" t="s">
        <v>637</v>
      </c>
    </row>
    <row r="6600" spans="1:2">
      <c r="A6600" s="1" t="s">
        <v>7373</v>
      </c>
      <c r="B6600" t="s">
        <v>637</v>
      </c>
    </row>
    <row r="6601" spans="1:2">
      <c r="A6601" s="1" t="s">
        <v>7374</v>
      </c>
      <c r="B6601" t="s">
        <v>637</v>
      </c>
    </row>
    <row r="6602" spans="1:2">
      <c r="A6602" s="1" t="s">
        <v>7375</v>
      </c>
      <c r="B6602" t="s">
        <v>637</v>
      </c>
    </row>
    <row r="6603" spans="1:2">
      <c r="A6603" s="1" t="s">
        <v>7376</v>
      </c>
      <c r="B6603" t="s">
        <v>637</v>
      </c>
    </row>
    <row r="6604" spans="1:2">
      <c r="A6604" s="1" t="s">
        <v>7377</v>
      </c>
      <c r="B6604" t="s">
        <v>637</v>
      </c>
    </row>
    <row r="6605" spans="1:2">
      <c r="A6605" s="1" t="s">
        <v>7378</v>
      </c>
      <c r="B6605" t="s">
        <v>637</v>
      </c>
    </row>
    <row r="6606" spans="1:2">
      <c r="A6606" s="1" t="s">
        <v>7379</v>
      </c>
      <c r="B6606" t="s">
        <v>637</v>
      </c>
    </row>
    <row r="6607" spans="1:2">
      <c r="A6607" s="1" t="s">
        <v>7380</v>
      </c>
      <c r="B6607" t="s">
        <v>637</v>
      </c>
    </row>
    <row r="6608" spans="1:2">
      <c r="A6608" s="1" t="s">
        <v>7381</v>
      </c>
      <c r="B6608" t="s">
        <v>637</v>
      </c>
    </row>
    <row r="6609" spans="1:2">
      <c r="A6609" s="1" t="s">
        <v>7382</v>
      </c>
      <c r="B6609" t="s">
        <v>637</v>
      </c>
    </row>
    <row r="6610" spans="1:2">
      <c r="A6610" s="1" t="s">
        <v>7383</v>
      </c>
      <c r="B6610" t="s">
        <v>637</v>
      </c>
    </row>
    <row r="6611" spans="1:2">
      <c r="A6611" s="1" t="s">
        <v>7384</v>
      </c>
      <c r="B6611" t="s">
        <v>637</v>
      </c>
    </row>
    <row r="6612" spans="1:2">
      <c r="A6612" s="1" t="s">
        <v>7385</v>
      </c>
      <c r="B6612" t="s">
        <v>637</v>
      </c>
    </row>
    <row r="6613" spans="1:2">
      <c r="A6613" s="1" t="s">
        <v>7386</v>
      </c>
      <c r="B6613" t="s">
        <v>637</v>
      </c>
    </row>
    <row r="6614" spans="1:2">
      <c r="A6614" s="1" t="s">
        <v>7387</v>
      </c>
      <c r="B6614" t="s">
        <v>637</v>
      </c>
    </row>
    <row r="6615" spans="1:2">
      <c r="A6615" s="1" t="s">
        <v>7388</v>
      </c>
      <c r="B6615" t="s">
        <v>637</v>
      </c>
    </row>
    <row r="6616" spans="1:2">
      <c r="A6616" s="1" t="s">
        <v>7389</v>
      </c>
      <c r="B6616" t="s">
        <v>637</v>
      </c>
    </row>
    <row r="6617" spans="1:2">
      <c r="A6617" s="1" t="s">
        <v>7390</v>
      </c>
      <c r="B6617" t="s">
        <v>637</v>
      </c>
    </row>
    <row r="6618" spans="1:2">
      <c r="A6618" s="1" t="s">
        <v>7391</v>
      </c>
      <c r="B6618" t="s">
        <v>637</v>
      </c>
    </row>
    <row r="6619" spans="1:2">
      <c r="A6619" s="1" t="s">
        <v>7392</v>
      </c>
      <c r="B6619" t="s">
        <v>637</v>
      </c>
    </row>
    <row r="6620" spans="1:2">
      <c r="A6620" s="1" t="s">
        <v>7393</v>
      </c>
      <c r="B6620" t="s">
        <v>637</v>
      </c>
    </row>
    <row r="6621" spans="1:2">
      <c r="A6621" s="1" t="s">
        <v>7394</v>
      </c>
      <c r="B6621" t="s">
        <v>637</v>
      </c>
    </row>
    <row r="6622" spans="1:2">
      <c r="A6622" s="1" t="s">
        <v>7395</v>
      </c>
      <c r="B6622" t="s">
        <v>637</v>
      </c>
    </row>
    <row r="6623" spans="1:2">
      <c r="A6623" s="1" t="s">
        <v>7396</v>
      </c>
      <c r="B6623" t="s">
        <v>637</v>
      </c>
    </row>
    <row r="6624" spans="1:2">
      <c r="A6624" s="1" t="s">
        <v>7397</v>
      </c>
      <c r="B6624" t="s">
        <v>637</v>
      </c>
    </row>
    <row r="6625" spans="1:2">
      <c r="A6625" s="1" t="s">
        <v>7398</v>
      </c>
      <c r="B6625" t="s">
        <v>637</v>
      </c>
    </row>
    <row r="6626" spans="1:2">
      <c r="A6626" s="1" t="s">
        <v>7399</v>
      </c>
      <c r="B6626" t="s">
        <v>637</v>
      </c>
    </row>
    <row r="6627" spans="1:2">
      <c r="A6627" s="1" t="s">
        <v>7400</v>
      </c>
      <c r="B6627" t="s">
        <v>637</v>
      </c>
    </row>
    <row r="6628" spans="1:2">
      <c r="A6628" s="1" t="s">
        <v>7401</v>
      </c>
      <c r="B6628" t="s">
        <v>637</v>
      </c>
    </row>
    <row r="6629" spans="1:2">
      <c r="A6629" s="1" t="s">
        <v>7402</v>
      </c>
      <c r="B6629" t="s">
        <v>637</v>
      </c>
    </row>
    <row r="6630" spans="1:2">
      <c r="A6630" s="1" t="s">
        <v>7403</v>
      </c>
      <c r="B6630" t="s">
        <v>637</v>
      </c>
    </row>
    <row r="6631" spans="1:2">
      <c r="A6631" s="1" t="s">
        <v>7404</v>
      </c>
      <c r="B6631" t="s">
        <v>637</v>
      </c>
    </row>
    <row r="6632" spans="1:2">
      <c r="A6632" s="1" t="s">
        <v>7405</v>
      </c>
      <c r="B6632" t="s">
        <v>637</v>
      </c>
    </row>
    <row r="6633" spans="1:2">
      <c r="A6633" s="1" t="s">
        <v>7406</v>
      </c>
      <c r="B6633" t="s">
        <v>637</v>
      </c>
    </row>
    <row r="6634" spans="1:2">
      <c r="A6634" s="1" t="s">
        <v>7407</v>
      </c>
      <c r="B6634" t="s">
        <v>637</v>
      </c>
    </row>
    <row r="6635" spans="1:2">
      <c r="A6635" s="1" t="s">
        <v>7408</v>
      </c>
      <c r="B6635" t="s">
        <v>637</v>
      </c>
    </row>
    <row r="6636" spans="1:2">
      <c r="A6636" s="1" t="s">
        <v>7409</v>
      </c>
      <c r="B6636" t="s">
        <v>637</v>
      </c>
    </row>
    <row r="6637" spans="1:2">
      <c r="A6637" s="1" t="s">
        <v>7410</v>
      </c>
      <c r="B6637" t="s">
        <v>637</v>
      </c>
    </row>
    <row r="6638" spans="1:2">
      <c r="A6638" s="1" t="s">
        <v>7411</v>
      </c>
      <c r="B6638" t="s">
        <v>637</v>
      </c>
    </row>
    <row r="6639" spans="1:2">
      <c r="A6639" s="1" t="s">
        <v>7412</v>
      </c>
      <c r="B6639" t="s">
        <v>637</v>
      </c>
    </row>
    <row r="6640" spans="1:2">
      <c r="A6640" s="1" t="s">
        <v>7413</v>
      </c>
      <c r="B6640" t="s">
        <v>637</v>
      </c>
    </row>
    <row r="6641" spans="1:2">
      <c r="A6641" s="1" t="s">
        <v>7414</v>
      </c>
      <c r="B6641" t="s">
        <v>637</v>
      </c>
    </row>
    <row r="6642" spans="1:2">
      <c r="A6642" s="1" t="s">
        <v>7415</v>
      </c>
      <c r="B6642" t="s">
        <v>637</v>
      </c>
    </row>
    <row r="6643" spans="1:2">
      <c r="A6643" s="1" t="s">
        <v>7416</v>
      </c>
      <c r="B6643" t="s">
        <v>637</v>
      </c>
    </row>
    <row r="6644" spans="1:2">
      <c r="A6644" s="1" t="s">
        <v>7417</v>
      </c>
      <c r="B6644" t="s">
        <v>637</v>
      </c>
    </row>
    <row r="6645" spans="1:2">
      <c r="A6645" s="1" t="s">
        <v>7418</v>
      </c>
      <c r="B6645" t="s">
        <v>637</v>
      </c>
    </row>
    <row r="6646" spans="1:2">
      <c r="A6646" s="1" t="s">
        <v>7419</v>
      </c>
      <c r="B6646" t="s">
        <v>637</v>
      </c>
    </row>
    <row r="6647" spans="1:2">
      <c r="A6647" s="1" t="s">
        <v>7420</v>
      </c>
      <c r="B6647" t="s">
        <v>637</v>
      </c>
    </row>
    <row r="6648" spans="1:2">
      <c r="A6648" s="1" t="s">
        <v>7421</v>
      </c>
      <c r="B6648" t="s">
        <v>637</v>
      </c>
    </row>
    <row r="6649" spans="1:2">
      <c r="A6649" s="1" t="s">
        <v>7422</v>
      </c>
      <c r="B6649" t="s">
        <v>637</v>
      </c>
    </row>
    <row r="6650" spans="1:2">
      <c r="A6650" s="1" t="s">
        <v>7423</v>
      </c>
      <c r="B6650" t="s">
        <v>637</v>
      </c>
    </row>
    <row r="6651" spans="1:2">
      <c r="A6651" s="1" t="s">
        <v>7424</v>
      </c>
      <c r="B6651" t="s">
        <v>637</v>
      </c>
    </row>
    <row r="6652" spans="1:2">
      <c r="A6652" s="1" t="s">
        <v>7425</v>
      </c>
      <c r="B6652" t="s">
        <v>637</v>
      </c>
    </row>
    <row r="6653" spans="1:2">
      <c r="A6653" s="1" t="s">
        <v>7426</v>
      </c>
      <c r="B6653" t="s">
        <v>637</v>
      </c>
    </row>
    <row r="6654" spans="1:2">
      <c r="A6654" s="1" t="s">
        <v>7427</v>
      </c>
      <c r="B6654" t="s">
        <v>637</v>
      </c>
    </row>
    <row r="6655" spans="1:2">
      <c r="A6655" s="1" t="s">
        <v>7428</v>
      </c>
      <c r="B6655" t="s">
        <v>637</v>
      </c>
    </row>
    <row r="6656" spans="1:2">
      <c r="A6656" s="1" t="s">
        <v>7429</v>
      </c>
      <c r="B6656" t="s">
        <v>637</v>
      </c>
    </row>
    <row r="6657" spans="1:2">
      <c r="A6657" s="1" t="s">
        <v>7430</v>
      </c>
      <c r="B6657" t="s">
        <v>637</v>
      </c>
    </row>
    <row r="6658" spans="1:2">
      <c r="A6658" s="1" t="s">
        <v>7431</v>
      </c>
      <c r="B6658" t="s">
        <v>637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637</v>
      </c>
    </row>
    <row r="6661" spans="1:2">
      <c r="A6661" s="1" t="s">
        <v>7434</v>
      </c>
      <c r="B6661" t="s">
        <v>637</v>
      </c>
    </row>
    <row r="6662" spans="1:2">
      <c r="A6662" s="1" t="s">
        <v>7435</v>
      </c>
      <c r="B6662" t="s">
        <v>637</v>
      </c>
    </row>
    <row r="6663" spans="1:2">
      <c r="A6663" s="1" t="s">
        <v>7436</v>
      </c>
      <c r="B6663" t="s">
        <v>637</v>
      </c>
    </row>
    <row r="6664" spans="1:2">
      <c r="A6664" s="1" t="s">
        <v>7437</v>
      </c>
      <c r="B6664" t="s">
        <v>637</v>
      </c>
    </row>
    <row r="6665" spans="1:2">
      <c r="A6665" s="1" t="s">
        <v>7438</v>
      </c>
      <c r="B6665" t="s">
        <v>637</v>
      </c>
    </row>
    <row r="6666" spans="1:2">
      <c r="A6666" s="1" t="s">
        <v>7439</v>
      </c>
      <c r="B6666" t="s">
        <v>637</v>
      </c>
    </row>
    <row r="6667" spans="1:2">
      <c r="A6667" s="1" t="s">
        <v>7440</v>
      </c>
      <c r="B6667" t="s">
        <v>637</v>
      </c>
    </row>
    <row r="6668" spans="1:2">
      <c r="A6668" s="1" t="s">
        <v>7441</v>
      </c>
      <c r="B6668" t="s">
        <v>637</v>
      </c>
    </row>
    <row r="6669" spans="1:2">
      <c r="A6669" s="1" t="s">
        <v>7442</v>
      </c>
      <c r="B6669" t="s">
        <v>637</v>
      </c>
    </row>
    <row r="6670" spans="1:2">
      <c r="A6670" s="1" t="s">
        <v>7443</v>
      </c>
      <c r="B6670" t="s">
        <v>637</v>
      </c>
    </row>
    <row r="6671" spans="1:2">
      <c r="A6671" s="1" t="s">
        <v>7444</v>
      </c>
      <c r="B6671" t="s">
        <v>637</v>
      </c>
    </row>
    <row r="6672" spans="1:2">
      <c r="A6672" s="1" t="s">
        <v>7445</v>
      </c>
      <c r="B6672" t="s">
        <v>637</v>
      </c>
    </row>
    <row r="6673" spans="1:2">
      <c r="A6673" s="1" t="s">
        <v>7446</v>
      </c>
      <c r="B6673" t="s">
        <v>637</v>
      </c>
    </row>
    <row r="6674" spans="1:2">
      <c r="A6674" s="1" t="s">
        <v>7447</v>
      </c>
      <c r="B6674" t="s">
        <v>637</v>
      </c>
    </row>
    <row r="6675" spans="1:2">
      <c r="A6675" s="1" t="s">
        <v>7448</v>
      </c>
      <c r="B6675" t="s">
        <v>637</v>
      </c>
    </row>
    <row r="6676" spans="1:2">
      <c r="A6676" s="1" t="s">
        <v>7449</v>
      </c>
      <c r="B6676" t="s">
        <v>637</v>
      </c>
    </row>
    <row r="6677" spans="1:2">
      <c r="A6677" s="1" t="s">
        <v>7450</v>
      </c>
      <c r="B6677" t="s">
        <v>637</v>
      </c>
    </row>
    <row r="6678" spans="1:2">
      <c r="A6678" s="1" t="s">
        <v>7451</v>
      </c>
      <c r="B6678" t="s">
        <v>637</v>
      </c>
    </row>
    <row r="6679" spans="1:2">
      <c r="A6679" s="1" t="s">
        <v>7452</v>
      </c>
      <c r="B6679" t="s">
        <v>637</v>
      </c>
    </row>
    <row r="6680" spans="1:2">
      <c r="A6680" s="1" t="s">
        <v>7453</v>
      </c>
      <c r="B6680" t="s">
        <v>637</v>
      </c>
    </row>
    <row r="6681" spans="1:2">
      <c r="A6681" s="1" t="s">
        <v>7454</v>
      </c>
      <c r="B6681" t="s">
        <v>637</v>
      </c>
    </row>
    <row r="6682" spans="1:2">
      <c r="A6682" s="1" t="s">
        <v>7455</v>
      </c>
      <c r="B6682" t="s">
        <v>637</v>
      </c>
    </row>
    <row r="6683" spans="1:2">
      <c r="A6683" s="1" t="s">
        <v>7456</v>
      </c>
      <c r="B6683" t="s">
        <v>637</v>
      </c>
    </row>
    <row r="6684" spans="1:2">
      <c r="A6684" s="1" t="s">
        <v>7457</v>
      </c>
      <c r="B6684" t="s">
        <v>637</v>
      </c>
    </row>
    <row r="6685" spans="1:2">
      <c r="A6685" s="1" t="s">
        <v>7458</v>
      </c>
      <c r="B6685" t="s">
        <v>637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637</v>
      </c>
    </row>
    <row r="6688" spans="1:2">
      <c r="A6688" s="1" t="s">
        <v>7461</v>
      </c>
      <c r="B6688" t="s">
        <v>637</v>
      </c>
    </row>
    <row r="6689" spans="1:2">
      <c r="A6689" s="1" t="s">
        <v>7462</v>
      </c>
      <c r="B6689" t="s">
        <v>637</v>
      </c>
    </row>
    <row r="6690" spans="1:2">
      <c r="A6690" s="1" t="s">
        <v>7463</v>
      </c>
      <c r="B6690" t="s">
        <v>637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637</v>
      </c>
    </row>
    <row r="6694" spans="1:2">
      <c r="A6694" s="1" t="s">
        <v>7467</v>
      </c>
      <c r="B6694" t="s">
        <v>637</v>
      </c>
    </row>
    <row r="6695" spans="1:2">
      <c r="A6695" s="1" t="s">
        <v>7468</v>
      </c>
      <c r="B6695" t="s">
        <v>637</v>
      </c>
    </row>
    <row r="6696" spans="1:2">
      <c r="A6696" s="1" t="s">
        <v>7469</v>
      </c>
      <c r="B6696" t="s">
        <v>637</v>
      </c>
    </row>
    <row r="6697" spans="1:2">
      <c r="A6697" s="1" t="s">
        <v>7470</v>
      </c>
      <c r="B6697" t="s">
        <v>637</v>
      </c>
    </row>
    <row r="6698" spans="1:2">
      <c r="A6698" s="1" t="s">
        <v>7471</v>
      </c>
      <c r="B6698" t="s">
        <v>637</v>
      </c>
    </row>
    <row r="6699" spans="1:2">
      <c r="A6699" s="1" t="s">
        <v>7472</v>
      </c>
      <c r="B6699" t="s">
        <v>637</v>
      </c>
    </row>
    <row r="6700" spans="1:2">
      <c r="A6700" s="1" t="s">
        <v>7473</v>
      </c>
      <c r="B6700" t="s">
        <v>637</v>
      </c>
    </row>
    <row r="6701" spans="1:2">
      <c r="A6701" s="1" t="s">
        <v>7474</v>
      </c>
      <c r="B6701" t="s">
        <v>637</v>
      </c>
    </row>
    <row r="6702" spans="1:2">
      <c r="A6702" s="1" t="s">
        <v>7475</v>
      </c>
      <c r="B6702" t="s">
        <v>637</v>
      </c>
    </row>
    <row r="6703" spans="1:2">
      <c r="A6703" s="1" t="s">
        <v>7476</v>
      </c>
      <c r="B6703" t="s">
        <v>637</v>
      </c>
    </row>
    <row r="6704" spans="1:2">
      <c r="A6704" s="1" t="s">
        <v>7477</v>
      </c>
      <c r="B6704" t="s">
        <v>637</v>
      </c>
    </row>
    <row r="6705" spans="1:2">
      <c r="A6705" s="1" t="s">
        <v>7478</v>
      </c>
      <c r="B6705" t="s">
        <v>637</v>
      </c>
    </row>
    <row r="6706" spans="1:2">
      <c r="A6706" s="1" t="s">
        <v>7479</v>
      </c>
      <c r="B6706" t="s">
        <v>637</v>
      </c>
    </row>
    <row r="6707" spans="1:2">
      <c r="A6707" s="1" t="s">
        <v>7480</v>
      </c>
      <c r="B6707" t="s">
        <v>637</v>
      </c>
    </row>
    <row r="6708" spans="1:2">
      <c r="A6708" s="1" t="s">
        <v>7481</v>
      </c>
      <c r="B6708" t="s">
        <v>637</v>
      </c>
    </row>
    <row r="6709" spans="1:2">
      <c r="A6709" s="1" t="s">
        <v>7482</v>
      </c>
      <c r="B6709" t="s">
        <v>637</v>
      </c>
    </row>
    <row r="6710" spans="1:2">
      <c r="A6710" s="1" t="s">
        <v>7483</v>
      </c>
      <c r="B6710" t="s">
        <v>637</v>
      </c>
    </row>
    <row r="6711" spans="1:2">
      <c r="A6711" s="1" t="s">
        <v>7484</v>
      </c>
      <c r="B6711" t="s">
        <v>637</v>
      </c>
    </row>
    <row r="6712" spans="1:2">
      <c r="A6712" s="1" t="s">
        <v>7485</v>
      </c>
      <c r="B6712" t="s">
        <v>637</v>
      </c>
    </row>
    <row r="6713" spans="1:2">
      <c r="A6713" s="1" t="s">
        <v>7486</v>
      </c>
      <c r="B6713" t="s">
        <v>637</v>
      </c>
    </row>
    <row r="6714" spans="1:2">
      <c r="A6714" s="1" t="s">
        <v>7487</v>
      </c>
      <c r="B6714" t="s">
        <v>637</v>
      </c>
    </row>
    <row r="6715" spans="1:2">
      <c r="A6715" s="1" t="s">
        <v>7488</v>
      </c>
      <c r="B6715" t="s">
        <v>637</v>
      </c>
    </row>
    <row r="6716" spans="1:2">
      <c r="A6716" s="1" t="s">
        <v>7489</v>
      </c>
      <c r="B6716" t="s">
        <v>637</v>
      </c>
    </row>
    <row r="6717" spans="1:2">
      <c r="A6717" s="1" t="s">
        <v>7490</v>
      </c>
      <c r="B6717" t="s">
        <v>637</v>
      </c>
    </row>
    <row r="6718" spans="1:2">
      <c r="A6718" s="1" t="s">
        <v>7491</v>
      </c>
      <c r="B6718" t="s">
        <v>637</v>
      </c>
    </row>
    <row r="6719" spans="1:2">
      <c r="A6719" s="1" t="s">
        <v>7492</v>
      </c>
      <c r="B6719" t="s">
        <v>637</v>
      </c>
    </row>
    <row r="6720" spans="1:2">
      <c r="A6720" s="1" t="s">
        <v>7493</v>
      </c>
      <c r="B6720" t="s">
        <v>637</v>
      </c>
    </row>
    <row r="6721" spans="1:2">
      <c r="A6721" s="1" t="s">
        <v>7494</v>
      </c>
      <c r="B6721" t="s">
        <v>637</v>
      </c>
    </row>
    <row r="6722" spans="1:2">
      <c r="A6722" s="1" t="s">
        <v>7495</v>
      </c>
      <c r="B6722" t="s">
        <v>637</v>
      </c>
    </row>
    <row r="6723" spans="1:2">
      <c r="A6723" s="1" t="s">
        <v>7496</v>
      </c>
      <c r="B6723" t="s">
        <v>637</v>
      </c>
    </row>
    <row r="6724" spans="1:2">
      <c r="A6724" s="1" t="s">
        <v>7497</v>
      </c>
      <c r="B6724" t="s">
        <v>637</v>
      </c>
    </row>
    <row r="6725" spans="1:2">
      <c r="A6725" s="1" t="s">
        <v>7498</v>
      </c>
      <c r="B6725" t="s">
        <v>637</v>
      </c>
    </row>
    <row r="6726" spans="1:2">
      <c r="A6726" s="1" t="s">
        <v>7499</v>
      </c>
      <c r="B6726" t="s">
        <v>637</v>
      </c>
    </row>
    <row r="6727" spans="1:2">
      <c r="A6727" s="1" t="s">
        <v>7500</v>
      </c>
      <c r="B6727" t="s">
        <v>637</v>
      </c>
    </row>
    <row r="6728" spans="1:2">
      <c r="A6728" s="1" t="s">
        <v>7501</v>
      </c>
      <c r="B6728" t="s">
        <v>637</v>
      </c>
    </row>
    <row r="6729" spans="1:2">
      <c r="A6729" s="1" t="s">
        <v>7502</v>
      </c>
      <c r="B6729" t="s">
        <v>637</v>
      </c>
    </row>
    <row r="6730" spans="1:2">
      <c r="A6730" s="1" t="s">
        <v>7503</v>
      </c>
      <c r="B6730" t="s">
        <v>637</v>
      </c>
    </row>
    <row r="6731" spans="1:2">
      <c r="A6731" s="1" t="s">
        <v>7504</v>
      </c>
      <c r="B6731" t="s">
        <v>637</v>
      </c>
    </row>
    <row r="6732" spans="1:2">
      <c r="A6732" s="1" t="s">
        <v>7505</v>
      </c>
      <c r="B6732" t="s">
        <v>637</v>
      </c>
    </row>
    <row r="6733" spans="1:2">
      <c r="A6733" s="1" t="s">
        <v>7506</v>
      </c>
      <c r="B6733" t="s">
        <v>637</v>
      </c>
    </row>
    <row r="6734" spans="1:2">
      <c r="A6734" s="1" t="s">
        <v>7507</v>
      </c>
      <c r="B6734" t="s">
        <v>637</v>
      </c>
    </row>
    <row r="6735" spans="1:2">
      <c r="A6735" s="1" t="s">
        <v>7508</v>
      </c>
      <c r="B6735" t="s">
        <v>637</v>
      </c>
    </row>
    <row r="6736" spans="1:2">
      <c r="A6736" s="1" t="s">
        <v>7509</v>
      </c>
      <c r="B6736" t="s">
        <v>637</v>
      </c>
    </row>
    <row r="6737" spans="1:2">
      <c r="A6737" s="1" t="s">
        <v>7510</v>
      </c>
      <c r="B6737" t="s">
        <v>637</v>
      </c>
    </row>
    <row r="6738" spans="1:2">
      <c r="A6738" s="1" t="s">
        <v>7511</v>
      </c>
      <c r="B6738" t="s">
        <v>637</v>
      </c>
    </row>
    <row r="6739" spans="1:2">
      <c r="A6739" s="1" t="s">
        <v>7512</v>
      </c>
      <c r="B6739" t="s">
        <v>637</v>
      </c>
    </row>
    <row r="6740" spans="1:2">
      <c r="A6740" s="1" t="s">
        <v>7513</v>
      </c>
      <c r="B6740" t="s">
        <v>637</v>
      </c>
    </row>
    <row r="6741" spans="1:2">
      <c r="A6741" s="1" t="s">
        <v>7514</v>
      </c>
      <c r="B6741" t="s">
        <v>637</v>
      </c>
    </row>
    <row r="6742" spans="1:2">
      <c r="A6742" s="1" t="s">
        <v>7515</v>
      </c>
      <c r="B6742" t="s">
        <v>637</v>
      </c>
    </row>
    <row r="6743" spans="1:2">
      <c r="A6743" s="1" t="s">
        <v>7516</v>
      </c>
      <c r="B6743" t="s">
        <v>637</v>
      </c>
    </row>
    <row r="6744" spans="1:2">
      <c r="A6744" s="1" t="s">
        <v>7517</v>
      </c>
      <c r="B6744" t="s">
        <v>637</v>
      </c>
    </row>
    <row r="6745" spans="1:2">
      <c r="A6745" s="1" t="s">
        <v>7518</v>
      </c>
      <c r="B6745" t="s">
        <v>637</v>
      </c>
    </row>
    <row r="6746" spans="1:2">
      <c r="A6746" s="1" t="s">
        <v>7519</v>
      </c>
      <c r="B6746" t="s">
        <v>637</v>
      </c>
    </row>
    <row r="6747" spans="1:2">
      <c r="A6747" s="1" t="s">
        <v>7520</v>
      </c>
      <c r="B6747" t="s">
        <v>637</v>
      </c>
    </row>
    <row r="6748" spans="1:2">
      <c r="A6748" s="1" t="s">
        <v>7521</v>
      </c>
      <c r="B6748" t="s">
        <v>637</v>
      </c>
    </row>
    <row r="6749" spans="1:2">
      <c r="A6749" s="1" t="s">
        <v>7522</v>
      </c>
      <c r="B6749" t="s">
        <v>637</v>
      </c>
    </row>
    <row r="6750" spans="1:2">
      <c r="A6750" s="1" t="s">
        <v>7523</v>
      </c>
      <c r="B6750" t="s">
        <v>637</v>
      </c>
    </row>
    <row r="6751" spans="1:2">
      <c r="A6751" s="1" t="s">
        <v>7524</v>
      </c>
      <c r="B6751" t="s">
        <v>637</v>
      </c>
    </row>
    <row r="6752" spans="1:2">
      <c r="A6752" s="1" t="s">
        <v>7525</v>
      </c>
      <c r="B6752" t="s">
        <v>637</v>
      </c>
    </row>
    <row r="6753" spans="1:2">
      <c r="A6753" s="1" t="s">
        <v>7526</v>
      </c>
      <c r="B6753" t="s">
        <v>637</v>
      </c>
    </row>
    <row r="6754" spans="1:2">
      <c r="A6754" s="1" t="s">
        <v>7527</v>
      </c>
      <c r="B6754" t="s">
        <v>637</v>
      </c>
    </row>
    <row r="6755" spans="1:2">
      <c r="A6755" s="1" t="s">
        <v>7528</v>
      </c>
      <c r="B6755" t="s">
        <v>637</v>
      </c>
    </row>
    <row r="6756" spans="1:2">
      <c r="A6756" s="1" t="s">
        <v>7529</v>
      </c>
      <c r="B6756" t="s">
        <v>637</v>
      </c>
    </row>
    <row r="6757" spans="1:2">
      <c r="A6757" s="1" t="s">
        <v>7530</v>
      </c>
      <c r="B6757" t="s">
        <v>637</v>
      </c>
    </row>
    <row r="6758" spans="1:2">
      <c r="A6758" s="1" t="s">
        <v>7531</v>
      </c>
      <c r="B6758" t="s">
        <v>637</v>
      </c>
    </row>
    <row r="6759" spans="1:2">
      <c r="A6759" s="1" t="s">
        <v>7532</v>
      </c>
      <c r="B6759" t="s">
        <v>637</v>
      </c>
    </row>
    <row r="6760" spans="1:2">
      <c r="A6760" s="1" t="s">
        <v>7533</v>
      </c>
      <c r="B6760" t="s">
        <v>637</v>
      </c>
    </row>
    <row r="6761" spans="1:2">
      <c r="A6761" s="1" t="s">
        <v>7534</v>
      </c>
      <c r="B6761" t="s">
        <v>637</v>
      </c>
    </row>
    <row r="6762" spans="1:2">
      <c r="A6762" s="1" t="s">
        <v>7535</v>
      </c>
      <c r="B6762" t="s">
        <v>637</v>
      </c>
    </row>
    <row r="6763" spans="1:2">
      <c r="A6763" s="1" t="s">
        <v>7536</v>
      </c>
      <c r="B6763" t="s">
        <v>637</v>
      </c>
    </row>
    <row r="6764" spans="1:2">
      <c r="A6764" s="1" t="s">
        <v>7537</v>
      </c>
      <c r="B6764" t="s">
        <v>637</v>
      </c>
    </row>
    <row r="6765" spans="1:2">
      <c r="A6765" s="1" t="s">
        <v>7538</v>
      </c>
      <c r="B6765" t="s">
        <v>637</v>
      </c>
    </row>
    <row r="6766" spans="1:2">
      <c r="A6766" s="1" t="s">
        <v>7539</v>
      </c>
      <c r="B6766" t="s">
        <v>637</v>
      </c>
    </row>
    <row r="6767" spans="1:2">
      <c r="A6767" s="1" t="s">
        <v>7540</v>
      </c>
      <c r="B6767" t="s">
        <v>637</v>
      </c>
    </row>
    <row r="6768" spans="1:2">
      <c r="A6768" s="1" t="s">
        <v>7541</v>
      </c>
      <c r="B6768" t="s">
        <v>637</v>
      </c>
    </row>
    <row r="6769" spans="1:2">
      <c r="A6769" s="1" t="s">
        <v>7542</v>
      </c>
      <c r="B6769" t="s">
        <v>637</v>
      </c>
    </row>
    <row r="6770" spans="1:2">
      <c r="A6770" s="1" t="s">
        <v>7543</v>
      </c>
      <c r="B6770" t="s">
        <v>637</v>
      </c>
    </row>
    <row r="6771" spans="1:2">
      <c r="A6771" s="1" t="s">
        <v>7544</v>
      </c>
      <c r="B6771" t="s">
        <v>637</v>
      </c>
    </row>
    <row r="6772" spans="1:2">
      <c r="A6772" s="1" t="s">
        <v>7545</v>
      </c>
      <c r="B6772" t="s">
        <v>637</v>
      </c>
    </row>
    <row r="6773" spans="1:2">
      <c r="A6773" s="1" t="s">
        <v>7546</v>
      </c>
      <c r="B6773" t="s">
        <v>637</v>
      </c>
    </row>
    <row r="6774" spans="1:2">
      <c r="A6774" s="1" t="s">
        <v>7547</v>
      </c>
      <c r="B6774" t="s">
        <v>637</v>
      </c>
    </row>
    <row r="6775" spans="1:2">
      <c r="A6775" s="1" t="s">
        <v>7548</v>
      </c>
      <c r="B6775" t="s">
        <v>637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637</v>
      </c>
    </row>
    <row r="6778" spans="1:2">
      <c r="A6778" s="1" t="s">
        <v>7551</v>
      </c>
      <c r="B6778" t="s">
        <v>637</v>
      </c>
    </row>
    <row r="6779" spans="1:2">
      <c r="A6779" s="1" t="s">
        <v>7552</v>
      </c>
      <c r="B6779" t="s">
        <v>637</v>
      </c>
    </row>
    <row r="6780" spans="1:2">
      <c r="A6780" s="1" t="s">
        <v>7553</v>
      </c>
      <c r="B6780" t="s">
        <v>637</v>
      </c>
    </row>
    <row r="6781" spans="1:2">
      <c r="A6781" s="1" t="s">
        <v>7554</v>
      </c>
      <c r="B6781" t="s">
        <v>637</v>
      </c>
    </row>
    <row r="6782" spans="1:2">
      <c r="A6782" s="1" t="s">
        <v>7555</v>
      </c>
      <c r="B6782" t="s">
        <v>637</v>
      </c>
    </row>
    <row r="6783" spans="1:2">
      <c r="A6783" s="1" t="s">
        <v>7556</v>
      </c>
      <c r="B6783" t="s">
        <v>637</v>
      </c>
    </row>
    <row r="6784" spans="1:2">
      <c r="A6784" s="1" t="s">
        <v>7557</v>
      </c>
      <c r="B6784" t="s">
        <v>637</v>
      </c>
    </row>
    <row r="6785" spans="1:2">
      <c r="A6785" s="1" t="s">
        <v>7558</v>
      </c>
      <c r="B6785" t="s">
        <v>637</v>
      </c>
    </row>
    <row r="6786" spans="1:2">
      <c r="A6786" s="1" t="s">
        <v>7559</v>
      </c>
      <c r="B6786" t="s">
        <v>637</v>
      </c>
    </row>
    <row r="6787" spans="1:2">
      <c r="A6787" s="1" t="s">
        <v>7560</v>
      </c>
      <c r="B6787" t="s">
        <v>637</v>
      </c>
    </row>
    <row r="6788" spans="1:2">
      <c r="A6788" s="1" t="s">
        <v>7561</v>
      </c>
      <c r="B6788" t="s">
        <v>637</v>
      </c>
    </row>
    <row r="6789" spans="1:2">
      <c r="A6789" s="1" t="s">
        <v>7562</v>
      </c>
      <c r="B6789" t="s">
        <v>637</v>
      </c>
    </row>
    <row r="6790" spans="1:2">
      <c r="A6790" s="1" t="s">
        <v>7563</v>
      </c>
      <c r="B6790" t="s">
        <v>637</v>
      </c>
    </row>
    <row r="6791" spans="1:2">
      <c r="A6791" s="1" t="s">
        <v>7564</v>
      </c>
      <c r="B6791" t="s">
        <v>637</v>
      </c>
    </row>
    <row r="6792" spans="1:2">
      <c r="A6792" s="1" t="s">
        <v>7565</v>
      </c>
      <c r="B6792" t="s">
        <v>637</v>
      </c>
    </row>
    <row r="6793" spans="1:2">
      <c r="A6793" s="1" t="s">
        <v>7566</v>
      </c>
      <c r="B6793" t="s">
        <v>637</v>
      </c>
    </row>
    <row r="6794" spans="1:2">
      <c r="A6794" s="1" t="s">
        <v>7567</v>
      </c>
      <c r="B6794" t="s">
        <v>637</v>
      </c>
    </row>
    <row r="6795" spans="1:2">
      <c r="A6795" s="1" t="s">
        <v>7568</v>
      </c>
      <c r="B6795" t="s">
        <v>637</v>
      </c>
    </row>
    <row r="6796" spans="1:2">
      <c r="A6796" s="1" t="s">
        <v>7569</v>
      </c>
      <c r="B6796" t="s">
        <v>637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637</v>
      </c>
    </row>
    <row r="6799" spans="1:2">
      <c r="A6799" s="1" t="s">
        <v>7572</v>
      </c>
      <c r="B6799" t="s">
        <v>637</v>
      </c>
    </row>
    <row r="6800" spans="1:2">
      <c r="A6800" s="1" t="s">
        <v>7573</v>
      </c>
      <c r="B6800" t="s">
        <v>637</v>
      </c>
    </row>
    <row r="6801" spans="1:2">
      <c r="A6801" s="1" t="s">
        <v>7574</v>
      </c>
      <c r="B6801" t="s">
        <v>637</v>
      </c>
    </row>
    <row r="6802" spans="1:2">
      <c r="A6802" s="1" t="s">
        <v>7575</v>
      </c>
      <c r="B6802" t="s">
        <v>637</v>
      </c>
    </row>
    <row r="6803" spans="1:2">
      <c r="A6803" s="1" t="s">
        <v>7576</v>
      </c>
      <c r="B6803" t="s">
        <v>637</v>
      </c>
    </row>
    <row r="6804" spans="1:2">
      <c r="A6804" s="1" t="s">
        <v>7577</v>
      </c>
      <c r="B6804" t="s">
        <v>637</v>
      </c>
    </row>
    <row r="6805" spans="1:2">
      <c r="A6805" s="1" t="s">
        <v>7578</v>
      </c>
      <c r="B6805" t="s">
        <v>637</v>
      </c>
    </row>
    <row r="6806" spans="1:2">
      <c r="A6806" s="1" t="s">
        <v>7579</v>
      </c>
      <c r="B6806" t="s">
        <v>637</v>
      </c>
    </row>
    <row r="6807" spans="1:2">
      <c r="A6807" s="1" t="s">
        <v>7580</v>
      </c>
      <c r="B6807" t="s">
        <v>637</v>
      </c>
    </row>
    <row r="6808" spans="1:2">
      <c r="A6808" s="1" t="s">
        <v>7581</v>
      </c>
      <c r="B6808" t="s">
        <v>637</v>
      </c>
    </row>
    <row r="6809" spans="1:2">
      <c r="A6809" s="1" t="s">
        <v>7582</v>
      </c>
      <c r="B6809" t="s">
        <v>637</v>
      </c>
    </row>
    <row r="6810" spans="1:2">
      <c r="A6810" s="1" t="s">
        <v>7583</v>
      </c>
      <c r="B6810" t="s">
        <v>637</v>
      </c>
    </row>
    <row r="6811" spans="1:2">
      <c r="A6811" s="1" t="s">
        <v>7584</v>
      </c>
      <c r="B6811" t="s">
        <v>637</v>
      </c>
    </row>
    <row r="6812" spans="1:2">
      <c r="A6812" s="1" t="s">
        <v>7585</v>
      </c>
      <c r="B6812" t="s">
        <v>637</v>
      </c>
    </row>
    <row r="6813" spans="1:2">
      <c r="A6813" s="1" t="s">
        <v>7586</v>
      </c>
      <c r="B6813" t="s">
        <v>637</v>
      </c>
    </row>
    <row r="6814" spans="1:2">
      <c r="A6814" s="1" t="s">
        <v>7587</v>
      </c>
      <c r="B6814" t="s">
        <v>637</v>
      </c>
    </row>
    <row r="6815" spans="1:2">
      <c r="A6815" s="1" t="s">
        <v>7588</v>
      </c>
      <c r="B6815" t="s">
        <v>637</v>
      </c>
    </row>
    <row r="6816" spans="1:2">
      <c r="A6816" s="1" t="s">
        <v>7589</v>
      </c>
      <c r="B6816" t="s">
        <v>637</v>
      </c>
    </row>
    <row r="6817" spans="1:2">
      <c r="A6817" s="1" t="s">
        <v>7590</v>
      </c>
      <c r="B6817" t="s">
        <v>637</v>
      </c>
    </row>
    <row r="6818" spans="1:2">
      <c r="A6818" s="1" t="s">
        <v>7591</v>
      </c>
      <c r="B6818" t="s">
        <v>637</v>
      </c>
    </row>
    <row r="6819" spans="1:2">
      <c r="A6819" s="1" t="s">
        <v>7592</v>
      </c>
      <c r="B6819" t="s">
        <v>637</v>
      </c>
    </row>
    <row r="6820" spans="1:2">
      <c r="A6820" s="1" t="s">
        <v>7593</v>
      </c>
      <c r="B6820" t="s">
        <v>637</v>
      </c>
    </row>
    <row r="6821" spans="1:2">
      <c r="A6821" s="1" t="s">
        <v>7594</v>
      </c>
      <c r="B6821" t="s">
        <v>637</v>
      </c>
    </row>
    <row r="6822" spans="1:2">
      <c r="A6822" s="1" t="s">
        <v>7595</v>
      </c>
      <c r="B6822" t="s">
        <v>637</v>
      </c>
    </row>
    <row r="6823" spans="1:2">
      <c r="A6823" s="1" t="s">
        <v>7596</v>
      </c>
      <c r="B6823" t="s">
        <v>637</v>
      </c>
    </row>
    <row r="6824" spans="1:2">
      <c r="A6824" s="1" t="s">
        <v>7597</v>
      </c>
      <c r="B6824" t="s">
        <v>637</v>
      </c>
    </row>
    <row r="6825" spans="1:2">
      <c r="A6825" s="1" t="s">
        <v>7598</v>
      </c>
      <c r="B6825" t="s">
        <v>637</v>
      </c>
    </row>
    <row r="6826" spans="1:2">
      <c r="A6826" s="1" t="s">
        <v>7599</v>
      </c>
      <c r="B6826" t="s">
        <v>637</v>
      </c>
    </row>
    <row r="6827" spans="1:2">
      <c r="A6827" s="1" t="s">
        <v>7600</v>
      </c>
      <c r="B6827" t="s">
        <v>637</v>
      </c>
    </row>
    <row r="6828" spans="1:2">
      <c r="A6828" s="1" t="s">
        <v>7601</v>
      </c>
      <c r="B6828" t="s">
        <v>637</v>
      </c>
    </row>
    <row r="6829" spans="1:2">
      <c r="A6829" s="1" t="s">
        <v>7602</v>
      </c>
      <c r="B6829" t="s">
        <v>637</v>
      </c>
    </row>
    <row r="6830" spans="1:2">
      <c r="A6830" s="1" t="s">
        <v>7603</v>
      </c>
      <c r="B6830" t="s">
        <v>637</v>
      </c>
    </row>
    <row r="6831" spans="1:2">
      <c r="A6831" s="1" t="s">
        <v>7604</v>
      </c>
      <c r="B6831" t="s">
        <v>637</v>
      </c>
    </row>
    <row r="6832" spans="1:2">
      <c r="A6832" s="1" t="s">
        <v>7605</v>
      </c>
      <c r="B6832" t="s">
        <v>637</v>
      </c>
    </row>
    <row r="6833" spans="1:2">
      <c r="A6833" s="1" t="s">
        <v>7606</v>
      </c>
      <c r="B6833" t="s">
        <v>637</v>
      </c>
    </row>
    <row r="6834" spans="1:2">
      <c r="A6834" s="1" t="s">
        <v>7607</v>
      </c>
      <c r="B6834" t="s">
        <v>637</v>
      </c>
    </row>
    <row r="6835" spans="1:2">
      <c r="A6835" s="1" t="s">
        <v>7608</v>
      </c>
      <c r="B6835" t="s">
        <v>637</v>
      </c>
    </row>
    <row r="6836" spans="1:2">
      <c r="A6836" s="1" t="s">
        <v>7609</v>
      </c>
      <c r="B6836" t="s">
        <v>637</v>
      </c>
    </row>
    <row r="6837" spans="1:2">
      <c r="A6837" s="1" t="s">
        <v>7610</v>
      </c>
      <c r="B6837" t="s">
        <v>637</v>
      </c>
    </row>
    <row r="6838" spans="1:2">
      <c r="A6838" s="1" t="s">
        <v>7611</v>
      </c>
      <c r="B6838" t="s">
        <v>637</v>
      </c>
    </row>
    <row r="6839" spans="1:2">
      <c r="A6839" s="1" t="s">
        <v>7612</v>
      </c>
      <c r="B6839" t="s">
        <v>637</v>
      </c>
    </row>
    <row r="6840" spans="1:2">
      <c r="A6840" s="1" t="s">
        <v>7613</v>
      </c>
      <c r="B6840" t="s">
        <v>637</v>
      </c>
    </row>
    <row r="6841" spans="1:2">
      <c r="A6841" s="1" t="s">
        <v>7614</v>
      </c>
      <c r="B6841" t="s">
        <v>637</v>
      </c>
    </row>
    <row r="6842" spans="1:2">
      <c r="A6842" s="1" t="s">
        <v>7615</v>
      </c>
      <c r="B6842" t="s">
        <v>637</v>
      </c>
    </row>
    <row r="6843" spans="1:2">
      <c r="A6843" s="1" t="s">
        <v>7616</v>
      </c>
      <c r="B6843" t="s">
        <v>637</v>
      </c>
    </row>
    <row r="6844" spans="1:2">
      <c r="A6844" s="1" t="s">
        <v>7617</v>
      </c>
      <c r="B6844" t="s">
        <v>637</v>
      </c>
    </row>
    <row r="6845" spans="1:2">
      <c r="A6845" s="1" t="s">
        <v>7618</v>
      </c>
      <c r="B6845" t="s">
        <v>637</v>
      </c>
    </row>
    <row r="6846" spans="1:2">
      <c r="A6846" s="1" t="s">
        <v>7619</v>
      </c>
      <c r="B6846" t="s">
        <v>637</v>
      </c>
    </row>
    <row r="6847" spans="1:2">
      <c r="A6847" s="1" t="s">
        <v>7620</v>
      </c>
      <c r="B6847" t="s">
        <v>637</v>
      </c>
    </row>
    <row r="6848" spans="1:2">
      <c r="A6848" s="1" t="s">
        <v>7621</v>
      </c>
      <c r="B6848" t="s">
        <v>637</v>
      </c>
    </row>
    <row r="6849" spans="1:2">
      <c r="A6849" s="1" t="s">
        <v>7622</v>
      </c>
      <c r="B6849" t="s">
        <v>637</v>
      </c>
    </row>
    <row r="6850" spans="1:2">
      <c r="A6850" s="1" t="s">
        <v>7623</v>
      </c>
      <c r="B6850" t="s">
        <v>637</v>
      </c>
    </row>
    <row r="6851" spans="1:2">
      <c r="A6851" s="1" t="s">
        <v>7624</v>
      </c>
      <c r="B6851" t="s">
        <v>637</v>
      </c>
    </row>
    <row r="6852" spans="1:2">
      <c r="A6852" s="1" t="s">
        <v>7625</v>
      </c>
      <c r="B6852" t="s">
        <v>637</v>
      </c>
    </row>
    <row r="6853" spans="1:2">
      <c r="A6853" s="1" t="s">
        <v>7626</v>
      </c>
      <c r="B6853" t="s">
        <v>637</v>
      </c>
    </row>
    <row r="6854" spans="1:2">
      <c r="A6854" s="1" t="s">
        <v>7627</v>
      </c>
      <c r="B6854" t="s">
        <v>637</v>
      </c>
    </row>
    <row r="6855" spans="1:2">
      <c r="A6855" s="1" t="s">
        <v>7628</v>
      </c>
      <c r="B6855" t="s">
        <v>637</v>
      </c>
    </row>
    <row r="6856" spans="1:2">
      <c r="A6856" s="1" t="s">
        <v>7629</v>
      </c>
      <c r="B6856" t="s">
        <v>637</v>
      </c>
    </row>
    <row r="6857" spans="1:2">
      <c r="A6857" s="1" t="s">
        <v>7630</v>
      </c>
      <c r="B6857" t="s">
        <v>637</v>
      </c>
    </row>
    <row r="6858" spans="1:2">
      <c r="A6858" s="1" t="s">
        <v>7631</v>
      </c>
      <c r="B6858" t="s">
        <v>637</v>
      </c>
    </row>
    <row r="6859" spans="1:2">
      <c r="A6859" s="1" t="s">
        <v>7632</v>
      </c>
      <c r="B6859" t="s">
        <v>637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637</v>
      </c>
    </row>
    <row r="6862" spans="1:2">
      <c r="A6862" s="1" t="s">
        <v>7635</v>
      </c>
      <c r="B6862" t="s">
        <v>637</v>
      </c>
    </row>
    <row r="6863" spans="1:2">
      <c r="A6863" s="1" t="s">
        <v>7636</v>
      </c>
      <c r="B6863" t="s">
        <v>637</v>
      </c>
    </row>
    <row r="6864" spans="1:2">
      <c r="A6864" s="1" t="s">
        <v>7637</v>
      </c>
      <c r="B6864" t="s">
        <v>637</v>
      </c>
    </row>
    <row r="6865" spans="1:2">
      <c r="A6865" s="1" t="s">
        <v>7638</v>
      </c>
      <c r="B6865" t="s">
        <v>637</v>
      </c>
    </row>
    <row r="6866" spans="1:2">
      <c r="A6866" s="1" t="s">
        <v>7639</v>
      </c>
      <c r="B6866" t="s">
        <v>637</v>
      </c>
    </row>
    <row r="6867" spans="1:2">
      <c r="A6867" s="1" t="s">
        <v>7640</v>
      </c>
      <c r="B6867" t="s">
        <v>637</v>
      </c>
    </row>
    <row r="6868" spans="1:2">
      <c r="A6868" s="1" t="s">
        <v>7641</v>
      </c>
      <c r="B6868" t="s">
        <v>637</v>
      </c>
    </row>
    <row r="6869" spans="1:2">
      <c r="A6869" s="1" t="s">
        <v>7642</v>
      </c>
      <c r="B6869" t="s">
        <v>637</v>
      </c>
    </row>
    <row r="6870" spans="1:2">
      <c r="A6870" s="1" t="s">
        <v>7643</v>
      </c>
      <c r="B6870" t="s">
        <v>637</v>
      </c>
    </row>
    <row r="6871" spans="1:2">
      <c r="A6871" s="1" t="s">
        <v>7644</v>
      </c>
      <c r="B6871" t="s">
        <v>637</v>
      </c>
    </row>
    <row r="6872" spans="1:2">
      <c r="A6872" s="1" t="s">
        <v>7645</v>
      </c>
      <c r="B6872" t="s">
        <v>637</v>
      </c>
    </row>
    <row r="6873" spans="1:2">
      <c r="A6873" s="1" t="s">
        <v>7646</v>
      </c>
      <c r="B6873" t="s">
        <v>637</v>
      </c>
    </row>
    <row r="6874" spans="1:2">
      <c r="A6874" s="1" t="s">
        <v>7647</v>
      </c>
      <c r="B6874" t="s">
        <v>637</v>
      </c>
    </row>
    <row r="6875" spans="1:2">
      <c r="A6875" s="1" t="s">
        <v>7648</v>
      </c>
      <c r="B6875" t="s">
        <v>637</v>
      </c>
    </row>
    <row r="6876" spans="1:2">
      <c r="A6876" s="1" t="s">
        <v>7649</v>
      </c>
      <c r="B6876" t="s">
        <v>637</v>
      </c>
    </row>
    <row r="6877" spans="1:2">
      <c r="A6877" s="1" t="s">
        <v>7650</v>
      </c>
      <c r="B6877" t="s">
        <v>637</v>
      </c>
    </row>
    <row r="6878" spans="1:2">
      <c r="A6878" s="1" t="s">
        <v>7651</v>
      </c>
      <c r="B6878" t="s">
        <v>637</v>
      </c>
    </row>
    <row r="6879" spans="1:2">
      <c r="A6879" s="1" t="s">
        <v>7652</v>
      </c>
      <c r="B6879" t="s">
        <v>637</v>
      </c>
    </row>
    <row r="6880" spans="1:2">
      <c r="A6880" s="1" t="s">
        <v>7653</v>
      </c>
      <c r="B6880" t="s">
        <v>637</v>
      </c>
    </row>
    <row r="6881" spans="1:2">
      <c r="A6881" s="1" t="s">
        <v>7654</v>
      </c>
      <c r="B6881" t="s">
        <v>637</v>
      </c>
    </row>
    <row r="6882" spans="1:2">
      <c r="A6882" s="1" t="s">
        <v>7655</v>
      </c>
      <c r="B6882" t="s">
        <v>637</v>
      </c>
    </row>
    <row r="6883" spans="1:2">
      <c r="A6883" s="1" t="s">
        <v>7656</v>
      </c>
      <c r="B6883" t="s">
        <v>637</v>
      </c>
    </row>
    <row r="6884" spans="1:2">
      <c r="A6884" s="1" t="s">
        <v>7657</v>
      </c>
      <c r="B6884" t="s">
        <v>637</v>
      </c>
    </row>
    <row r="6885" spans="1:2">
      <c r="A6885" s="1" t="s">
        <v>7658</v>
      </c>
      <c r="B6885" t="s">
        <v>637</v>
      </c>
    </row>
    <row r="6886" spans="1:2">
      <c r="A6886" s="1" t="s">
        <v>7659</v>
      </c>
      <c r="B6886" t="s">
        <v>637</v>
      </c>
    </row>
    <row r="6887" spans="1:2">
      <c r="A6887" s="1" t="s">
        <v>7660</v>
      </c>
      <c r="B6887" t="s">
        <v>637</v>
      </c>
    </row>
    <row r="6888" spans="1:2">
      <c r="A6888" s="1" t="s">
        <v>7661</v>
      </c>
      <c r="B6888" t="s">
        <v>637</v>
      </c>
    </row>
    <row r="6889" spans="1:2">
      <c r="A6889" s="1" t="s">
        <v>7662</v>
      </c>
      <c r="B6889" t="s">
        <v>637</v>
      </c>
    </row>
    <row r="6890" spans="1:2">
      <c r="A6890" s="1" t="s">
        <v>7663</v>
      </c>
      <c r="B6890" t="s">
        <v>637</v>
      </c>
    </row>
    <row r="6891" spans="1:2">
      <c r="A6891" s="1" t="s">
        <v>7664</v>
      </c>
      <c r="B6891" t="s">
        <v>637</v>
      </c>
    </row>
    <row r="6892" spans="1:2">
      <c r="A6892" s="1" t="s">
        <v>7665</v>
      </c>
      <c r="B6892" t="s">
        <v>637</v>
      </c>
    </row>
    <row r="6893" spans="1:2">
      <c r="A6893" s="1" t="s">
        <v>7666</v>
      </c>
      <c r="B6893" t="s">
        <v>637</v>
      </c>
    </row>
    <row r="6894" spans="1:2">
      <c r="A6894" s="1" t="s">
        <v>7667</v>
      </c>
      <c r="B6894" t="s">
        <v>637</v>
      </c>
    </row>
    <row r="6895" spans="1:2">
      <c r="A6895" s="1" t="s">
        <v>7668</v>
      </c>
      <c r="B6895" t="s">
        <v>637</v>
      </c>
    </row>
    <row r="6896" spans="1:2">
      <c r="A6896" s="1" t="s">
        <v>7669</v>
      </c>
      <c r="B6896" t="s">
        <v>637</v>
      </c>
    </row>
    <row r="6897" spans="1:2">
      <c r="A6897" s="1" t="s">
        <v>7670</v>
      </c>
      <c r="B6897" t="s">
        <v>637</v>
      </c>
    </row>
    <row r="6898" spans="1:2">
      <c r="A6898" s="1" t="s">
        <v>7671</v>
      </c>
      <c r="B6898" t="s">
        <v>637</v>
      </c>
    </row>
    <row r="6899" spans="1:2">
      <c r="A6899" s="1" t="s">
        <v>7672</v>
      </c>
      <c r="B6899" t="s">
        <v>637</v>
      </c>
    </row>
    <row r="6900" spans="1:2">
      <c r="A6900" s="1" t="s">
        <v>7673</v>
      </c>
      <c r="B6900" t="s">
        <v>637</v>
      </c>
    </row>
    <row r="6901" spans="1:2">
      <c r="A6901" s="1" t="s">
        <v>7674</v>
      </c>
      <c r="B6901" t="s">
        <v>637</v>
      </c>
    </row>
    <row r="6902" spans="1:2">
      <c r="A6902" s="1" t="s">
        <v>7675</v>
      </c>
      <c r="B6902" t="s">
        <v>637</v>
      </c>
    </row>
    <row r="6903" spans="1:2">
      <c r="A6903" s="1" t="s">
        <v>7676</v>
      </c>
      <c r="B6903" t="s">
        <v>637</v>
      </c>
    </row>
    <row r="6904" spans="1:2">
      <c r="A6904" s="1" t="s">
        <v>7677</v>
      </c>
      <c r="B6904" t="s">
        <v>637</v>
      </c>
    </row>
    <row r="6905" spans="1:2">
      <c r="A6905" s="1" t="s">
        <v>7678</v>
      </c>
      <c r="B6905" t="s">
        <v>637</v>
      </c>
    </row>
    <row r="6906" spans="1:2">
      <c r="A6906" s="1" t="s">
        <v>7679</v>
      </c>
      <c r="B6906" t="s">
        <v>637</v>
      </c>
    </row>
    <row r="6907" spans="1:2">
      <c r="A6907" s="1" t="s">
        <v>7680</v>
      </c>
      <c r="B6907" t="s">
        <v>637</v>
      </c>
    </row>
    <row r="6908" spans="1:2">
      <c r="A6908" s="1" t="s">
        <v>7681</v>
      </c>
      <c r="B6908" t="s">
        <v>637</v>
      </c>
    </row>
    <row r="6909" spans="1:2">
      <c r="A6909" s="1" t="s">
        <v>7682</v>
      </c>
      <c r="B6909" t="s">
        <v>637</v>
      </c>
    </row>
    <row r="6910" spans="1:2">
      <c r="A6910" s="1" t="s">
        <v>7683</v>
      </c>
      <c r="B6910" t="s">
        <v>637</v>
      </c>
    </row>
    <row r="6911" spans="1:2">
      <c r="A6911" s="1" t="s">
        <v>7684</v>
      </c>
      <c r="B6911" t="s">
        <v>637</v>
      </c>
    </row>
    <row r="6912" spans="1:2">
      <c r="A6912" s="1" t="s">
        <v>7685</v>
      </c>
      <c r="B6912" t="s">
        <v>637</v>
      </c>
    </row>
    <row r="6913" spans="1:2">
      <c r="A6913" s="1" t="s">
        <v>7686</v>
      </c>
      <c r="B6913" t="s">
        <v>637</v>
      </c>
    </row>
    <row r="6914" spans="1:2">
      <c r="A6914" s="1" t="s">
        <v>7687</v>
      </c>
      <c r="B6914" t="s">
        <v>637</v>
      </c>
    </row>
    <row r="6915" spans="1:2">
      <c r="A6915" s="1" t="s">
        <v>7688</v>
      </c>
      <c r="B6915" t="s">
        <v>637</v>
      </c>
    </row>
    <row r="6916" spans="1:2">
      <c r="A6916" s="1" t="s">
        <v>7689</v>
      </c>
      <c r="B6916" t="s">
        <v>637</v>
      </c>
    </row>
    <row r="6917" spans="1:2">
      <c r="A6917" s="1" t="s">
        <v>7690</v>
      </c>
      <c r="B6917" t="s">
        <v>637</v>
      </c>
    </row>
    <row r="6918" spans="1:2">
      <c r="A6918" s="1" t="s">
        <v>7691</v>
      </c>
      <c r="B6918" t="s">
        <v>637</v>
      </c>
    </row>
    <row r="6919" spans="1:2">
      <c r="A6919" s="1" t="s">
        <v>7692</v>
      </c>
      <c r="B6919" t="s">
        <v>637</v>
      </c>
    </row>
    <row r="6920" spans="1:2">
      <c r="A6920" s="1" t="s">
        <v>7693</v>
      </c>
      <c r="B6920" t="s">
        <v>637</v>
      </c>
    </row>
    <row r="6921" spans="1:2">
      <c r="A6921" s="1" t="s">
        <v>7694</v>
      </c>
      <c r="B6921" t="s">
        <v>637</v>
      </c>
    </row>
    <row r="6922" spans="1:2">
      <c r="A6922" s="1" t="s">
        <v>7695</v>
      </c>
      <c r="B6922" t="s">
        <v>637</v>
      </c>
    </row>
    <row r="6923" spans="1:2">
      <c r="A6923" s="1" t="s">
        <v>7696</v>
      </c>
      <c r="B6923" t="s">
        <v>637</v>
      </c>
    </row>
    <row r="6924" spans="1:2">
      <c r="A6924" s="1" t="s">
        <v>7697</v>
      </c>
      <c r="B6924" t="s">
        <v>637</v>
      </c>
    </row>
    <row r="6925" spans="1:2">
      <c r="A6925" s="1" t="s">
        <v>7698</v>
      </c>
      <c r="B6925" t="s">
        <v>637</v>
      </c>
    </row>
    <row r="6926" spans="1:2">
      <c r="A6926" s="1" t="s">
        <v>7699</v>
      </c>
      <c r="B6926" t="s">
        <v>637</v>
      </c>
    </row>
    <row r="6927" spans="1:2">
      <c r="A6927" s="1" t="s">
        <v>7700</v>
      </c>
      <c r="B6927" t="s">
        <v>637</v>
      </c>
    </row>
    <row r="6928" spans="1:2">
      <c r="A6928" s="1" t="s">
        <v>7701</v>
      </c>
      <c r="B6928" t="s">
        <v>637</v>
      </c>
    </row>
    <row r="6929" spans="1:2">
      <c r="A6929" s="1" t="s">
        <v>7702</v>
      </c>
      <c r="B6929" t="s">
        <v>637</v>
      </c>
    </row>
    <row r="6930" spans="1:2">
      <c r="A6930" s="1" t="s">
        <v>7703</v>
      </c>
      <c r="B6930" t="s">
        <v>637</v>
      </c>
    </row>
    <row r="6931" spans="1:2">
      <c r="A6931" s="1" t="s">
        <v>7704</v>
      </c>
      <c r="B6931" t="s">
        <v>637</v>
      </c>
    </row>
    <row r="6932" spans="1:2">
      <c r="A6932" s="1" t="s">
        <v>7705</v>
      </c>
      <c r="B6932" t="s">
        <v>637</v>
      </c>
    </row>
    <row r="6933" spans="1:2">
      <c r="A6933" s="1" t="s">
        <v>7706</v>
      </c>
      <c r="B6933" t="s">
        <v>637</v>
      </c>
    </row>
    <row r="6934" spans="1:2">
      <c r="A6934" s="1" t="s">
        <v>7707</v>
      </c>
      <c r="B6934" t="s">
        <v>637</v>
      </c>
    </row>
    <row r="6935" spans="1:2">
      <c r="A6935" s="1" t="s">
        <v>7708</v>
      </c>
      <c r="B6935" t="s">
        <v>637</v>
      </c>
    </row>
    <row r="6936" spans="1:2">
      <c r="A6936" s="1" t="s">
        <v>7709</v>
      </c>
      <c r="B6936" t="s">
        <v>637</v>
      </c>
    </row>
    <row r="6937" spans="1:2">
      <c r="A6937" s="1" t="s">
        <v>7710</v>
      </c>
      <c r="B6937" t="s">
        <v>637</v>
      </c>
    </row>
    <row r="6938" spans="1:2">
      <c r="A6938" s="1" t="s">
        <v>7711</v>
      </c>
      <c r="B6938" t="s">
        <v>637</v>
      </c>
    </row>
    <row r="6939" spans="1:2">
      <c r="A6939" s="1" t="s">
        <v>7712</v>
      </c>
      <c r="B6939" t="s">
        <v>637</v>
      </c>
    </row>
    <row r="6940" spans="1:2">
      <c r="A6940" s="1" t="s">
        <v>7713</v>
      </c>
      <c r="B6940" t="s">
        <v>637</v>
      </c>
    </row>
    <row r="6941" spans="1:2">
      <c r="A6941" s="1" t="s">
        <v>7714</v>
      </c>
      <c r="B6941" t="s">
        <v>637</v>
      </c>
    </row>
    <row r="6942" spans="1:2">
      <c r="A6942" s="1" t="s">
        <v>7715</v>
      </c>
      <c r="B6942" t="s">
        <v>637</v>
      </c>
    </row>
    <row r="6943" spans="1:2">
      <c r="A6943" s="1" t="s">
        <v>7716</v>
      </c>
      <c r="B6943" t="s">
        <v>637</v>
      </c>
    </row>
    <row r="6944" spans="1:2">
      <c r="A6944" s="1" t="s">
        <v>7717</v>
      </c>
      <c r="B6944" t="s">
        <v>637</v>
      </c>
    </row>
    <row r="6945" spans="1:2">
      <c r="A6945" s="1" t="s">
        <v>7718</v>
      </c>
      <c r="B6945" t="s">
        <v>637</v>
      </c>
    </row>
    <row r="6946" spans="1:2">
      <c r="A6946" s="1" t="s">
        <v>7719</v>
      </c>
      <c r="B6946" t="s">
        <v>637</v>
      </c>
    </row>
    <row r="6947" spans="1:2">
      <c r="A6947" s="1" t="s">
        <v>7720</v>
      </c>
      <c r="B6947" t="s">
        <v>637</v>
      </c>
    </row>
    <row r="6948" spans="1:2">
      <c r="A6948" s="1" t="s">
        <v>7721</v>
      </c>
      <c r="B6948" t="s">
        <v>637</v>
      </c>
    </row>
    <row r="6949" spans="1:2">
      <c r="A6949" s="1" t="s">
        <v>7722</v>
      </c>
      <c r="B6949" t="s">
        <v>637</v>
      </c>
    </row>
    <row r="6950" spans="1:2">
      <c r="A6950" s="1" t="s">
        <v>7723</v>
      </c>
      <c r="B6950" t="s">
        <v>637</v>
      </c>
    </row>
    <row r="6951" spans="1:2">
      <c r="A6951" s="1" t="s">
        <v>7724</v>
      </c>
      <c r="B6951" t="s">
        <v>637</v>
      </c>
    </row>
    <row r="6952" spans="1:2">
      <c r="A6952" s="1" t="s">
        <v>7725</v>
      </c>
      <c r="B6952" t="s">
        <v>637</v>
      </c>
    </row>
    <row r="6953" spans="1:2">
      <c r="A6953" s="1" t="s">
        <v>7726</v>
      </c>
      <c r="B6953" t="s">
        <v>637</v>
      </c>
    </row>
    <row r="6954" spans="1:2">
      <c r="A6954" s="1" t="s">
        <v>7727</v>
      </c>
      <c r="B6954" t="s">
        <v>637</v>
      </c>
    </row>
    <row r="6955" spans="1:2">
      <c r="A6955" s="1" t="s">
        <v>7728</v>
      </c>
      <c r="B6955" t="s">
        <v>637</v>
      </c>
    </row>
    <row r="6956" spans="1:2">
      <c r="A6956" s="1" t="s">
        <v>7729</v>
      </c>
      <c r="B6956" t="s">
        <v>637</v>
      </c>
    </row>
    <row r="6957" spans="1:2">
      <c r="A6957" s="1" t="s">
        <v>7730</v>
      </c>
      <c r="B6957" t="s">
        <v>637</v>
      </c>
    </row>
    <row r="6958" spans="1:2">
      <c r="A6958" s="1" t="s">
        <v>7731</v>
      </c>
      <c r="B6958" t="s">
        <v>637</v>
      </c>
    </row>
    <row r="6959" spans="1:2">
      <c r="A6959" s="1" t="s">
        <v>7732</v>
      </c>
      <c r="B6959" t="s">
        <v>637</v>
      </c>
    </row>
    <row r="6960" spans="1:2">
      <c r="A6960" s="1" t="s">
        <v>7733</v>
      </c>
      <c r="B6960" t="s">
        <v>637</v>
      </c>
    </row>
    <row r="6961" spans="1:2">
      <c r="A6961" s="1" t="s">
        <v>7734</v>
      </c>
      <c r="B6961" t="s">
        <v>637</v>
      </c>
    </row>
    <row r="6962" spans="1:2">
      <c r="A6962" s="1" t="s">
        <v>7735</v>
      </c>
      <c r="B6962" t="s">
        <v>637</v>
      </c>
    </row>
    <row r="6963" spans="1:2">
      <c r="A6963" s="1" t="s">
        <v>7736</v>
      </c>
      <c r="B6963" t="s">
        <v>637</v>
      </c>
    </row>
    <row r="6964" spans="1:2">
      <c r="A6964" s="1" t="s">
        <v>7737</v>
      </c>
      <c r="B6964" t="s">
        <v>637</v>
      </c>
    </row>
    <row r="6965" spans="1:2">
      <c r="A6965" s="1" t="s">
        <v>7738</v>
      </c>
      <c r="B6965" t="s">
        <v>637</v>
      </c>
    </row>
    <row r="6966" spans="1:2">
      <c r="A6966" s="1" t="s">
        <v>7739</v>
      </c>
      <c r="B6966" t="s">
        <v>637</v>
      </c>
    </row>
    <row r="6967" spans="1:2">
      <c r="A6967" s="1" t="s">
        <v>7740</v>
      </c>
      <c r="B6967" t="s">
        <v>637</v>
      </c>
    </row>
    <row r="6968" spans="1:2">
      <c r="A6968" s="1" t="s">
        <v>7741</v>
      </c>
      <c r="B6968" t="s">
        <v>637</v>
      </c>
    </row>
    <row r="6969" spans="1:2">
      <c r="A6969" s="1" t="s">
        <v>7742</v>
      </c>
      <c r="B6969" t="s">
        <v>637</v>
      </c>
    </row>
    <row r="6970" spans="1:2">
      <c r="A6970" s="1" t="s">
        <v>7743</v>
      </c>
      <c r="B6970" t="s">
        <v>637</v>
      </c>
    </row>
    <row r="6971" spans="1:2">
      <c r="A6971" s="1" t="s">
        <v>7744</v>
      </c>
      <c r="B6971" t="s">
        <v>637</v>
      </c>
    </row>
    <row r="6972" spans="1:2">
      <c r="A6972" s="1" t="s">
        <v>7745</v>
      </c>
      <c r="B6972" t="s">
        <v>637</v>
      </c>
    </row>
    <row r="6973" spans="1:2">
      <c r="A6973" s="1" t="s">
        <v>7746</v>
      </c>
      <c r="B6973" t="s">
        <v>637</v>
      </c>
    </row>
    <row r="6974" spans="1:2">
      <c r="A6974" s="1" t="s">
        <v>7747</v>
      </c>
      <c r="B6974" t="s">
        <v>637</v>
      </c>
    </row>
    <row r="6975" spans="1:2">
      <c r="A6975" s="1" t="s">
        <v>7748</v>
      </c>
      <c r="B6975" t="s">
        <v>637</v>
      </c>
    </row>
    <row r="6976" spans="1:2">
      <c r="A6976" s="1" t="s">
        <v>7749</v>
      </c>
      <c r="B6976" t="s">
        <v>637</v>
      </c>
    </row>
    <row r="6977" spans="1:2">
      <c r="A6977" s="1" t="s">
        <v>7750</v>
      </c>
      <c r="B6977" t="s">
        <v>637</v>
      </c>
    </row>
    <row r="6978" spans="1:2">
      <c r="A6978" s="1" t="s">
        <v>7751</v>
      </c>
      <c r="B6978" t="s">
        <v>637</v>
      </c>
    </row>
    <row r="6979" spans="1:2">
      <c r="A6979" s="1" t="s">
        <v>7752</v>
      </c>
      <c r="B6979" t="s">
        <v>637</v>
      </c>
    </row>
    <row r="6980" spans="1:2">
      <c r="A6980" s="1" t="s">
        <v>7753</v>
      </c>
      <c r="B6980" t="s">
        <v>637</v>
      </c>
    </row>
    <row r="6981" spans="1:2">
      <c r="A6981" s="1" t="s">
        <v>7754</v>
      </c>
      <c r="B6981" t="s">
        <v>637</v>
      </c>
    </row>
    <row r="6982" spans="1:2">
      <c r="A6982" s="1" t="s">
        <v>7755</v>
      </c>
      <c r="B6982" t="s">
        <v>637</v>
      </c>
    </row>
    <row r="6983" spans="1:2">
      <c r="A6983" s="1" t="s">
        <v>7756</v>
      </c>
      <c r="B6983" t="s">
        <v>637</v>
      </c>
    </row>
    <row r="6984" spans="1:2">
      <c r="A6984" s="1" t="s">
        <v>7757</v>
      </c>
      <c r="B6984" t="s">
        <v>637</v>
      </c>
    </row>
    <row r="6985" spans="1:2">
      <c r="A6985" s="1" t="s">
        <v>7758</v>
      </c>
      <c r="B6985" t="s">
        <v>637</v>
      </c>
    </row>
    <row r="6986" spans="1:2">
      <c r="A6986" s="1" t="s">
        <v>7759</v>
      </c>
      <c r="B6986" t="s">
        <v>637</v>
      </c>
    </row>
    <row r="6987" spans="1:2">
      <c r="A6987" s="1" t="s">
        <v>7760</v>
      </c>
      <c r="B6987" t="s">
        <v>637</v>
      </c>
    </row>
    <row r="6988" spans="1:2">
      <c r="A6988" s="1" t="s">
        <v>7761</v>
      </c>
      <c r="B6988" t="s">
        <v>637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637</v>
      </c>
    </row>
    <row r="6991" spans="1:2">
      <c r="A6991" s="1" t="s">
        <v>7764</v>
      </c>
      <c r="B6991" t="s">
        <v>637</v>
      </c>
    </row>
    <row r="6992" spans="1:2">
      <c r="A6992" s="1" t="s">
        <v>7765</v>
      </c>
      <c r="B6992" t="s">
        <v>637</v>
      </c>
    </row>
    <row r="6993" spans="1:2">
      <c r="A6993" s="1" t="s">
        <v>7766</v>
      </c>
      <c r="B6993" t="s">
        <v>637</v>
      </c>
    </row>
    <row r="6994" spans="1:2">
      <c r="A6994" s="1" t="s">
        <v>7767</v>
      </c>
      <c r="B6994" t="s">
        <v>637</v>
      </c>
    </row>
    <row r="6995" spans="1:2">
      <c r="A6995" s="1" t="s">
        <v>7768</v>
      </c>
      <c r="B6995" t="s">
        <v>637</v>
      </c>
    </row>
    <row r="6996" spans="1:2">
      <c r="A6996" s="1" t="s">
        <v>7769</v>
      </c>
      <c r="B6996" t="s">
        <v>637</v>
      </c>
    </row>
    <row r="6997" spans="1:2">
      <c r="A6997" s="1" t="s">
        <v>7770</v>
      </c>
      <c r="B6997" t="s">
        <v>637</v>
      </c>
    </row>
    <row r="6998" spans="1:2">
      <c r="A6998" s="1" t="s">
        <v>7771</v>
      </c>
      <c r="B6998" t="s">
        <v>637</v>
      </c>
    </row>
    <row r="6999" spans="1:2">
      <c r="A6999" s="1" t="s">
        <v>7772</v>
      </c>
      <c r="B6999" t="s">
        <v>637</v>
      </c>
    </row>
    <row r="7000" spans="1:2">
      <c r="A7000" s="1" t="s">
        <v>7773</v>
      </c>
      <c r="B7000" t="s">
        <v>637</v>
      </c>
    </row>
    <row r="7001" spans="1:2">
      <c r="A7001" s="1" t="s">
        <v>7774</v>
      </c>
      <c r="B7001" t="s">
        <v>637</v>
      </c>
    </row>
    <row r="7002" spans="1:2">
      <c r="A7002" s="1" t="s">
        <v>7775</v>
      </c>
      <c r="B7002" t="s">
        <v>637</v>
      </c>
    </row>
    <row r="7003" spans="1:2">
      <c r="A7003" s="1" t="s">
        <v>7776</v>
      </c>
      <c r="B7003" t="s">
        <v>637</v>
      </c>
    </row>
    <row r="7004" spans="1:2">
      <c r="A7004" s="1" t="s">
        <v>7777</v>
      </c>
      <c r="B7004" t="s">
        <v>637</v>
      </c>
    </row>
    <row r="7005" spans="1:2">
      <c r="A7005" s="1" t="s">
        <v>7778</v>
      </c>
      <c r="B7005" t="s">
        <v>637</v>
      </c>
    </row>
    <row r="7006" spans="1:2">
      <c r="A7006" s="1" t="s">
        <v>7779</v>
      </c>
      <c r="B7006" t="s">
        <v>637</v>
      </c>
    </row>
    <row r="7007" spans="1:2">
      <c r="A7007" s="1" t="s">
        <v>7780</v>
      </c>
      <c r="B7007" t="s">
        <v>637</v>
      </c>
    </row>
    <row r="7008" spans="1:2">
      <c r="A7008" s="1" t="s">
        <v>7781</v>
      </c>
      <c r="B7008" t="s">
        <v>637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637</v>
      </c>
    </row>
    <row r="7011" spans="1:2">
      <c r="A7011" s="1" t="s">
        <v>7784</v>
      </c>
      <c r="B7011" t="s">
        <v>637</v>
      </c>
    </row>
    <row r="7012" spans="1:2">
      <c r="A7012" s="1" t="s">
        <v>7785</v>
      </c>
      <c r="B7012" t="s">
        <v>637</v>
      </c>
    </row>
    <row r="7013" spans="1:2">
      <c r="A7013" s="1" t="s">
        <v>7786</v>
      </c>
      <c r="B7013" t="s">
        <v>637</v>
      </c>
    </row>
    <row r="7014" spans="1:2">
      <c r="A7014" s="1" t="s">
        <v>7787</v>
      </c>
      <c r="B7014" t="s">
        <v>637</v>
      </c>
    </row>
    <row r="7015" spans="1:2">
      <c r="A7015" s="1" t="s">
        <v>7788</v>
      </c>
      <c r="B7015" t="s">
        <v>637</v>
      </c>
    </row>
    <row r="7016" spans="1:2">
      <c r="A7016" s="1" t="s">
        <v>7789</v>
      </c>
      <c r="B7016" t="s">
        <v>637</v>
      </c>
    </row>
    <row r="7017" spans="1:2">
      <c r="A7017" s="1" t="s">
        <v>7790</v>
      </c>
      <c r="B7017" t="s">
        <v>637</v>
      </c>
    </row>
    <row r="7018" spans="1:2">
      <c r="A7018" s="1" t="s">
        <v>7791</v>
      </c>
      <c r="B7018" t="s">
        <v>637</v>
      </c>
    </row>
    <row r="7019" spans="1:2">
      <c r="A7019" s="1" t="s">
        <v>7792</v>
      </c>
      <c r="B7019" t="s">
        <v>637</v>
      </c>
    </row>
    <row r="7020" spans="1:2">
      <c r="A7020" s="1" t="s">
        <v>7793</v>
      </c>
      <c r="B7020" t="s">
        <v>637</v>
      </c>
    </row>
    <row r="7021" spans="1:2">
      <c r="A7021" s="1" t="s">
        <v>7794</v>
      </c>
      <c r="B7021" t="s">
        <v>637</v>
      </c>
    </row>
    <row r="7022" spans="1:2">
      <c r="A7022" s="1" t="s">
        <v>7795</v>
      </c>
      <c r="B7022" t="s">
        <v>637</v>
      </c>
    </row>
    <row r="7023" spans="1:2">
      <c r="A7023" s="1" t="s">
        <v>7796</v>
      </c>
      <c r="B7023" t="s">
        <v>637</v>
      </c>
    </row>
    <row r="7024" spans="1:2">
      <c r="A7024" s="1" t="s">
        <v>7797</v>
      </c>
      <c r="B7024" t="s">
        <v>637</v>
      </c>
    </row>
    <row r="7025" spans="1:2">
      <c r="A7025" s="1" t="s">
        <v>7798</v>
      </c>
      <c r="B7025" t="s">
        <v>637</v>
      </c>
    </row>
    <row r="7026" spans="1:2">
      <c r="A7026" s="1" t="s">
        <v>7799</v>
      </c>
      <c r="B7026" t="s">
        <v>637</v>
      </c>
    </row>
    <row r="7027" spans="1:2">
      <c r="A7027" s="1" t="s">
        <v>7800</v>
      </c>
      <c r="B7027" t="s">
        <v>637</v>
      </c>
    </row>
    <row r="7028" spans="1:2">
      <c r="A7028" s="1" t="s">
        <v>7801</v>
      </c>
      <c r="B7028" t="s">
        <v>637</v>
      </c>
    </row>
    <row r="7029" spans="1:2">
      <c r="A7029" s="1" t="s">
        <v>7802</v>
      </c>
      <c r="B7029" t="s">
        <v>637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637</v>
      </c>
    </row>
    <row r="7034" spans="1:2">
      <c r="A7034" s="1" t="s">
        <v>7807</v>
      </c>
      <c r="B7034" t="s">
        <v>637</v>
      </c>
    </row>
    <row r="7035" spans="1:2">
      <c r="A7035" s="1" t="s">
        <v>7808</v>
      </c>
      <c r="B7035" t="s">
        <v>637</v>
      </c>
    </row>
    <row r="7036" spans="1:2">
      <c r="A7036" s="1" t="s">
        <v>7809</v>
      </c>
      <c r="B7036" t="s">
        <v>637</v>
      </c>
    </row>
    <row r="7037" spans="1:2">
      <c r="A7037" s="1" t="s">
        <v>7810</v>
      </c>
      <c r="B7037" t="s">
        <v>637</v>
      </c>
    </row>
    <row r="7038" spans="1:2">
      <c r="A7038" s="1" t="s">
        <v>7811</v>
      </c>
      <c r="B7038" t="s">
        <v>637</v>
      </c>
    </row>
    <row r="7039" spans="1:2">
      <c r="A7039" s="1" t="s">
        <v>7812</v>
      </c>
      <c r="B7039" t="s">
        <v>637</v>
      </c>
    </row>
    <row r="7040" spans="1:2">
      <c r="A7040" s="1" t="s">
        <v>7813</v>
      </c>
      <c r="B7040" t="s">
        <v>637</v>
      </c>
    </row>
    <row r="7041" spans="1:2">
      <c r="A7041" s="1" t="s">
        <v>7814</v>
      </c>
      <c r="B7041" t="s">
        <v>637</v>
      </c>
    </row>
    <row r="7042" spans="1:2">
      <c r="A7042" s="1" t="s">
        <v>7815</v>
      </c>
      <c r="B7042" t="s">
        <v>637</v>
      </c>
    </row>
    <row r="7043" spans="1:2">
      <c r="A7043" s="1" t="s">
        <v>7816</v>
      </c>
      <c r="B7043" t="s">
        <v>637</v>
      </c>
    </row>
    <row r="7044" spans="1:2">
      <c r="A7044" s="1" t="s">
        <v>7817</v>
      </c>
      <c r="B7044" t="s">
        <v>637</v>
      </c>
    </row>
    <row r="7045" spans="1:2">
      <c r="A7045" s="1" t="s">
        <v>7818</v>
      </c>
      <c r="B7045" t="s">
        <v>637</v>
      </c>
    </row>
    <row r="7046" spans="1:2">
      <c r="A7046" s="1" t="s">
        <v>7819</v>
      </c>
      <c r="B7046" t="s">
        <v>637</v>
      </c>
    </row>
    <row r="7047" spans="1:2">
      <c r="A7047" s="1" t="s">
        <v>7820</v>
      </c>
      <c r="B7047" t="s">
        <v>637</v>
      </c>
    </row>
    <row r="7048" spans="1:2">
      <c r="A7048" s="1" t="s">
        <v>7821</v>
      </c>
      <c r="B7048" t="s">
        <v>637</v>
      </c>
    </row>
    <row r="7049" spans="1:2">
      <c r="A7049" s="1" t="s">
        <v>7822</v>
      </c>
      <c r="B7049" t="s">
        <v>637</v>
      </c>
    </row>
    <row r="7050" spans="1:2">
      <c r="A7050" s="1" t="s">
        <v>7823</v>
      </c>
      <c r="B7050" t="s">
        <v>637</v>
      </c>
    </row>
    <row r="7051" spans="1:2">
      <c r="A7051" s="1" t="s">
        <v>7824</v>
      </c>
      <c r="B7051" t="s">
        <v>637</v>
      </c>
    </row>
    <row r="7052" spans="1:2">
      <c r="A7052" s="1" t="s">
        <v>7825</v>
      </c>
      <c r="B7052" t="s">
        <v>637</v>
      </c>
    </row>
    <row r="7053" spans="1:2">
      <c r="A7053" s="1" t="s">
        <v>7826</v>
      </c>
      <c r="B7053" t="s">
        <v>637</v>
      </c>
    </row>
    <row r="7054" spans="1:2">
      <c r="A7054" s="1" t="s">
        <v>7827</v>
      </c>
      <c r="B7054" t="s">
        <v>637</v>
      </c>
    </row>
    <row r="7055" spans="1:2">
      <c r="A7055" s="1" t="s">
        <v>7828</v>
      </c>
      <c r="B7055" t="s">
        <v>637</v>
      </c>
    </row>
    <row r="7056" spans="1:2">
      <c r="A7056" s="1" t="s">
        <v>7829</v>
      </c>
      <c r="B7056" t="s">
        <v>637</v>
      </c>
    </row>
    <row r="7057" spans="1:2">
      <c r="A7057" s="1" t="s">
        <v>7830</v>
      </c>
      <c r="B7057" t="s">
        <v>637</v>
      </c>
    </row>
    <row r="7058" spans="1:2">
      <c r="A7058" s="1" t="s">
        <v>7831</v>
      </c>
      <c r="B7058" t="s">
        <v>637</v>
      </c>
    </row>
    <row r="7059" spans="1:2">
      <c r="A7059" s="1" t="s">
        <v>7832</v>
      </c>
      <c r="B7059" t="s">
        <v>637</v>
      </c>
    </row>
    <row r="7060" spans="1:2">
      <c r="A7060" s="1" t="s">
        <v>7833</v>
      </c>
      <c r="B7060" t="s">
        <v>637</v>
      </c>
    </row>
    <row r="7061" spans="1:2">
      <c r="A7061" s="1" t="s">
        <v>7834</v>
      </c>
      <c r="B7061" t="s">
        <v>637</v>
      </c>
    </row>
    <row r="7062" spans="1:2">
      <c r="A7062" s="1" t="s">
        <v>7835</v>
      </c>
      <c r="B7062" t="s">
        <v>637</v>
      </c>
    </row>
    <row r="7063" spans="1:2">
      <c r="A7063" s="1" t="s">
        <v>7836</v>
      </c>
      <c r="B7063" t="s">
        <v>637</v>
      </c>
    </row>
    <row r="7064" spans="1:2">
      <c r="A7064" s="1" t="s">
        <v>7837</v>
      </c>
      <c r="B7064" t="s">
        <v>637</v>
      </c>
    </row>
    <row r="7065" spans="1:2">
      <c r="A7065" s="1" t="s">
        <v>7838</v>
      </c>
      <c r="B7065" t="s">
        <v>637</v>
      </c>
    </row>
    <row r="7066" spans="1:2">
      <c r="A7066" s="1" t="s">
        <v>7839</v>
      </c>
      <c r="B7066" t="s">
        <v>637</v>
      </c>
    </row>
    <row r="7067" spans="1:2">
      <c r="A7067" s="1" t="s">
        <v>7840</v>
      </c>
      <c r="B7067" t="s">
        <v>637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637</v>
      </c>
    </row>
    <row r="7070" spans="1:2">
      <c r="A7070" s="1" t="s">
        <v>7843</v>
      </c>
      <c r="B7070" t="s">
        <v>637</v>
      </c>
    </row>
    <row r="7071" spans="1:2">
      <c r="A7071" s="1" t="s">
        <v>7844</v>
      </c>
      <c r="B7071" t="s">
        <v>637</v>
      </c>
    </row>
    <row r="7072" spans="1:2">
      <c r="A7072" s="1" t="s">
        <v>7845</v>
      </c>
      <c r="B7072" t="s">
        <v>637</v>
      </c>
    </row>
    <row r="7073" spans="1:2">
      <c r="A7073" s="1" t="s">
        <v>7846</v>
      </c>
      <c r="B7073" t="s">
        <v>637</v>
      </c>
    </row>
    <row r="7074" spans="1:2">
      <c r="A7074" s="1" t="s">
        <v>7847</v>
      </c>
      <c r="B7074" t="s">
        <v>637</v>
      </c>
    </row>
    <row r="7075" spans="1:2">
      <c r="A7075" s="1" t="s">
        <v>7848</v>
      </c>
      <c r="B7075" t="s">
        <v>637</v>
      </c>
    </row>
    <row r="7076" spans="1:2">
      <c r="A7076" s="1" t="s">
        <v>7849</v>
      </c>
      <c r="B7076" t="s">
        <v>637</v>
      </c>
    </row>
    <row r="7077" spans="1:2">
      <c r="A7077" s="1" t="s">
        <v>7850</v>
      </c>
      <c r="B7077" t="s">
        <v>637</v>
      </c>
    </row>
    <row r="7078" spans="1:2">
      <c r="A7078" s="1" t="s">
        <v>7851</v>
      </c>
      <c r="B7078" t="s">
        <v>637</v>
      </c>
    </row>
    <row r="7079" spans="1:2">
      <c r="A7079" s="1" t="s">
        <v>7852</v>
      </c>
      <c r="B7079" t="s">
        <v>637</v>
      </c>
    </row>
    <row r="7080" spans="1:2">
      <c r="A7080" s="1" t="s">
        <v>7853</v>
      </c>
      <c r="B7080" t="s">
        <v>637</v>
      </c>
    </row>
    <row r="7081" spans="1:2">
      <c r="A7081" s="1" t="s">
        <v>7854</v>
      </c>
      <c r="B7081" t="s">
        <v>637</v>
      </c>
    </row>
    <row r="7082" spans="1:2">
      <c r="A7082" s="1" t="s">
        <v>7855</v>
      </c>
      <c r="B7082" t="s">
        <v>637</v>
      </c>
    </row>
    <row r="7083" spans="1:2">
      <c r="A7083" s="1" t="s">
        <v>7856</v>
      </c>
      <c r="B7083" t="s">
        <v>637</v>
      </c>
    </row>
    <row r="7084" spans="1:2">
      <c r="A7084" s="1" t="s">
        <v>7857</v>
      </c>
      <c r="B7084" t="s">
        <v>637</v>
      </c>
    </row>
    <row r="7085" spans="1:2">
      <c r="A7085" s="1" t="s">
        <v>7858</v>
      </c>
      <c r="B7085" t="s">
        <v>637</v>
      </c>
    </row>
    <row r="7086" spans="1:2">
      <c r="A7086" s="1" t="s">
        <v>7859</v>
      </c>
      <c r="B7086" t="s">
        <v>637</v>
      </c>
    </row>
    <row r="7087" spans="1:2">
      <c r="A7087" s="1" t="s">
        <v>7860</v>
      </c>
      <c r="B7087" t="s">
        <v>637</v>
      </c>
    </row>
    <row r="7088" spans="1:2">
      <c r="A7088" s="1" t="s">
        <v>7861</v>
      </c>
      <c r="B7088" t="s">
        <v>637</v>
      </c>
    </row>
    <row r="7089" spans="1:2">
      <c r="A7089" s="1" t="s">
        <v>7862</v>
      </c>
      <c r="B7089" t="s">
        <v>637</v>
      </c>
    </row>
    <row r="7090" spans="1:2">
      <c r="A7090" s="1" t="s">
        <v>7863</v>
      </c>
      <c r="B7090" t="s">
        <v>637</v>
      </c>
    </row>
    <row r="7091" spans="1:2">
      <c r="A7091" s="1" t="s">
        <v>7864</v>
      </c>
      <c r="B7091" t="s">
        <v>637</v>
      </c>
    </row>
    <row r="7092" spans="1:2">
      <c r="A7092" s="1" t="s">
        <v>7865</v>
      </c>
      <c r="B7092" t="s">
        <v>637</v>
      </c>
    </row>
    <row r="7093" spans="1:2">
      <c r="A7093" s="1" t="s">
        <v>7866</v>
      </c>
      <c r="B7093" t="s">
        <v>637</v>
      </c>
    </row>
    <row r="7094" spans="1:2">
      <c r="A7094" s="1" t="s">
        <v>7867</v>
      </c>
      <c r="B7094" t="s">
        <v>637</v>
      </c>
    </row>
    <row r="7095" spans="1:2">
      <c r="A7095" s="1" t="s">
        <v>7868</v>
      </c>
      <c r="B7095" t="s">
        <v>637</v>
      </c>
    </row>
    <row r="7096" spans="1:2">
      <c r="A7096" s="1" t="s">
        <v>7869</v>
      </c>
      <c r="B7096" t="s">
        <v>637</v>
      </c>
    </row>
    <row r="7097" spans="1:2">
      <c r="A7097" s="1" t="s">
        <v>7870</v>
      </c>
      <c r="B7097" t="s">
        <v>637</v>
      </c>
    </row>
    <row r="7098" spans="1:2">
      <c r="A7098" s="1" t="s">
        <v>7871</v>
      </c>
      <c r="B7098" t="s">
        <v>637</v>
      </c>
    </row>
    <row r="7099" spans="1:2">
      <c r="A7099" s="1" t="s">
        <v>7872</v>
      </c>
      <c r="B7099" t="s">
        <v>637</v>
      </c>
    </row>
    <row r="7100" spans="1:2">
      <c r="A7100" s="1" t="s">
        <v>7873</v>
      </c>
      <c r="B7100" t="s">
        <v>637</v>
      </c>
    </row>
    <row r="7101" spans="1:2">
      <c r="A7101" s="1" t="s">
        <v>7874</v>
      </c>
      <c r="B7101" t="s">
        <v>637</v>
      </c>
    </row>
    <row r="7102" spans="1:2">
      <c r="A7102" s="1" t="s">
        <v>7875</v>
      </c>
      <c r="B7102" t="s">
        <v>637</v>
      </c>
    </row>
    <row r="7103" spans="1:2">
      <c r="A7103" s="1" t="s">
        <v>7876</v>
      </c>
      <c r="B7103" t="s">
        <v>637</v>
      </c>
    </row>
    <row r="7104" spans="1:2">
      <c r="A7104" s="1" t="s">
        <v>7877</v>
      </c>
      <c r="B7104" t="s">
        <v>637</v>
      </c>
    </row>
    <row r="7105" spans="1:2">
      <c r="A7105" s="1" t="s">
        <v>7878</v>
      </c>
      <c r="B7105" t="s">
        <v>637</v>
      </c>
    </row>
    <row r="7106" spans="1:2">
      <c r="A7106" s="1" t="s">
        <v>7879</v>
      </c>
      <c r="B7106" t="s">
        <v>637</v>
      </c>
    </row>
    <row r="7107" spans="1:2">
      <c r="A7107" s="1" t="s">
        <v>7880</v>
      </c>
      <c r="B7107" t="s">
        <v>637</v>
      </c>
    </row>
    <row r="7108" spans="1:2">
      <c r="A7108" s="1" t="s">
        <v>7881</v>
      </c>
      <c r="B7108" t="s">
        <v>637</v>
      </c>
    </row>
    <row r="7109" spans="1:2">
      <c r="A7109" s="1" t="s">
        <v>7882</v>
      </c>
      <c r="B7109" t="s">
        <v>637</v>
      </c>
    </row>
    <row r="7110" spans="1:2">
      <c r="A7110" s="1" t="s">
        <v>7883</v>
      </c>
      <c r="B7110" t="s">
        <v>637</v>
      </c>
    </row>
    <row r="7111" spans="1:2">
      <c r="A7111" s="1" t="s">
        <v>7884</v>
      </c>
      <c r="B7111" t="s">
        <v>637</v>
      </c>
    </row>
    <row r="7112" spans="1:2">
      <c r="A7112" s="1" t="s">
        <v>7885</v>
      </c>
      <c r="B7112" t="s">
        <v>637</v>
      </c>
    </row>
    <row r="7113" spans="1:2">
      <c r="A7113" s="1" t="s">
        <v>7886</v>
      </c>
      <c r="B7113" t="s">
        <v>637</v>
      </c>
    </row>
    <row r="7114" spans="1:2">
      <c r="A7114" s="1" t="s">
        <v>7887</v>
      </c>
      <c r="B7114" t="s">
        <v>637</v>
      </c>
    </row>
    <row r="7115" spans="1:2">
      <c r="A7115" s="1" t="s">
        <v>7888</v>
      </c>
      <c r="B7115" t="s">
        <v>637</v>
      </c>
    </row>
    <row r="7116" spans="1:2">
      <c r="A7116" s="1" t="s">
        <v>7889</v>
      </c>
      <c r="B7116" t="s">
        <v>637</v>
      </c>
    </row>
    <row r="7117" spans="1:2">
      <c r="A7117" s="1" t="s">
        <v>7890</v>
      </c>
      <c r="B7117" t="s">
        <v>637</v>
      </c>
    </row>
    <row r="7118" spans="1:2">
      <c r="A7118" s="1" t="s">
        <v>7891</v>
      </c>
      <c r="B7118" t="s">
        <v>637</v>
      </c>
    </row>
    <row r="7119" spans="1:2">
      <c r="A7119" s="1" t="s">
        <v>7892</v>
      </c>
      <c r="B7119" t="s">
        <v>637</v>
      </c>
    </row>
    <row r="7120" spans="1:2">
      <c r="A7120" s="1" t="s">
        <v>7893</v>
      </c>
      <c r="B7120" t="s">
        <v>637</v>
      </c>
    </row>
    <row r="7121" spans="1:2">
      <c r="A7121" s="1" t="s">
        <v>7894</v>
      </c>
      <c r="B7121" t="s">
        <v>637</v>
      </c>
    </row>
    <row r="7122" spans="1:2">
      <c r="A7122" s="1" t="s">
        <v>7895</v>
      </c>
      <c r="B7122" t="s">
        <v>637</v>
      </c>
    </row>
    <row r="7123" spans="1:2">
      <c r="A7123" s="1" t="s">
        <v>7896</v>
      </c>
      <c r="B7123" t="s">
        <v>637</v>
      </c>
    </row>
    <row r="7124" spans="1:2">
      <c r="A7124" s="1" t="s">
        <v>7897</v>
      </c>
      <c r="B7124" t="s">
        <v>637</v>
      </c>
    </row>
    <row r="7125" spans="1:2">
      <c r="A7125" s="1" t="s">
        <v>7898</v>
      </c>
      <c r="B7125" t="s">
        <v>637</v>
      </c>
    </row>
    <row r="7126" spans="1:2">
      <c r="A7126" s="1" t="s">
        <v>7899</v>
      </c>
      <c r="B7126" t="s">
        <v>637</v>
      </c>
    </row>
    <row r="7127" spans="1:2">
      <c r="A7127" s="1" t="s">
        <v>7900</v>
      </c>
      <c r="B7127" t="s">
        <v>637</v>
      </c>
    </row>
    <row r="7128" spans="1:2">
      <c r="A7128" s="1" t="s">
        <v>7901</v>
      </c>
      <c r="B7128" t="s">
        <v>637</v>
      </c>
    </row>
    <row r="7129" spans="1:2">
      <c r="A7129" s="1" t="s">
        <v>7902</v>
      </c>
      <c r="B7129" t="s">
        <v>637</v>
      </c>
    </row>
    <row r="7130" spans="1:2">
      <c r="A7130" s="1" t="s">
        <v>7903</v>
      </c>
      <c r="B7130" t="s">
        <v>637</v>
      </c>
    </row>
    <row r="7131" spans="1:2">
      <c r="A7131" s="1" t="s">
        <v>7904</v>
      </c>
      <c r="B7131" t="s">
        <v>637</v>
      </c>
    </row>
    <row r="7132" spans="1:2">
      <c r="A7132" s="1" t="s">
        <v>7905</v>
      </c>
      <c r="B7132" t="s">
        <v>637</v>
      </c>
    </row>
    <row r="7133" spans="1:2">
      <c r="A7133" s="1" t="s">
        <v>7906</v>
      </c>
      <c r="B7133" t="s">
        <v>637</v>
      </c>
    </row>
    <row r="7134" spans="1:2">
      <c r="A7134" s="1" t="s">
        <v>7907</v>
      </c>
      <c r="B7134" t="s">
        <v>637</v>
      </c>
    </row>
    <row r="7135" spans="1:2">
      <c r="A7135" s="1" t="s">
        <v>7908</v>
      </c>
      <c r="B7135" t="s">
        <v>637</v>
      </c>
    </row>
    <row r="7136" spans="1:2">
      <c r="A7136" s="1" t="s">
        <v>7909</v>
      </c>
      <c r="B7136" t="s">
        <v>637</v>
      </c>
    </row>
    <row r="7137" spans="1:2">
      <c r="A7137" s="1" t="s">
        <v>7910</v>
      </c>
      <c r="B7137" t="s">
        <v>637</v>
      </c>
    </row>
    <row r="7138" spans="1:2">
      <c r="A7138" s="1" t="s">
        <v>7911</v>
      </c>
      <c r="B7138" t="s">
        <v>637</v>
      </c>
    </row>
    <row r="7139" spans="1:2">
      <c r="A7139" s="1" t="s">
        <v>7912</v>
      </c>
      <c r="B7139" t="s">
        <v>637</v>
      </c>
    </row>
    <row r="7140" spans="1:2">
      <c r="A7140" s="1" t="s">
        <v>7913</v>
      </c>
      <c r="B7140" t="s">
        <v>637</v>
      </c>
    </row>
    <row r="7141" spans="1:2">
      <c r="A7141" s="1" t="s">
        <v>7914</v>
      </c>
      <c r="B7141" t="s">
        <v>637</v>
      </c>
    </row>
    <row r="7142" spans="1:2">
      <c r="A7142" s="1" t="s">
        <v>7915</v>
      </c>
      <c r="B7142" t="s">
        <v>637</v>
      </c>
    </row>
    <row r="7143" spans="1:2">
      <c r="A7143" s="1" t="s">
        <v>7916</v>
      </c>
      <c r="B7143" t="s">
        <v>637</v>
      </c>
    </row>
    <row r="7144" spans="1:2">
      <c r="A7144" s="1" t="s">
        <v>7917</v>
      </c>
      <c r="B7144" t="s">
        <v>637</v>
      </c>
    </row>
    <row r="7145" spans="1:2">
      <c r="A7145" s="1" t="s">
        <v>7918</v>
      </c>
      <c r="B7145" t="s">
        <v>637</v>
      </c>
    </row>
    <row r="7146" spans="1:2">
      <c r="A7146" s="1" t="s">
        <v>7919</v>
      </c>
      <c r="B7146" t="s">
        <v>637</v>
      </c>
    </row>
    <row r="7147" spans="1:2">
      <c r="A7147" s="1" t="s">
        <v>7920</v>
      </c>
      <c r="B7147" t="s">
        <v>637</v>
      </c>
    </row>
    <row r="7148" spans="1:2">
      <c r="A7148" s="1" t="s">
        <v>7921</v>
      </c>
      <c r="B7148" t="s">
        <v>637</v>
      </c>
    </row>
    <row r="7149" spans="1:2">
      <c r="A7149" s="1" t="s">
        <v>7922</v>
      </c>
      <c r="B7149" t="s">
        <v>637</v>
      </c>
    </row>
    <row r="7150" spans="1:2">
      <c r="A7150" s="1" t="s">
        <v>7923</v>
      </c>
      <c r="B7150" t="s">
        <v>637</v>
      </c>
    </row>
    <row r="7151" spans="1:2">
      <c r="A7151" s="1" t="s">
        <v>7924</v>
      </c>
      <c r="B7151" t="s">
        <v>637</v>
      </c>
    </row>
    <row r="7152" spans="1:2">
      <c r="A7152" s="1" t="s">
        <v>7925</v>
      </c>
      <c r="B7152" t="s">
        <v>637</v>
      </c>
    </row>
    <row r="7153" spans="1:2">
      <c r="A7153" s="1" t="s">
        <v>7926</v>
      </c>
      <c r="B7153" t="s">
        <v>637</v>
      </c>
    </row>
    <row r="7154" spans="1:2">
      <c r="A7154" s="1" t="s">
        <v>7927</v>
      </c>
      <c r="B7154" t="s">
        <v>637</v>
      </c>
    </row>
    <row r="7155" spans="1:2">
      <c r="A7155" s="1" t="s">
        <v>7928</v>
      </c>
      <c r="B7155" t="s">
        <v>637</v>
      </c>
    </row>
    <row r="7156" spans="1:2">
      <c r="A7156" s="1" t="s">
        <v>7929</v>
      </c>
      <c r="B7156" t="s">
        <v>637</v>
      </c>
    </row>
    <row r="7157" spans="1:2">
      <c r="A7157" s="1" t="s">
        <v>7930</v>
      </c>
      <c r="B7157" t="s">
        <v>637</v>
      </c>
    </row>
    <row r="7158" spans="1:2">
      <c r="A7158" s="1" t="s">
        <v>7931</v>
      </c>
      <c r="B7158" t="s">
        <v>637</v>
      </c>
    </row>
    <row r="7159" spans="1:2">
      <c r="A7159" s="1" t="s">
        <v>7932</v>
      </c>
      <c r="B7159" t="s">
        <v>637</v>
      </c>
    </row>
    <row r="7160" spans="1:2">
      <c r="A7160" s="1" t="s">
        <v>7933</v>
      </c>
      <c r="B7160" t="s">
        <v>637</v>
      </c>
    </row>
    <row r="7161" spans="1:2">
      <c r="A7161" s="1" t="s">
        <v>7934</v>
      </c>
      <c r="B7161" t="s">
        <v>637</v>
      </c>
    </row>
    <row r="7162" spans="1:2">
      <c r="A7162" s="1" t="s">
        <v>7935</v>
      </c>
      <c r="B7162" t="s">
        <v>637</v>
      </c>
    </row>
    <row r="7163" spans="1:2">
      <c r="A7163" s="1" t="s">
        <v>7936</v>
      </c>
      <c r="B7163" t="s">
        <v>637</v>
      </c>
    </row>
    <row r="7164" spans="1:2">
      <c r="A7164" s="1" t="s">
        <v>7937</v>
      </c>
      <c r="B7164" t="s">
        <v>637</v>
      </c>
    </row>
    <row r="7165" spans="1:2">
      <c r="A7165" s="1" t="s">
        <v>7938</v>
      </c>
      <c r="B7165" t="s">
        <v>637</v>
      </c>
    </row>
    <row r="7166" spans="1:2">
      <c r="A7166" s="1" t="s">
        <v>7939</v>
      </c>
      <c r="B7166" t="s">
        <v>637</v>
      </c>
    </row>
    <row r="7167" spans="1:2">
      <c r="A7167" s="1" t="s">
        <v>7940</v>
      </c>
      <c r="B7167" t="s">
        <v>637</v>
      </c>
    </row>
    <row r="7168" spans="1:2">
      <c r="A7168" s="1" t="s">
        <v>7941</v>
      </c>
      <c r="B7168" t="s">
        <v>637</v>
      </c>
    </row>
    <row r="7169" spans="1:2">
      <c r="A7169" s="1" t="s">
        <v>7942</v>
      </c>
      <c r="B7169" t="s">
        <v>637</v>
      </c>
    </row>
    <row r="7170" spans="1:2">
      <c r="A7170" s="1" t="s">
        <v>7943</v>
      </c>
      <c r="B7170" t="s">
        <v>637</v>
      </c>
    </row>
    <row r="7171" spans="1:2">
      <c r="A7171" s="1" t="s">
        <v>7944</v>
      </c>
      <c r="B7171" t="s">
        <v>637</v>
      </c>
    </row>
    <row r="7172" spans="1:2">
      <c r="A7172" s="1" t="s">
        <v>7945</v>
      </c>
      <c r="B7172" t="s">
        <v>637</v>
      </c>
    </row>
    <row r="7173" spans="1:2">
      <c r="A7173" s="1" t="s">
        <v>7946</v>
      </c>
      <c r="B7173" t="s">
        <v>637</v>
      </c>
    </row>
    <row r="7174" spans="1:2">
      <c r="A7174" s="1" t="s">
        <v>7947</v>
      </c>
      <c r="B7174" t="s">
        <v>637</v>
      </c>
    </row>
    <row r="7175" spans="1:2">
      <c r="A7175" s="1" t="s">
        <v>7948</v>
      </c>
      <c r="B7175" t="s">
        <v>637</v>
      </c>
    </row>
    <row r="7176" spans="1:2">
      <c r="A7176" s="1" t="s">
        <v>7949</v>
      </c>
      <c r="B7176" t="s">
        <v>637</v>
      </c>
    </row>
    <row r="7177" spans="1:2">
      <c r="A7177" s="1" t="s">
        <v>7950</v>
      </c>
      <c r="B7177" t="s">
        <v>637</v>
      </c>
    </row>
    <row r="7178" spans="1:2">
      <c r="A7178" s="1" t="s">
        <v>7951</v>
      </c>
      <c r="B7178" t="s">
        <v>637</v>
      </c>
    </row>
    <row r="7179" spans="1:2">
      <c r="A7179" s="1" t="s">
        <v>7952</v>
      </c>
      <c r="B7179" t="s">
        <v>637</v>
      </c>
    </row>
    <row r="7180" spans="1:2">
      <c r="A7180" s="1" t="s">
        <v>7953</v>
      </c>
      <c r="B7180" t="s">
        <v>637</v>
      </c>
    </row>
    <row r="7181" spans="1:2">
      <c r="A7181" s="1" t="s">
        <v>7954</v>
      </c>
      <c r="B7181" t="s">
        <v>637</v>
      </c>
    </row>
    <row r="7182" spans="1:2">
      <c r="A7182" s="1" t="s">
        <v>7955</v>
      </c>
      <c r="B7182" t="s">
        <v>637</v>
      </c>
    </row>
    <row r="7183" spans="1:2">
      <c r="A7183" s="1" t="s">
        <v>7956</v>
      </c>
      <c r="B7183" t="s">
        <v>637</v>
      </c>
    </row>
    <row r="7184" spans="1:2">
      <c r="A7184" s="1" t="s">
        <v>7957</v>
      </c>
      <c r="B7184" t="s">
        <v>637</v>
      </c>
    </row>
    <row r="7185" spans="1:2">
      <c r="A7185" s="1" t="s">
        <v>7958</v>
      </c>
      <c r="B7185" t="s">
        <v>637</v>
      </c>
    </row>
    <row r="7186" spans="1:2">
      <c r="A7186" s="1" t="s">
        <v>7959</v>
      </c>
      <c r="B7186" t="s">
        <v>637</v>
      </c>
    </row>
    <row r="7187" spans="1:2">
      <c r="A7187" s="1" t="s">
        <v>7960</v>
      </c>
      <c r="B7187" t="s">
        <v>637</v>
      </c>
    </row>
    <row r="7188" spans="1:2">
      <c r="A7188" s="1" t="s">
        <v>7961</v>
      </c>
      <c r="B7188" t="s">
        <v>637</v>
      </c>
    </row>
    <row r="7189" spans="1:2">
      <c r="A7189" s="1" t="s">
        <v>7962</v>
      </c>
      <c r="B7189" t="s">
        <v>637</v>
      </c>
    </row>
    <row r="7190" spans="1:2">
      <c r="A7190" s="1" t="s">
        <v>7963</v>
      </c>
      <c r="B7190" t="s">
        <v>637</v>
      </c>
    </row>
    <row r="7191" spans="1:2">
      <c r="A7191" s="1" t="s">
        <v>7964</v>
      </c>
      <c r="B7191" t="s">
        <v>637</v>
      </c>
    </row>
    <row r="7192" spans="1:2">
      <c r="A7192" s="1" t="s">
        <v>7965</v>
      </c>
      <c r="B7192" t="s">
        <v>637</v>
      </c>
    </row>
    <row r="7193" spans="1:2">
      <c r="A7193" s="1" t="s">
        <v>7966</v>
      </c>
      <c r="B7193" t="s">
        <v>637</v>
      </c>
    </row>
    <row r="7194" spans="1:2">
      <c r="A7194" s="1" t="s">
        <v>7967</v>
      </c>
      <c r="B7194" t="s">
        <v>637</v>
      </c>
    </row>
    <row r="7195" spans="1:2">
      <c r="A7195" s="1" t="s">
        <v>7968</v>
      </c>
      <c r="B7195" t="s">
        <v>637</v>
      </c>
    </row>
    <row r="7196" spans="1:2">
      <c r="A7196" s="1" t="s">
        <v>7969</v>
      </c>
      <c r="B7196" t="s">
        <v>637</v>
      </c>
    </row>
    <row r="7197" spans="1:2">
      <c r="A7197" s="1" t="s">
        <v>7970</v>
      </c>
      <c r="B7197" t="s">
        <v>637</v>
      </c>
    </row>
    <row r="7198" spans="1:2">
      <c r="A7198" s="1" t="s">
        <v>7971</v>
      </c>
      <c r="B7198" t="s">
        <v>637</v>
      </c>
    </row>
    <row r="7199" spans="1:2">
      <c r="A7199" s="1" t="s">
        <v>7972</v>
      </c>
      <c r="B7199" t="s">
        <v>637</v>
      </c>
    </row>
    <row r="7200" spans="1:2">
      <c r="A7200" s="1" t="s">
        <v>7973</v>
      </c>
      <c r="B7200" t="s">
        <v>637</v>
      </c>
    </row>
    <row r="7201" spans="1:2">
      <c r="A7201" s="1" t="s">
        <v>7974</v>
      </c>
      <c r="B7201" t="s">
        <v>637</v>
      </c>
    </row>
    <row r="7202" spans="1:2">
      <c r="A7202" s="1" t="s">
        <v>7975</v>
      </c>
      <c r="B7202" t="s">
        <v>637</v>
      </c>
    </row>
    <row r="7203" spans="1:2">
      <c r="A7203" s="1" t="s">
        <v>7976</v>
      </c>
      <c r="B7203" t="s">
        <v>637</v>
      </c>
    </row>
    <row r="7204" spans="1:2">
      <c r="A7204" s="1" t="s">
        <v>7977</v>
      </c>
      <c r="B7204" t="s">
        <v>637</v>
      </c>
    </row>
    <row r="7205" spans="1:2">
      <c r="A7205" s="1" t="s">
        <v>7978</v>
      </c>
      <c r="B7205" t="s">
        <v>637</v>
      </c>
    </row>
    <row r="7206" spans="1:2">
      <c r="A7206" s="1" t="s">
        <v>7979</v>
      </c>
      <c r="B7206" t="s">
        <v>637</v>
      </c>
    </row>
    <row r="7207" spans="1:2">
      <c r="A7207" s="1" t="s">
        <v>7980</v>
      </c>
      <c r="B7207" t="s">
        <v>637</v>
      </c>
    </row>
    <row r="7208" spans="1:2">
      <c r="A7208" s="1" t="s">
        <v>7981</v>
      </c>
      <c r="B7208" t="s">
        <v>637</v>
      </c>
    </row>
    <row r="7209" spans="1:2">
      <c r="A7209" s="1" t="s">
        <v>7982</v>
      </c>
      <c r="B7209" t="s">
        <v>637</v>
      </c>
    </row>
    <row r="7210" spans="1:2">
      <c r="A7210" s="1" t="s">
        <v>7983</v>
      </c>
      <c r="B7210" t="s">
        <v>637</v>
      </c>
    </row>
    <row r="7211" spans="1:2">
      <c r="A7211" s="1" t="s">
        <v>7984</v>
      </c>
      <c r="B7211" t="s">
        <v>637</v>
      </c>
    </row>
    <row r="7212" spans="1:2">
      <c r="A7212" s="1" t="s">
        <v>7985</v>
      </c>
      <c r="B7212" t="s">
        <v>637</v>
      </c>
    </row>
    <row r="7213" spans="1:2">
      <c r="A7213" s="1" t="s">
        <v>7986</v>
      </c>
      <c r="B7213" t="s">
        <v>637</v>
      </c>
    </row>
    <row r="7214" spans="1:2">
      <c r="A7214" s="1" t="s">
        <v>7987</v>
      </c>
      <c r="B7214" t="s">
        <v>637</v>
      </c>
    </row>
    <row r="7215" spans="1:2">
      <c r="A7215" s="1" t="s">
        <v>7988</v>
      </c>
      <c r="B7215" t="s">
        <v>637</v>
      </c>
    </row>
    <row r="7216" spans="1:2">
      <c r="A7216" s="1" t="s">
        <v>7989</v>
      </c>
      <c r="B7216" t="s">
        <v>637</v>
      </c>
    </row>
    <row r="7217" spans="1:2">
      <c r="A7217" s="1" t="s">
        <v>7990</v>
      </c>
      <c r="B7217" t="s">
        <v>637</v>
      </c>
    </row>
    <row r="7218" spans="1:2">
      <c r="A7218" s="1" t="s">
        <v>7991</v>
      </c>
      <c r="B7218" t="s">
        <v>637</v>
      </c>
    </row>
    <row r="7219" spans="1:2">
      <c r="A7219" s="1" t="s">
        <v>7992</v>
      </c>
      <c r="B7219" t="s">
        <v>637</v>
      </c>
    </row>
    <row r="7220" spans="1:2">
      <c r="A7220" s="1" t="s">
        <v>7993</v>
      </c>
      <c r="B7220" t="s">
        <v>637</v>
      </c>
    </row>
    <row r="7221" spans="1:2">
      <c r="A7221" s="1" t="s">
        <v>7994</v>
      </c>
      <c r="B7221" t="s">
        <v>637</v>
      </c>
    </row>
    <row r="7222" spans="1:2">
      <c r="A7222" s="1" t="s">
        <v>7995</v>
      </c>
      <c r="B7222" t="s">
        <v>637</v>
      </c>
    </row>
    <row r="7223" spans="1:2">
      <c r="A7223" s="1" t="s">
        <v>7996</v>
      </c>
      <c r="B7223" t="s">
        <v>637</v>
      </c>
    </row>
    <row r="7224" spans="1:2">
      <c r="A7224" s="1" t="s">
        <v>7997</v>
      </c>
      <c r="B7224" t="s">
        <v>637</v>
      </c>
    </row>
    <row r="7225" spans="1:2">
      <c r="A7225" s="1" t="s">
        <v>7998</v>
      </c>
      <c r="B7225" t="s">
        <v>637</v>
      </c>
    </row>
    <row r="7226" spans="1:2">
      <c r="A7226" s="1" t="s">
        <v>7999</v>
      </c>
      <c r="B7226" t="s">
        <v>637</v>
      </c>
    </row>
    <row r="7227" spans="1:2">
      <c r="A7227" s="1" t="s">
        <v>8000</v>
      </c>
      <c r="B7227" t="s">
        <v>637</v>
      </c>
    </row>
    <row r="7228" spans="1:2">
      <c r="A7228" s="1" t="s">
        <v>8001</v>
      </c>
      <c r="B7228" t="s">
        <v>637</v>
      </c>
    </row>
    <row r="7229" spans="1:2">
      <c r="A7229" s="1" t="s">
        <v>8002</v>
      </c>
      <c r="B7229" t="s">
        <v>637</v>
      </c>
    </row>
    <row r="7230" spans="1:2">
      <c r="A7230" s="1" t="s">
        <v>8003</v>
      </c>
      <c r="B7230" t="s">
        <v>637</v>
      </c>
    </row>
    <row r="7231" spans="1:2">
      <c r="A7231" s="1" t="s">
        <v>8004</v>
      </c>
      <c r="B7231" t="s">
        <v>637</v>
      </c>
    </row>
    <row r="7232" spans="1:2">
      <c r="A7232" s="1" t="s">
        <v>8005</v>
      </c>
      <c r="B7232" t="s">
        <v>637</v>
      </c>
    </row>
    <row r="7233" spans="1:2">
      <c r="A7233" s="1" t="s">
        <v>8006</v>
      </c>
      <c r="B7233" t="s">
        <v>637</v>
      </c>
    </row>
    <row r="7234" spans="1:2">
      <c r="A7234" s="1" t="s">
        <v>8007</v>
      </c>
      <c r="B7234" t="s">
        <v>637</v>
      </c>
    </row>
    <row r="7235" spans="1:2">
      <c r="A7235" s="1" t="s">
        <v>8008</v>
      </c>
      <c r="B7235" t="s">
        <v>637</v>
      </c>
    </row>
    <row r="7236" spans="1:2">
      <c r="A7236" s="1" t="s">
        <v>8009</v>
      </c>
      <c r="B7236" t="s">
        <v>637</v>
      </c>
    </row>
    <row r="7237" spans="1:2">
      <c r="A7237" s="1" t="s">
        <v>8010</v>
      </c>
      <c r="B7237" t="s">
        <v>637</v>
      </c>
    </row>
    <row r="7238" spans="1:2">
      <c r="A7238" s="1" t="s">
        <v>8011</v>
      </c>
      <c r="B7238" t="s">
        <v>637</v>
      </c>
    </row>
    <row r="7239" spans="1:2">
      <c r="A7239" s="1" t="s">
        <v>8012</v>
      </c>
      <c r="B7239" t="s">
        <v>637</v>
      </c>
    </row>
    <row r="7240" spans="1:2">
      <c r="A7240" s="1" t="s">
        <v>8013</v>
      </c>
      <c r="B7240" t="s">
        <v>637</v>
      </c>
    </row>
    <row r="7241" spans="1:2">
      <c r="A7241" s="1" t="s">
        <v>8014</v>
      </c>
      <c r="B7241" t="s">
        <v>637</v>
      </c>
    </row>
    <row r="7242" spans="1:2">
      <c r="A7242" s="1" t="s">
        <v>8015</v>
      </c>
      <c r="B7242" t="s">
        <v>637</v>
      </c>
    </row>
    <row r="7243" spans="1:2">
      <c r="A7243" s="1" t="s">
        <v>8016</v>
      </c>
      <c r="B7243" t="s">
        <v>637</v>
      </c>
    </row>
    <row r="7244" spans="1:2">
      <c r="A7244" s="1" t="s">
        <v>8017</v>
      </c>
      <c r="B7244" t="s">
        <v>637</v>
      </c>
    </row>
    <row r="7245" spans="1:2">
      <c r="A7245" s="1" t="s">
        <v>8018</v>
      </c>
      <c r="B7245" t="s">
        <v>637</v>
      </c>
    </row>
    <row r="7246" spans="1:2">
      <c r="A7246" s="1" t="s">
        <v>8019</v>
      </c>
      <c r="B7246" t="s">
        <v>637</v>
      </c>
    </row>
    <row r="7247" spans="1:2">
      <c r="A7247" s="1" t="s">
        <v>8020</v>
      </c>
      <c r="B7247" t="s">
        <v>637</v>
      </c>
    </row>
    <row r="7248" spans="1:2">
      <c r="A7248" s="1" t="s">
        <v>8021</v>
      </c>
      <c r="B7248" t="s">
        <v>637</v>
      </c>
    </row>
    <row r="7249" spans="1:2">
      <c r="A7249" s="1" t="s">
        <v>8022</v>
      </c>
      <c r="B7249" t="s">
        <v>637</v>
      </c>
    </row>
    <row r="7250" spans="1:2">
      <c r="A7250" s="1" t="s">
        <v>8023</v>
      </c>
      <c r="B7250" t="s">
        <v>637</v>
      </c>
    </row>
    <row r="7251" spans="1:2">
      <c r="A7251" s="1" t="s">
        <v>8024</v>
      </c>
      <c r="B7251" t="s">
        <v>637</v>
      </c>
    </row>
    <row r="7252" spans="1:2">
      <c r="A7252" s="1" t="s">
        <v>8025</v>
      </c>
      <c r="B7252" t="s">
        <v>637</v>
      </c>
    </row>
    <row r="7253" spans="1:2">
      <c r="A7253" s="1" t="s">
        <v>8026</v>
      </c>
      <c r="B7253" t="s">
        <v>637</v>
      </c>
    </row>
    <row r="7254" spans="1:2">
      <c r="A7254" s="1" t="s">
        <v>8027</v>
      </c>
      <c r="B7254" t="s">
        <v>637</v>
      </c>
    </row>
    <row r="7255" spans="1:2">
      <c r="A7255" s="1" t="s">
        <v>8028</v>
      </c>
      <c r="B7255" t="s">
        <v>637</v>
      </c>
    </row>
    <row r="7256" spans="1:2">
      <c r="A7256" s="1" t="s">
        <v>8029</v>
      </c>
      <c r="B7256" t="s">
        <v>637</v>
      </c>
    </row>
    <row r="7257" spans="1:2">
      <c r="A7257" s="1" t="s">
        <v>8030</v>
      </c>
      <c r="B7257" t="s">
        <v>637</v>
      </c>
    </row>
    <row r="7258" spans="1:2">
      <c r="A7258" s="1" t="s">
        <v>8031</v>
      </c>
      <c r="B7258" t="s">
        <v>637</v>
      </c>
    </row>
    <row r="7259" spans="1:2">
      <c r="A7259" s="1" t="s">
        <v>8032</v>
      </c>
      <c r="B7259" t="s">
        <v>637</v>
      </c>
    </row>
    <row r="7260" spans="1:2">
      <c r="A7260" s="1" t="s">
        <v>8033</v>
      </c>
      <c r="B7260" t="s">
        <v>637</v>
      </c>
    </row>
    <row r="7261" spans="1:2">
      <c r="A7261" s="1" t="s">
        <v>8034</v>
      </c>
      <c r="B7261" t="s">
        <v>637</v>
      </c>
    </row>
    <row r="7262" spans="1:2">
      <c r="A7262" s="1" t="s">
        <v>8035</v>
      </c>
      <c r="B7262" t="s">
        <v>637</v>
      </c>
    </row>
    <row r="7263" spans="1:2">
      <c r="A7263" s="1" t="s">
        <v>8036</v>
      </c>
      <c r="B7263" t="s">
        <v>637</v>
      </c>
    </row>
    <row r="7264" spans="1:2">
      <c r="A7264" s="1" t="s">
        <v>8037</v>
      </c>
      <c r="B7264" t="s">
        <v>637</v>
      </c>
    </row>
    <row r="7265" spans="1:2">
      <c r="A7265" s="1" t="s">
        <v>8038</v>
      </c>
      <c r="B7265" t="s">
        <v>637</v>
      </c>
    </row>
    <row r="7266" spans="1:2">
      <c r="A7266" s="1" t="s">
        <v>8039</v>
      </c>
      <c r="B7266" t="s">
        <v>637</v>
      </c>
    </row>
    <row r="7267" spans="1:2">
      <c r="A7267" s="1" t="s">
        <v>8040</v>
      </c>
      <c r="B7267" t="s">
        <v>637</v>
      </c>
    </row>
    <row r="7268" spans="1:2">
      <c r="A7268" s="1" t="s">
        <v>8041</v>
      </c>
      <c r="B7268" t="s">
        <v>637</v>
      </c>
    </row>
    <row r="7269" spans="1:2">
      <c r="A7269" s="1" t="s">
        <v>8042</v>
      </c>
      <c r="B7269" t="s">
        <v>637</v>
      </c>
    </row>
    <row r="7270" spans="1:2">
      <c r="A7270" s="1" t="s">
        <v>8043</v>
      </c>
      <c r="B7270" t="s">
        <v>637</v>
      </c>
    </row>
    <row r="7271" spans="1:2">
      <c r="A7271" s="1" t="s">
        <v>8044</v>
      </c>
      <c r="B7271" t="s">
        <v>637</v>
      </c>
    </row>
    <row r="7272" spans="1:2">
      <c r="A7272" s="1" t="s">
        <v>8045</v>
      </c>
      <c r="B7272" t="s">
        <v>637</v>
      </c>
    </row>
    <row r="7273" spans="1:2">
      <c r="A7273" s="1" t="s">
        <v>8046</v>
      </c>
      <c r="B7273" t="s">
        <v>637</v>
      </c>
    </row>
    <row r="7274" spans="1:2">
      <c r="A7274" s="1" t="s">
        <v>8047</v>
      </c>
      <c r="B7274" t="s">
        <v>637</v>
      </c>
    </row>
    <row r="7275" spans="1:2">
      <c r="A7275" s="1" t="s">
        <v>8048</v>
      </c>
      <c r="B7275" t="s">
        <v>637</v>
      </c>
    </row>
    <row r="7276" spans="1:2">
      <c r="A7276" s="1" t="s">
        <v>8049</v>
      </c>
      <c r="B7276" t="s">
        <v>637</v>
      </c>
    </row>
    <row r="7277" spans="1:2">
      <c r="A7277" s="1" t="s">
        <v>8050</v>
      </c>
      <c r="B7277" t="s">
        <v>637</v>
      </c>
    </row>
    <row r="7278" spans="1:2">
      <c r="A7278" s="1" t="s">
        <v>8051</v>
      </c>
      <c r="B7278" t="s">
        <v>637</v>
      </c>
    </row>
    <row r="7279" spans="1:2">
      <c r="A7279" s="1" t="s">
        <v>8052</v>
      </c>
      <c r="B7279" t="s">
        <v>637</v>
      </c>
    </row>
    <row r="7280" spans="1:2">
      <c r="A7280" s="1" t="s">
        <v>8053</v>
      </c>
      <c r="B7280" t="s">
        <v>637</v>
      </c>
    </row>
    <row r="7281" spans="1:2">
      <c r="A7281" s="1" t="s">
        <v>8054</v>
      </c>
      <c r="B7281" t="s">
        <v>637</v>
      </c>
    </row>
    <row r="7282" spans="1:2">
      <c r="A7282" s="1" t="s">
        <v>8055</v>
      </c>
      <c r="B7282" t="s">
        <v>637</v>
      </c>
    </row>
    <row r="7283" spans="1:2">
      <c r="A7283" s="1" t="s">
        <v>8056</v>
      </c>
      <c r="B7283" t="s">
        <v>637</v>
      </c>
    </row>
    <row r="7284" spans="1:2">
      <c r="A7284" s="1" t="s">
        <v>8057</v>
      </c>
      <c r="B7284" t="s">
        <v>637</v>
      </c>
    </row>
    <row r="7285" spans="1:2">
      <c r="A7285" s="1" t="s">
        <v>8058</v>
      </c>
      <c r="B7285" t="s">
        <v>637</v>
      </c>
    </row>
    <row r="7286" spans="1:2">
      <c r="A7286" s="1" t="s">
        <v>8059</v>
      </c>
      <c r="B7286" t="s">
        <v>637</v>
      </c>
    </row>
    <row r="7287" spans="1:2">
      <c r="A7287" s="1" t="s">
        <v>8060</v>
      </c>
      <c r="B7287" t="s">
        <v>637</v>
      </c>
    </row>
    <row r="7288" spans="1:2">
      <c r="A7288" s="1" t="s">
        <v>8061</v>
      </c>
      <c r="B7288" t="s">
        <v>637</v>
      </c>
    </row>
    <row r="7289" spans="1:2">
      <c r="A7289" s="1" t="s">
        <v>8062</v>
      </c>
      <c r="B7289" t="s">
        <v>637</v>
      </c>
    </row>
    <row r="7290" spans="1:2">
      <c r="A7290" s="1" t="s">
        <v>8063</v>
      </c>
      <c r="B7290" t="s">
        <v>637</v>
      </c>
    </row>
    <row r="7291" spans="1:2">
      <c r="A7291" s="1" t="s">
        <v>556</v>
      </c>
      <c r="B7291" t="s">
        <v>637</v>
      </c>
    </row>
    <row r="7292" spans="1:2">
      <c r="A7292" s="1" t="s">
        <v>8064</v>
      </c>
      <c r="B7292" t="s">
        <v>637</v>
      </c>
    </row>
    <row r="7293" spans="1:2">
      <c r="A7293" s="1" t="s">
        <v>8065</v>
      </c>
      <c r="B7293" t="s">
        <v>637</v>
      </c>
    </row>
    <row r="7294" spans="1:2">
      <c r="A7294" s="1" t="s">
        <v>8066</v>
      </c>
      <c r="B7294" t="s">
        <v>637</v>
      </c>
    </row>
    <row r="7295" spans="1:2">
      <c r="A7295" s="1" t="s">
        <v>8067</v>
      </c>
      <c r="B7295" t="s">
        <v>637</v>
      </c>
    </row>
    <row r="7296" spans="1:2">
      <c r="A7296" s="1" t="s">
        <v>8068</v>
      </c>
      <c r="B7296" t="s">
        <v>637</v>
      </c>
    </row>
    <row r="7297" spans="1:2">
      <c r="A7297" s="1" t="s">
        <v>8069</v>
      </c>
      <c r="B7297" t="s">
        <v>637</v>
      </c>
    </row>
    <row r="7298" spans="1:2">
      <c r="A7298" s="1" t="s">
        <v>8070</v>
      </c>
      <c r="B7298" t="s">
        <v>637</v>
      </c>
    </row>
    <row r="7299" spans="1:2">
      <c r="A7299" s="1" t="s">
        <v>8071</v>
      </c>
      <c r="B7299" t="s">
        <v>637</v>
      </c>
    </row>
    <row r="7300" spans="1:2">
      <c r="A7300" s="1" t="s">
        <v>8072</v>
      </c>
      <c r="B7300" t="s">
        <v>637</v>
      </c>
    </row>
    <row r="7301" spans="1:2">
      <c r="A7301" s="1" t="s">
        <v>8073</v>
      </c>
      <c r="B7301" t="s">
        <v>637</v>
      </c>
    </row>
    <row r="7302" spans="1:2">
      <c r="A7302" s="1" t="s">
        <v>8074</v>
      </c>
      <c r="B7302" t="s">
        <v>637</v>
      </c>
    </row>
    <row r="7303" spans="1:2">
      <c r="A7303" s="1" t="s">
        <v>8075</v>
      </c>
      <c r="B7303" t="s">
        <v>637</v>
      </c>
    </row>
    <row r="7304" spans="1:2">
      <c r="A7304" s="1" t="s">
        <v>8076</v>
      </c>
      <c r="B7304" t="s">
        <v>637</v>
      </c>
    </row>
    <row r="7305" spans="1:2">
      <c r="A7305" s="1" t="s">
        <v>8077</v>
      </c>
      <c r="B7305" t="s">
        <v>637</v>
      </c>
    </row>
    <row r="7306" spans="1:2">
      <c r="A7306" s="1" t="s">
        <v>8078</v>
      </c>
      <c r="B7306" t="s">
        <v>637</v>
      </c>
    </row>
    <row r="7307" spans="1:2">
      <c r="A7307" s="1" t="s">
        <v>8079</v>
      </c>
      <c r="B7307" t="s">
        <v>637</v>
      </c>
    </row>
    <row r="7308" spans="1:2">
      <c r="A7308" s="1" t="s">
        <v>8080</v>
      </c>
      <c r="B7308" t="s">
        <v>637</v>
      </c>
    </row>
    <row r="7309" spans="1:2">
      <c r="A7309" s="1" t="s">
        <v>8081</v>
      </c>
      <c r="B7309" t="s">
        <v>637</v>
      </c>
    </row>
    <row r="7310" spans="1:2">
      <c r="A7310" s="1" t="s">
        <v>8082</v>
      </c>
      <c r="B7310" t="s">
        <v>637</v>
      </c>
    </row>
    <row r="7311" spans="1:2">
      <c r="A7311" s="1" t="s">
        <v>8083</v>
      </c>
      <c r="B7311" t="s">
        <v>637</v>
      </c>
    </row>
    <row r="7312" spans="1:2">
      <c r="A7312" s="1" t="s">
        <v>8084</v>
      </c>
      <c r="B7312" t="s">
        <v>637</v>
      </c>
    </row>
    <row r="7313" spans="1:2">
      <c r="A7313" s="1" t="s">
        <v>8085</v>
      </c>
      <c r="B7313" t="s">
        <v>637</v>
      </c>
    </row>
    <row r="7314" spans="1:2">
      <c r="A7314" s="1" t="s">
        <v>8086</v>
      </c>
      <c r="B7314" t="s">
        <v>637</v>
      </c>
    </row>
    <row r="7315" spans="1:2">
      <c r="A7315" s="1" t="s">
        <v>8087</v>
      </c>
      <c r="B7315" t="s">
        <v>637</v>
      </c>
    </row>
    <row r="7316" spans="1:2">
      <c r="A7316" s="1" t="s">
        <v>8088</v>
      </c>
      <c r="B7316" t="s">
        <v>637</v>
      </c>
    </row>
    <row r="7317" spans="1:2">
      <c r="A7317" s="1" t="s">
        <v>8089</v>
      </c>
      <c r="B7317" t="s">
        <v>637</v>
      </c>
    </row>
    <row r="7318" spans="1:2">
      <c r="A7318" s="1" t="s">
        <v>8090</v>
      </c>
      <c r="B7318" t="s">
        <v>637</v>
      </c>
    </row>
    <row r="7319" spans="1:2">
      <c r="A7319" s="1" t="s">
        <v>8091</v>
      </c>
      <c r="B7319" t="s">
        <v>637</v>
      </c>
    </row>
    <row r="7320" spans="1:2">
      <c r="A7320" s="1" t="s">
        <v>8092</v>
      </c>
      <c r="B7320" t="s">
        <v>637</v>
      </c>
    </row>
    <row r="7321" spans="1:2">
      <c r="A7321" s="1" t="s">
        <v>8093</v>
      </c>
      <c r="B7321" t="s">
        <v>637</v>
      </c>
    </row>
    <row r="7322" spans="1:2">
      <c r="A7322" s="1" t="s">
        <v>8094</v>
      </c>
      <c r="B7322" t="s">
        <v>637</v>
      </c>
    </row>
    <row r="7323" spans="1:2">
      <c r="A7323" s="1" t="s">
        <v>8095</v>
      </c>
      <c r="B7323" t="s">
        <v>637</v>
      </c>
    </row>
    <row r="7324" spans="1:2">
      <c r="A7324" s="1" t="s">
        <v>8096</v>
      </c>
      <c r="B7324" t="s">
        <v>637</v>
      </c>
    </row>
    <row r="7325" spans="1:2">
      <c r="A7325" s="1" t="s">
        <v>8097</v>
      </c>
      <c r="B7325" t="s">
        <v>637</v>
      </c>
    </row>
    <row r="7326" spans="1:2">
      <c r="A7326" s="1" t="s">
        <v>8098</v>
      </c>
      <c r="B7326" t="s">
        <v>637</v>
      </c>
    </row>
    <row r="7327" spans="1:2">
      <c r="A7327" s="1" t="s">
        <v>8099</v>
      </c>
      <c r="B7327" t="s">
        <v>637</v>
      </c>
    </row>
    <row r="7328" spans="1:2">
      <c r="A7328" s="1" t="s">
        <v>8100</v>
      </c>
      <c r="B7328" t="s">
        <v>637</v>
      </c>
    </row>
    <row r="7329" spans="1:2">
      <c r="A7329" s="1" t="s">
        <v>8101</v>
      </c>
      <c r="B7329" t="s">
        <v>637</v>
      </c>
    </row>
    <row r="7330" spans="1:2">
      <c r="A7330" s="1" t="s">
        <v>8102</v>
      </c>
      <c r="B7330" t="s">
        <v>637</v>
      </c>
    </row>
    <row r="7331" spans="1:2">
      <c r="A7331" s="1" t="s">
        <v>8103</v>
      </c>
      <c r="B7331" t="s">
        <v>637</v>
      </c>
    </row>
    <row r="7332" spans="1:2">
      <c r="A7332" s="1" t="s">
        <v>8104</v>
      </c>
      <c r="B7332" t="s">
        <v>637</v>
      </c>
    </row>
    <row r="7333" spans="1:2">
      <c r="A7333" s="1" t="s">
        <v>8105</v>
      </c>
      <c r="B7333" t="s">
        <v>637</v>
      </c>
    </row>
    <row r="7334" spans="1:2">
      <c r="A7334" s="1" t="s">
        <v>8106</v>
      </c>
      <c r="B7334" t="s">
        <v>637</v>
      </c>
    </row>
    <row r="7335" spans="1:2">
      <c r="A7335" s="1" t="s">
        <v>8107</v>
      </c>
      <c r="B7335" t="s">
        <v>637</v>
      </c>
    </row>
    <row r="7336" spans="1:2">
      <c r="A7336" s="1" t="s">
        <v>8108</v>
      </c>
      <c r="B7336" t="s">
        <v>637</v>
      </c>
    </row>
    <row r="7337" spans="1:2">
      <c r="A7337" s="1" t="s">
        <v>8109</v>
      </c>
      <c r="B7337" t="s">
        <v>637</v>
      </c>
    </row>
    <row r="7338" spans="1:2">
      <c r="A7338" s="1" t="s">
        <v>8110</v>
      </c>
      <c r="B7338" t="s">
        <v>637</v>
      </c>
    </row>
    <row r="7339" spans="1:2">
      <c r="A7339" s="1" t="s">
        <v>8111</v>
      </c>
      <c r="B7339" t="s">
        <v>637</v>
      </c>
    </row>
    <row r="7340" spans="1:2">
      <c r="A7340" s="1" t="s">
        <v>8112</v>
      </c>
      <c r="B7340" t="s">
        <v>637</v>
      </c>
    </row>
    <row r="7341" spans="1:2">
      <c r="A7341" s="1" t="s">
        <v>8113</v>
      </c>
      <c r="B7341" t="s">
        <v>637</v>
      </c>
    </row>
    <row r="7342" spans="1:2">
      <c r="A7342" s="1" t="s">
        <v>8114</v>
      </c>
      <c r="B7342" t="s">
        <v>637</v>
      </c>
    </row>
    <row r="7343" spans="1:2">
      <c r="A7343" s="1" t="s">
        <v>8115</v>
      </c>
      <c r="B7343" t="s">
        <v>637</v>
      </c>
    </row>
    <row r="7344" spans="1:2">
      <c r="A7344" s="1" t="s">
        <v>8116</v>
      </c>
      <c r="B7344" t="s">
        <v>637</v>
      </c>
    </row>
    <row r="7345" spans="1:2">
      <c r="A7345" s="1" t="s">
        <v>8117</v>
      </c>
      <c r="B7345" t="s">
        <v>637</v>
      </c>
    </row>
    <row r="7346" spans="1:2">
      <c r="A7346" s="1" t="s">
        <v>8118</v>
      </c>
      <c r="B7346" t="s">
        <v>637</v>
      </c>
    </row>
    <row r="7347" spans="1:2">
      <c r="A7347" s="1" t="s">
        <v>8119</v>
      </c>
      <c r="B7347" t="s">
        <v>637</v>
      </c>
    </row>
    <row r="7348" spans="1:2">
      <c r="A7348" s="1" t="s">
        <v>8120</v>
      </c>
      <c r="B7348" t="s">
        <v>637</v>
      </c>
    </row>
    <row r="7349" spans="1:2">
      <c r="A7349" s="1" t="s">
        <v>8121</v>
      </c>
      <c r="B7349" t="s">
        <v>637</v>
      </c>
    </row>
    <row r="7350" spans="1:2">
      <c r="A7350" s="1" t="s">
        <v>8122</v>
      </c>
      <c r="B7350" t="s">
        <v>637</v>
      </c>
    </row>
    <row r="7351" spans="1:2">
      <c r="A7351" s="1" t="s">
        <v>8123</v>
      </c>
      <c r="B7351" t="s">
        <v>637</v>
      </c>
    </row>
    <row r="7352" spans="1:2">
      <c r="A7352" s="1" t="s">
        <v>8124</v>
      </c>
      <c r="B7352" t="s">
        <v>637</v>
      </c>
    </row>
    <row r="7353" spans="1:2">
      <c r="A7353" s="1" t="s">
        <v>8125</v>
      </c>
      <c r="B7353" t="s">
        <v>637</v>
      </c>
    </row>
    <row r="7354" spans="1:2">
      <c r="A7354" s="1" t="s">
        <v>8126</v>
      </c>
      <c r="B7354" t="s">
        <v>637</v>
      </c>
    </row>
    <row r="7355" spans="1:2">
      <c r="A7355" s="1" t="s">
        <v>8127</v>
      </c>
      <c r="B7355" t="s">
        <v>637</v>
      </c>
    </row>
    <row r="7356" spans="1:2">
      <c r="A7356" s="1" t="s">
        <v>8128</v>
      </c>
      <c r="B7356" t="s">
        <v>637</v>
      </c>
    </row>
    <row r="7357" spans="1:2">
      <c r="A7357" s="1" t="s">
        <v>8129</v>
      </c>
      <c r="B7357" t="s">
        <v>637</v>
      </c>
    </row>
    <row r="7358" spans="1:2">
      <c r="A7358" s="1" t="s">
        <v>8130</v>
      </c>
      <c r="B7358" t="s">
        <v>637</v>
      </c>
    </row>
    <row r="7359" spans="1:2">
      <c r="A7359" s="1" t="s">
        <v>8131</v>
      </c>
      <c r="B7359" t="s">
        <v>637</v>
      </c>
    </row>
    <row r="7360" spans="1:2">
      <c r="A7360" s="1" t="s">
        <v>8132</v>
      </c>
      <c r="B7360" t="s">
        <v>637</v>
      </c>
    </row>
    <row r="7361" spans="1:2">
      <c r="A7361" s="1" t="s">
        <v>8133</v>
      </c>
      <c r="B7361" t="s">
        <v>637</v>
      </c>
    </row>
    <row r="7362" spans="1:2">
      <c r="A7362" s="1" t="s">
        <v>8134</v>
      </c>
      <c r="B7362" t="s">
        <v>637</v>
      </c>
    </row>
    <row r="7363" spans="1:2">
      <c r="A7363" s="1" t="s">
        <v>8135</v>
      </c>
      <c r="B7363" t="s">
        <v>637</v>
      </c>
    </row>
    <row r="7364" spans="1:2">
      <c r="A7364" s="1" t="s">
        <v>8136</v>
      </c>
      <c r="B7364" t="s">
        <v>637</v>
      </c>
    </row>
    <row r="7365" spans="1:2">
      <c r="A7365" s="1" t="s">
        <v>8137</v>
      </c>
      <c r="B7365" t="s">
        <v>637</v>
      </c>
    </row>
    <row r="7366" spans="1:2">
      <c r="A7366" s="1" t="s">
        <v>8138</v>
      </c>
      <c r="B7366" t="s">
        <v>637</v>
      </c>
    </row>
    <row r="7367" spans="1:2">
      <c r="A7367" s="1" t="s">
        <v>8139</v>
      </c>
      <c r="B7367" t="s">
        <v>637</v>
      </c>
    </row>
    <row r="7368" spans="1:2">
      <c r="A7368" s="1" t="s">
        <v>8140</v>
      </c>
      <c r="B7368" t="s">
        <v>637</v>
      </c>
    </row>
    <row r="7369" spans="1:2">
      <c r="A7369" s="1" t="s">
        <v>8141</v>
      </c>
      <c r="B7369" t="s">
        <v>637</v>
      </c>
    </row>
    <row r="7370" spans="1:2">
      <c r="A7370" s="1" t="s">
        <v>8142</v>
      </c>
      <c r="B7370" t="s">
        <v>637</v>
      </c>
    </row>
    <row r="7371" spans="1:2">
      <c r="A7371" s="1" t="s">
        <v>8143</v>
      </c>
      <c r="B7371" t="s">
        <v>637</v>
      </c>
    </row>
    <row r="7372" spans="1:2">
      <c r="A7372" s="1" t="s">
        <v>8144</v>
      </c>
      <c r="B7372" t="s">
        <v>637</v>
      </c>
    </row>
    <row r="7373" spans="1:2">
      <c r="A7373" s="1" t="s">
        <v>8145</v>
      </c>
      <c r="B7373" t="s">
        <v>637</v>
      </c>
    </row>
    <row r="7374" spans="1:2">
      <c r="A7374" s="1" t="s">
        <v>8146</v>
      </c>
      <c r="B7374" t="s">
        <v>637</v>
      </c>
    </row>
    <row r="7375" spans="1:2">
      <c r="A7375" s="1" t="s">
        <v>8147</v>
      </c>
      <c r="B7375" t="s">
        <v>637</v>
      </c>
    </row>
    <row r="7376" spans="1:2">
      <c r="A7376" s="1" t="s">
        <v>8148</v>
      </c>
      <c r="B7376" t="s">
        <v>637</v>
      </c>
    </row>
    <row r="7377" spans="1:2">
      <c r="A7377" s="1" t="s">
        <v>8149</v>
      </c>
      <c r="B7377" t="s">
        <v>637</v>
      </c>
    </row>
    <row r="7378" spans="1:2">
      <c r="A7378" s="1" t="s">
        <v>8150</v>
      </c>
      <c r="B7378" t="s">
        <v>637</v>
      </c>
    </row>
    <row r="7379" spans="1:2">
      <c r="A7379" s="1" t="s">
        <v>8151</v>
      </c>
      <c r="B7379" t="s">
        <v>637</v>
      </c>
    </row>
    <row r="7380" spans="1:2">
      <c r="A7380" s="1" t="s">
        <v>8152</v>
      </c>
      <c r="B7380" t="s">
        <v>637</v>
      </c>
    </row>
    <row r="7381" spans="1:2">
      <c r="A7381" s="1" t="s">
        <v>8153</v>
      </c>
      <c r="B7381" t="s">
        <v>637</v>
      </c>
    </row>
    <row r="7382" spans="1:2">
      <c r="A7382" s="1" t="s">
        <v>8154</v>
      </c>
      <c r="B7382" t="s">
        <v>637</v>
      </c>
    </row>
    <row r="7383" spans="1:2">
      <c r="A7383" s="1" t="s">
        <v>8155</v>
      </c>
      <c r="B7383" t="s">
        <v>637</v>
      </c>
    </row>
    <row r="7384" spans="1:2">
      <c r="A7384" s="1" t="s">
        <v>8156</v>
      </c>
      <c r="B7384" t="s">
        <v>637</v>
      </c>
    </row>
    <row r="7385" spans="1:2">
      <c r="A7385" s="1" t="s">
        <v>8157</v>
      </c>
      <c r="B7385" t="s">
        <v>637</v>
      </c>
    </row>
    <row r="7386" spans="1:2">
      <c r="A7386" s="1" t="s">
        <v>8158</v>
      </c>
      <c r="B7386" t="s">
        <v>637</v>
      </c>
    </row>
    <row r="7387" spans="1:2">
      <c r="A7387" s="1" t="s">
        <v>8159</v>
      </c>
      <c r="B7387" t="s">
        <v>637</v>
      </c>
    </row>
    <row r="7388" spans="1:2">
      <c r="A7388" s="1" t="s">
        <v>8160</v>
      </c>
      <c r="B7388" t="s">
        <v>637</v>
      </c>
    </row>
    <row r="7389" spans="1:2">
      <c r="A7389" s="1" t="s">
        <v>8161</v>
      </c>
      <c r="B7389" t="s">
        <v>637</v>
      </c>
    </row>
    <row r="7390" spans="1:2">
      <c r="A7390" s="1" t="s">
        <v>8162</v>
      </c>
      <c r="B7390" t="s">
        <v>637</v>
      </c>
    </row>
    <row r="7391" spans="1:2">
      <c r="A7391" s="1" t="s">
        <v>8163</v>
      </c>
      <c r="B7391" t="s">
        <v>637</v>
      </c>
    </row>
    <row r="7392" spans="1:2">
      <c r="A7392" s="1" t="s">
        <v>8164</v>
      </c>
      <c r="B7392" t="s">
        <v>637</v>
      </c>
    </row>
    <row r="7393" spans="1:2">
      <c r="A7393" s="1" t="s">
        <v>8165</v>
      </c>
      <c r="B7393" t="s">
        <v>637</v>
      </c>
    </row>
    <row r="7394" spans="1:2">
      <c r="A7394" s="1" t="s">
        <v>8166</v>
      </c>
      <c r="B7394" t="s">
        <v>637</v>
      </c>
    </row>
    <row r="7395" spans="1:2">
      <c r="A7395" s="1" t="s">
        <v>8167</v>
      </c>
      <c r="B7395" t="s">
        <v>637</v>
      </c>
    </row>
    <row r="7396" spans="1:2">
      <c r="A7396" s="1" t="s">
        <v>8168</v>
      </c>
      <c r="B7396" t="s">
        <v>637</v>
      </c>
    </row>
    <row r="7397" spans="1:2">
      <c r="A7397" s="1" t="s">
        <v>8169</v>
      </c>
      <c r="B7397" t="s">
        <v>637</v>
      </c>
    </row>
    <row r="7398" spans="1:2">
      <c r="A7398" s="1" t="s">
        <v>8170</v>
      </c>
      <c r="B7398" t="s">
        <v>637</v>
      </c>
    </row>
    <row r="7399" spans="1:2">
      <c r="A7399" s="1" t="s">
        <v>8171</v>
      </c>
      <c r="B7399" t="s">
        <v>637</v>
      </c>
    </row>
    <row r="7400" spans="1:2">
      <c r="A7400" s="1" t="s">
        <v>8172</v>
      </c>
      <c r="B7400" t="s">
        <v>637</v>
      </c>
    </row>
    <row r="7401" spans="1:2">
      <c r="A7401" s="1" t="s">
        <v>8173</v>
      </c>
      <c r="B7401" t="s">
        <v>637</v>
      </c>
    </row>
    <row r="7402" spans="1:2">
      <c r="A7402" s="1" t="s">
        <v>8174</v>
      </c>
      <c r="B7402" t="s">
        <v>637</v>
      </c>
    </row>
    <row r="7403" spans="1:2">
      <c r="A7403" s="1" t="s">
        <v>8175</v>
      </c>
      <c r="B7403" t="s">
        <v>637</v>
      </c>
    </row>
    <row r="7404" spans="1:2">
      <c r="A7404" s="1" t="s">
        <v>8176</v>
      </c>
      <c r="B7404" t="s">
        <v>637</v>
      </c>
    </row>
    <row r="7405" spans="1:2">
      <c r="A7405" s="1" t="s">
        <v>8177</v>
      </c>
      <c r="B7405" t="s">
        <v>637</v>
      </c>
    </row>
    <row r="7406" spans="1:2">
      <c r="A7406" s="1" t="s">
        <v>8178</v>
      </c>
      <c r="B7406" t="s">
        <v>637</v>
      </c>
    </row>
    <row r="7407" spans="1:2">
      <c r="A7407" s="1" t="s">
        <v>8179</v>
      </c>
      <c r="B7407" t="s">
        <v>637</v>
      </c>
    </row>
    <row r="7408" spans="1:2">
      <c r="A7408" s="1" t="s">
        <v>8180</v>
      </c>
      <c r="B7408" t="s">
        <v>637</v>
      </c>
    </row>
    <row r="7409" spans="1:2">
      <c r="A7409" s="1" t="s">
        <v>8181</v>
      </c>
      <c r="B7409" t="s">
        <v>637</v>
      </c>
    </row>
    <row r="7410" spans="1:2">
      <c r="A7410" s="1" t="s">
        <v>8182</v>
      </c>
      <c r="B7410" t="s">
        <v>637</v>
      </c>
    </row>
    <row r="7411" spans="1:2">
      <c r="A7411" s="1" t="s">
        <v>8183</v>
      </c>
      <c r="B7411" t="s">
        <v>637</v>
      </c>
    </row>
    <row r="7412" spans="1:2">
      <c r="A7412" s="1" t="s">
        <v>8184</v>
      </c>
      <c r="B7412" t="s">
        <v>637</v>
      </c>
    </row>
    <row r="7413" spans="1:2">
      <c r="A7413" s="1" t="s">
        <v>8185</v>
      </c>
      <c r="B7413" t="s">
        <v>637</v>
      </c>
    </row>
    <row r="7414" spans="1:2">
      <c r="A7414" s="1" t="s">
        <v>8186</v>
      </c>
      <c r="B7414" t="s">
        <v>637</v>
      </c>
    </row>
    <row r="7415" spans="1:2">
      <c r="A7415" s="1" t="s">
        <v>8187</v>
      </c>
      <c r="B7415" t="s">
        <v>637</v>
      </c>
    </row>
    <row r="7416" spans="1:2">
      <c r="A7416" s="1" t="s">
        <v>8188</v>
      </c>
      <c r="B7416" t="s">
        <v>637</v>
      </c>
    </row>
    <row r="7417" spans="1:2">
      <c r="A7417" s="1" t="s">
        <v>8189</v>
      </c>
      <c r="B7417" t="s">
        <v>637</v>
      </c>
    </row>
    <row r="7418" spans="1:2">
      <c r="A7418" s="1" t="s">
        <v>8190</v>
      </c>
      <c r="B7418" t="s">
        <v>637</v>
      </c>
    </row>
    <row r="7419" spans="1:2">
      <c r="A7419" s="1" t="s">
        <v>8191</v>
      </c>
      <c r="B7419" t="s">
        <v>637</v>
      </c>
    </row>
    <row r="7420" spans="1:2">
      <c r="A7420" s="1" t="s">
        <v>8192</v>
      </c>
      <c r="B7420" t="s">
        <v>637</v>
      </c>
    </row>
    <row r="7421" spans="1:2">
      <c r="A7421" s="1" t="s">
        <v>8193</v>
      </c>
      <c r="B7421" t="s">
        <v>637</v>
      </c>
    </row>
    <row r="7422" spans="1:2">
      <c r="A7422" s="1" t="s">
        <v>8194</v>
      </c>
      <c r="B7422" t="s">
        <v>637</v>
      </c>
    </row>
    <row r="7423" spans="1:2">
      <c r="A7423" s="1" t="s">
        <v>8195</v>
      </c>
      <c r="B7423" t="s">
        <v>637</v>
      </c>
    </row>
    <row r="7424" spans="1:2">
      <c r="A7424" s="1" t="s">
        <v>8196</v>
      </c>
      <c r="B7424" t="s">
        <v>637</v>
      </c>
    </row>
    <row r="7425" spans="1:2">
      <c r="A7425" s="1" t="s">
        <v>8197</v>
      </c>
      <c r="B7425" t="s">
        <v>637</v>
      </c>
    </row>
    <row r="7426" spans="1:2">
      <c r="A7426" s="1" t="s">
        <v>8198</v>
      </c>
      <c r="B7426" t="s">
        <v>637</v>
      </c>
    </row>
    <row r="7427" spans="1:2">
      <c r="A7427" s="1" t="s">
        <v>8199</v>
      </c>
      <c r="B7427" t="s">
        <v>637</v>
      </c>
    </row>
    <row r="7428" spans="1:2">
      <c r="A7428" s="1" t="s">
        <v>8200</v>
      </c>
      <c r="B7428" t="s">
        <v>637</v>
      </c>
    </row>
    <row r="7429" spans="1:2">
      <c r="A7429" s="1" t="s">
        <v>8201</v>
      </c>
      <c r="B7429" t="s">
        <v>637</v>
      </c>
    </row>
    <row r="7430" spans="1:2">
      <c r="A7430" s="1" t="s">
        <v>8202</v>
      </c>
      <c r="B7430" t="s">
        <v>637</v>
      </c>
    </row>
    <row r="7431" spans="1:2">
      <c r="A7431" s="1" t="s">
        <v>8203</v>
      </c>
      <c r="B7431" t="s">
        <v>637</v>
      </c>
    </row>
    <row r="7432" spans="1:2">
      <c r="A7432" s="1" t="s">
        <v>8204</v>
      </c>
      <c r="B7432" t="s">
        <v>637</v>
      </c>
    </row>
    <row r="7433" spans="1:2">
      <c r="A7433" s="1" t="s">
        <v>8205</v>
      </c>
      <c r="B7433" t="s">
        <v>637</v>
      </c>
    </row>
    <row r="7434" spans="1:2">
      <c r="A7434" s="1" t="s">
        <v>8206</v>
      </c>
      <c r="B7434" t="s">
        <v>637</v>
      </c>
    </row>
    <row r="7435" spans="1:2">
      <c r="A7435" s="1" t="s">
        <v>8207</v>
      </c>
      <c r="B7435" t="s">
        <v>637</v>
      </c>
    </row>
    <row r="7436" spans="1:2">
      <c r="A7436" s="1" t="s">
        <v>8208</v>
      </c>
      <c r="B7436" t="s">
        <v>637</v>
      </c>
    </row>
    <row r="7437" spans="1:2">
      <c r="A7437" s="1" t="s">
        <v>8209</v>
      </c>
      <c r="B7437" t="s">
        <v>637</v>
      </c>
    </row>
    <row r="7438" spans="1:2">
      <c r="A7438" s="1" t="s">
        <v>8210</v>
      </c>
      <c r="B7438" t="s">
        <v>637</v>
      </c>
    </row>
    <row r="7439" spans="1:2">
      <c r="A7439" s="1" t="s">
        <v>8211</v>
      </c>
      <c r="B7439" t="s">
        <v>637</v>
      </c>
    </row>
    <row r="7440" spans="1:2">
      <c r="A7440" s="1" t="s">
        <v>8212</v>
      </c>
      <c r="B7440" t="s">
        <v>637</v>
      </c>
    </row>
    <row r="7441" spans="1:2">
      <c r="A7441" s="1" t="s">
        <v>8213</v>
      </c>
      <c r="B7441" t="s">
        <v>637</v>
      </c>
    </row>
    <row r="7442" spans="1:2">
      <c r="A7442" s="1" t="s">
        <v>8214</v>
      </c>
      <c r="B7442" t="s">
        <v>637</v>
      </c>
    </row>
    <row r="7443" spans="1:2">
      <c r="A7443" s="1" t="s">
        <v>8215</v>
      </c>
      <c r="B7443" t="s">
        <v>637</v>
      </c>
    </row>
    <row r="7444" spans="1:2">
      <c r="A7444" s="1" t="s">
        <v>8216</v>
      </c>
      <c r="B7444" t="s">
        <v>637</v>
      </c>
    </row>
    <row r="7445" spans="1:2">
      <c r="A7445" s="1" t="s">
        <v>8217</v>
      </c>
      <c r="B7445" t="s">
        <v>637</v>
      </c>
    </row>
    <row r="7446" spans="1:2">
      <c r="A7446" s="1" t="s">
        <v>8218</v>
      </c>
      <c r="B7446" t="s">
        <v>637</v>
      </c>
    </row>
    <row r="7447" spans="1:2">
      <c r="A7447" s="1" t="s">
        <v>8219</v>
      </c>
      <c r="B7447" t="s">
        <v>637</v>
      </c>
    </row>
    <row r="7448" spans="1:2">
      <c r="A7448" s="1" t="s">
        <v>8220</v>
      </c>
      <c r="B7448" t="s">
        <v>637</v>
      </c>
    </row>
    <row r="7449" spans="1:2">
      <c r="A7449" s="1" t="s">
        <v>8221</v>
      </c>
      <c r="B7449" t="s">
        <v>637</v>
      </c>
    </row>
    <row r="7450" spans="1:2">
      <c r="A7450" s="1" t="s">
        <v>8222</v>
      </c>
      <c r="B7450" t="s">
        <v>637</v>
      </c>
    </row>
    <row r="7451" spans="1:2">
      <c r="A7451" s="1" t="s">
        <v>8223</v>
      </c>
      <c r="B7451" t="s">
        <v>637</v>
      </c>
    </row>
    <row r="7452" spans="1:2">
      <c r="A7452" s="1" t="s">
        <v>8224</v>
      </c>
      <c r="B7452" t="s">
        <v>637</v>
      </c>
    </row>
    <row r="7453" spans="1:2">
      <c r="A7453" s="1" t="s">
        <v>8225</v>
      </c>
      <c r="B7453" t="s">
        <v>637</v>
      </c>
    </row>
    <row r="7454" spans="1:2">
      <c r="A7454" s="1" t="s">
        <v>8226</v>
      </c>
      <c r="B7454" t="s">
        <v>637</v>
      </c>
    </row>
    <row r="7455" spans="1:2">
      <c r="A7455" s="1" t="s">
        <v>8227</v>
      </c>
      <c r="B7455" t="s">
        <v>637</v>
      </c>
    </row>
    <row r="7456" spans="1:2">
      <c r="A7456" s="1" t="s">
        <v>8228</v>
      </c>
      <c r="B7456" t="s">
        <v>637</v>
      </c>
    </row>
    <row r="7457" spans="1:2">
      <c r="A7457" s="1" t="s">
        <v>8229</v>
      </c>
      <c r="B7457" t="s">
        <v>637</v>
      </c>
    </row>
    <row r="7458" spans="1:2">
      <c r="A7458" s="1" t="s">
        <v>8230</v>
      </c>
      <c r="B7458" t="s">
        <v>637</v>
      </c>
    </row>
    <row r="7459" spans="1:2">
      <c r="A7459" s="1" t="s">
        <v>8231</v>
      </c>
      <c r="B7459" t="s">
        <v>637</v>
      </c>
    </row>
    <row r="7460" spans="1:2">
      <c r="A7460" s="1" t="s">
        <v>8232</v>
      </c>
      <c r="B7460" t="s">
        <v>637</v>
      </c>
    </row>
    <row r="7461" spans="1:2">
      <c r="A7461" s="1" t="s">
        <v>8233</v>
      </c>
      <c r="B7461" t="s">
        <v>637</v>
      </c>
    </row>
    <row r="7462" spans="1:2">
      <c r="A7462" s="1" t="s">
        <v>8234</v>
      </c>
      <c r="B7462" t="s">
        <v>637</v>
      </c>
    </row>
    <row r="7463" spans="1:2">
      <c r="A7463" s="1" t="s">
        <v>8235</v>
      </c>
      <c r="B7463" t="s">
        <v>637</v>
      </c>
    </row>
    <row r="7464" spans="1:2">
      <c r="A7464" s="1" t="s">
        <v>8236</v>
      </c>
      <c r="B7464" t="s">
        <v>637</v>
      </c>
    </row>
    <row r="7465" spans="1:2">
      <c r="A7465" s="1" t="s">
        <v>8237</v>
      </c>
      <c r="B7465" t="s">
        <v>637</v>
      </c>
    </row>
    <row r="7466" spans="1:2">
      <c r="A7466" s="1" t="s">
        <v>8238</v>
      </c>
      <c r="B7466" t="s">
        <v>637</v>
      </c>
    </row>
    <row r="7467" spans="1:2">
      <c r="A7467" s="1" t="s">
        <v>8239</v>
      </c>
      <c r="B7467" t="s">
        <v>637</v>
      </c>
    </row>
    <row r="7468" spans="1:2">
      <c r="A7468" s="1" t="s">
        <v>8240</v>
      </c>
      <c r="B7468" t="s">
        <v>637</v>
      </c>
    </row>
    <row r="7469" spans="1:2">
      <c r="A7469" s="1" t="s">
        <v>8241</v>
      </c>
      <c r="B7469" t="s">
        <v>637</v>
      </c>
    </row>
    <row r="7470" spans="1:2">
      <c r="A7470" s="1" t="s">
        <v>8242</v>
      </c>
      <c r="B7470" t="s">
        <v>637</v>
      </c>
    </row>
    <row r="7471" spans="1:2">
      <c r="A7471" s="1" t="s">
        <v>8243</v>
      </c>
      <c r="B7471" t="s">
        <v>637</v>
      </c>
    </row>
    <row r="7472" spans="1:2">
      <c r="A7472" s="1" t="s">
        <v>8244</v>
      </c>
      <c r="B7472" t="s">
        <v>637</v>
      </c>
    </row>
    <row r="7473" spans="1:2">
      <c r="A7473" s="1" t="s">
        <v>8245</v>
      </c>
      <c r="B7473" t="s">
        <v>637</v>
      </c>
    </row>
    <row r="7474" spans="1:2">
      <c r="A7474" s="1" t="s">
        <v>8246</v>
      </c>
      <c r="B7474" t="s">
        <v>637</v>
      </c>
    </row>
    <row r="7475" spans="1:2">
      <c r="A7475" s="1" t="s">
        <v>8247</v>
      </c>
      <c r="B7475" t="s">
        <v>637</v>
      </c>
    </row>
    <row r="7476" spans="1:2">
      <c r="A7476" s="1" t="s">
        <v>8248</v>
      </c>
      <c r="B7476" t="s">
        <v>637</v>
      </c>
    </row>
    <row r="7477" spans="1:2">
      <c r="A7477" s="1" t="s">
        <v>8249</v>
      </c>
      <c r="B7477" t="s">
        <v>637</v>
      </c>
    </row>
    <row r="7478" spans="1:2">
      <c r="A7478" s="1" t="s">
        <v>8250</v>
      </c>
      <c r="B7478" t="s">
        <v>637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637</v>
      </c>
    </row>
    <row r="7481" spans="1:2">
      <c r="A7481" s="1" t="s">
        <v>8253</v>
      </c>
      <c r="B7481" t="s">
        <v>637</v>
      </c>
    </row>
    <row r="7482" spans="1:2">
      <c r="A7482" s="1" t="s">
        <v>8254</v>
      </c>
      <c r="B7482" t="s">
        <v>637</v>
      </c>
    </row>
    <row r="7483" spans="1:2">
      <c r="A7483" s="1" t="s">
        <v>8255</v>
      </c>
      <c r="B7483" t="s">
        <v>637</v>
      </c>
    </row>
    <row r="7484" spans="1:2">
      <c r="A7484" s="1" t="s">
        <v>8256</v>
      </c>
      <c r="B7484" t="s">
        <v>637</v>
      </c>
    </row>
    <row r="7485" spans="1:2">
      <c r="A7485" s="1" t="s">
        <v>8257</v>
      </c>
      <c r="B7485" t="s">
        <v>637</v>
      </c>
    </row>
    <row r="7486" spans="1:2">
      <c r="A7486" s="1" t="s">
        <v>8258</v>
      </c>
      <c r="B7486" t="s">
        <v>637</v>
      </c>
    </row>
    <row r="7487" spans="1:2">
      <c r="A7487" s="1" t="s">
        <v>8259</v>
      </c>
      <c r="B7487" t="s">
        <v>637</v>
      </c>
    </row>
    <row r="7488" spans="1:2">
      <c r="A7488" s="1" t="s">
        <v>8260</v>
      </c>
      <c r="B7488" t="s">
        <v>637</v>
      </c>
    </row>
    <row r="7489" spans="1:2">
      <c r="A7489" s="1" t="s">
        <v>8261</v>
      </c>
      <c r="B7489" t="s">
        <v>637</v>
      </c>
    </row>
    <row r="7490" spans="1:2">
      <c r="A7490" s="1" t="s">
        <v>8262</v>
      </c>
      <c r="B7490" t="s">
        <v>637</v>
      </c>
    </row>
    <row r="7491" spans="1:2">
      <c r="A7491" s="1" t="s">
        <v>8263</v>
      </c>
      <c r="B7491" t="s">
        <v>637</v>
      </c>
    </row>
    <row r="7492" spans="1:2">
      <c r="A7492" s="1" t="s">
        <v>8264</v>
      </c>
      <c r="B7492" t="s">
        <v>637</v>
      </c>
    </row>
    <row r="7493" spans="1:2">
      <c r="A7493" s="1" t="s">
        <v>8265</v>
      </c>
      <c r="B7493" t="s">
        <v>637</v>
      </c>
    </row>
    <row r="7494" spans="1:2">
      <c r="A7494" s="1" t="s">
        <v>8266</v>
      </c>
      <c r="B7494" t="s">
        <v>637</v>
      </c>
    </row>
    <row r="7495" spans="1:2">
      <c r="A7495" s="1" t="s">
        <v>8267</v>
      </c>
      <c r="B7495" t="s">
        <v>637</v>
      </c>
    </row>
    <row r="7496" spans="1:2">
      <c r="A7496" s="1" t="s">
        <v>8268</v>
      </c>
      <c r="B7496" t="s">
        <v>637</v>
      </c>
    </row>
    <row r="7497" spans="1:2">
      <c r="A7497" s="1" t="s">
        <v>8269</v>
      </c>
      <c r="B7497" t="s">
        <v>637</v>
      </c>
    </row>
    <row r="7498" spans="1:2">
      <c r="A7498" s="1" t="s">
        <v>8270</v>
      </c>
      <c r="B7498" t="s">
        <v>637</v>
      </c>
    </row>
    <row r="7499" spans="1:2">
      <c r="A7499" s="1" t="s">
        <v>8271</v>
      </c>
      <c r="B7499" t="s">
        <v>637</v>
      </c>
    </row>
    <row r="7500" spans="1:2">
      <c r="A7500" s="1" t="s">
        <v>8272</v>
      </c>
      <c r="B7500" t="s">
        <v>637</v>
      </c>
    </row>
    <row r="7501" spans="1:2">
      <c r="A7501" s="1" t="s">
        <v>8273</v>
      </c>
      <c r="B7501" t="s">
        <v>637</v>
      </c>
    </row>
    <row r="7502" spans="1:2">
      <c r="A7502" s="1" t="s">
        <v>8274</v>
      </c>
      <c r="B7502" t="s">
        <v>637</v>
      </c>
    </row>
    <row r="7503" spans="1:2">
      <c r="A7503" s="1" t="s">
        <v>8275</v>
      </c>
      <c r="B7503" t="s">
        <v>637</v>
      </c>
    </row>
    <row r="7504" spans="1:2">
      <c r="A7504" s="1" t="s">
        <v>8276</v>
      </c>
      <c r="B7504" t="s">
        <v>637</v>
      </c>
    </row>
    <row r="7505" spans="1:2">
      <c r="A7505" s="1" t="s">
        <v>8277</v>
      </c>
      <c r="B7505" t="s">
        <v>637</v>
      </c>
    </row>
    <row r="7506" spans="1:2">
      <c r="A7506" s="1" t="s">
        <v>8278</v>
      </c>
      <c r="B7506" t="s">
        <v>637</v>
      </c>
    </row>
    <row r="7507" spans="1:2">
      <c r="A7507" s="1" t="s">
        <v>8279</v>
      </c>
      <c r="B7507" t="s">
        <v>637</v>
      </c>
    </row>
    <row r="7508" spans="1:2">
      <c r="A7508" s="1" t="s">
        <v>8280</v>
      </c>
      <c r="B7508" t="s">
        <v>637</v>
      </c>
    </row>
    <row r="7509" spans="1:2">
      <c r="A7509" s="1" t="s">
        <v>8281</v>
      </c>
      <c r="B7509" t="s">
        <v>637</v>
      </c>
    </row>
    <row r="7510" spans="1:2">
      <c r="A7510" s="1" t="s">
        <v>8282</v>
      </c>
      <c r="B7510" t="s">
        <v>637</v>
      </c>
    </row>
    <row r="7511" spans="1:2">
      <c r="A7511" s="1" t="s">
        <v>8283</v>
      </c>
      <c r="B7511" t="s">
        <v>637</v>
      </c>
    </row>
    <row r="7512" spans="1:2">
      <c r="A7512" s="1" t="s">
        <v>8284</v>
      </c>
      <c r="B7512" t="s">
        <v>637</v>
      </c>
    </row>
    <row r="7513" spans="1:2">
      <c r="A7513" s="1" t="s">
        <v>8285</v>
      </c>
      <c r="B7513" t="s">
        <v>637</v>
      </c>
    </row>
    <row r="7514" spans="1:2">
      <c r="A7514" s="1" t="s">
        <v>620</v>
      </c>
      <c r="B7514" t="s">
        <v>637</v>
      </c>
    </row>
    <row r="7515" spans="1:2">
      <c r="A7515" s="1" t="s">
        <v>8286</v>
      </c>
      <c r="B7515" t="s">
        <v>637</v>
      </c>
    </row>
    <row r="7516" spans="1:2">
      <c r="A7516" s="1" t="s">
        <v>8287</v>
      </c>
      <c r="B7516" t="s">
        <v>637</v>
      </c>
    </row>
    <row r="7517" spans="1:2">
      <c r="A7517" s="1" t="s">
        <v>8288</v>
      </c>
      <c r="B7517" t="s">
        <v>637</v>
      </c>
    </row>
    <row r="7518" spans="1:2">
      <c r="A7518" s="1" t="s">
        <v>8289</v>
      </c>
      <c r="B7518" t="s">
        <v>637</v>
      </c>
    </row>
    <row r="7519" spans="1:2">
      <c r="A7519" s="1" t="s">
        <v>8290</v>
      </c>
      <c r="B7519" t="s">
        <v>637</v>
      </c>
    </row>
    <row r="7520" spans="1:2">
      <c r="A7520" s="1" t="s">
        <v>8291</v>
      </c>
      <c r="B7520" t="s">
        <v>637</v>
      </c>
    </row>
    <row r="7521" spans="1:2">
      <c r="A7521" s="1" t="s">
        <v>8292</v>
      </c>
      <c r="B7521" t="s">
        <v>637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637</v>
      </c>
    </row>
    <row r="7524" spans="1:2">
      <c r="A7524" s="1" t="s">
        <v>8295</v>
      </c>
      <c r="B7524" t="s">
        <v>637</v>
      </c>
    </row>
    <row r="7525" spans="1:2">
      <c r="A7525" s="1" t="s">
        <v>8296</v>
      </c>
      <c r="B7525" t="s">
        <v>637</v>
      </c>
    </row>
    <row r="7526" spans="1:2">
      <c r="A7526" s="1" t="s">
        <v>8297</v>
      </c>
      <c r="B7526" t="s">
        <v>637</v>
      </c>
    </row>
    <row r="7527" spans="1:2">
      <c r="A7527" s="1" t="s">
        <v>8298</v>
      </c>
      <c r="B7527" t="s">
        <v>637</v>
      </c>
    </row>
    <row r="7528" spans="1:2">
      <c r="A7528" s="1" t="s">
        <v>8299</v>
      </c>
      <c r="B7528" t="s">
        <v>637</v>
      </c>
    </row>
    <row r="7529" spans="1:2">
      <c r="A7529" s="1" t="s">
        <v>8300</v>
      </c>
      <c r="B7529" t="s">
        <v>637</v>
      </c>
    </row>
    <row r="7530" spans="1:2">
      <c r="A7530" s="1" t="s">
        <v>8301</v>
      </c>
      <c r="B7530" t="s">
        <v>637</v>
      </c>
    </row>
    <row r="7531" spans="1:2">
      <c r="A7531" s="1" t="s">
        <v>8302</v>
      </c>
      <c r="B7531" t="s">
        <v>637</v>
      </c>
    </row>
    <row r="7532" spans="1:2">
      <c r="A7532" s="1" t="s">
        <v>8303</v>
      </c>
      <c r="B7532" t="s">
        <v>637</v>
      </c>
    </row>
    <row r="7533" spans="1:2">
      <c r="A7533" s="1" t="s">
        <v>8304</v>
      </c>
      <c r="B7533" t="s">
        <v>637</v>
      </c>
    </row>
    <row r="7534" spans="1:2">
      <c r="A7534" s="1" t="s">
        <v>8305</v>
      </c>
      <c r="B7534" t="s">
        <v>637</v>
      </c>
    </row>
    <row r="7535" spans="1:2">
      <c r="A7535" s="1" t="s">
        <v>8306</v>
      </c>
      <c r="B7535" t="s">
        <v>637</v>
      </c>
    </row>
    <row r="7536" spans="1:2">
      <c r="A7536" s="1" t="s">
        <v>8307</v>
      </c>
      <c r="B7536" t="s">
        <v>637</v>
      </c>
    </row>
    <row r="7537" spans="1:2">
      <c r="A7537" s="1" t="s">
        <v>8308</v>
      </c>
      <c r="B7537" t="s">
        <v>637</v>
      </c>
    </row>
    <row r="7538" spans="1:2">
      <c r="A7538" s="1" t="s">
        <v>8309</v>
      </c>
      <c r="B7538" t="s">
        <v>637</v>
      </c>
    </row>
    <row r="7539" spans="1:2">
      <c r="A7539" s="1" t="s">
        <v>8310</v>
      </c>
      <c r="B7539" t="s">
        <v>637</v>
      </c>
    </row>
    <row r="7540" spans="1:2">
      <c r="A7540" s="1" t="s">
        <v>8311</v>
      </c>
      <c r="B7540" t="s">
        <v>637</v>
      </c>
    </row>
    <row r="7541" spans="1:2">
      <c r="A7541" s="1" t="s">
        <v>8312</v>
      </c>
      <c r="B7541" t="s">
        <v>637</v>
      </c>
    </row>
    <row r="7542" spans="1:2">
      <c r="A7542" s="1" t="s">
        <v>8313</v>
      </c>
      <c r="B7542" t="s">
        <v>637</v>
      </c>
    </row>
    <row r="7543" spans="1:2">
      <c r="A7543" s="1" t="s">
        <v>8314</v>
      </c>
      <c r="B7543" t="s">
        <v>637</v>
      </c>
    </row>
    <row r="7544" spans="1:2">
      <c r="A7544" s="1" t="s">
        <v>8315</v>
      </c>
      <c r="B7544" t="s">
        <v>637</v>
      </c>
    </row>
    <row r="7545" spans="1:2">
      <c r="A7545" s="1" t="s">
        <v>8316</v>
      </c>
      <c r="B7545" t="s">
        <v>637</v>
      </c>
    </row>
    <row r="7546" spans="1:2">
      <c r="A7546" s="1" t="s">
        <v>8317</v>
      </c>
      <c r="B7546" t="s">
        <v>637</v>
      </c>
    </row>
    <row r="7547" spans="1:2">
      <c r="A7547" s="1" t="s">
        <v>8318</v>
      </c>
      <c r="B7547" t="s">
        <v>637</v>
      </c>
    </row>
    <row r="7548" spans="1:2">
      <c r="A7548" s="1" t="s">
        <v>8319</v>
      </c>
      <c r="B7548" t="s">
        <v>637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637</v>
      </c>
    </row>
    <row r="7551" spans="1:2">
      <c r="A7551" s="1" t="s">
        <v>8322</v>
      </c>
      <c r="B7551" t="s">
        <v>637</v>
      </c>
    </row>
    <row r="7552" spans="1:2">
      <c r="A7552" s="1" t="s">
        <v>8323</v>
      </c>
      <c r="B7552" t="s">
        <v>637</v>
      </c>
    </row>
    <row r="7553" spans="1:2">
      <c r="A7553" s="1" t="s">
        <v>8324</v>
      </c>
      <c r="B7553" t="s">
        <v>637</v>
      </c>
    </row>
    <row r="7554" spans="1:2">
      <c r="A7554" s="1" t="s">
        <v>8325</v>
      </c>
      <c r="B7554" t="s">
        <v>637</v>
      </c>
    </row>
    <row r="7555" spans="1:2">
      <c r="A7555" s="1" t="s">
        <v>8326</v>
      </c>
      <c r="B7555" t="s">
        <v>637</v>
      </c>
    </row>
    <row r="7556" spans="1:2">
      <c r="A7556" s="1" t="s">
        <v>8327</v>
      </c>
      <c r="B7556" t="s">
        <v>637</v>
      </c>
    </row>
    <row r="7557" spans="1:2">
      <c r="A7557" s="1" t="s">
        <v>8328</v>
      </c>
      <c r="B7557" t="s">
        <v>637</v>
      </c>
    </row>
    <row r="7558" spans="1:2">
      <c r="A7558" s="1" t="s">
        <v>8329</v>
      </c>
      <c r="B7558" t="s">
        <v>637</v>
      </c>
    </row>
    <row r="7559" spans="1:2">
      <c r="A7559" s="1" t="s">
        <v>8330</v>
      </c>
      <c r="B7559" t="s">
        <v>637</v>
      </c>
    </row>
    <row r="7560" spans="1:2">
      <c r="A7560" s="1" t="s">
        <v>8331</v>
      </c>
      <c r="B7560" t="s">
        <v>637</v>
      </c>
    </row>
    <row r="7561" spans="1:2">
      <c r="A7561" s="1" t="s">
        <v>8332</v>
      </c>
      <c r="B7561" t="s">
        <v>637</v>
      </c>
    </row>
    <row r="7562" spans="1:2">
      <c r="A7562" s="1" t="s">
        <v>8333</v>
      </c>
      <c r="B7562" t="s">
        <v>637</v>
      </c>
    </row>
    <row r="7563" spans="1:2">
      <c r="A7563" s="1" t="s">
        <v>8334</v>
      </c>
      <c r="B7563" t="s">
        <v>637</v>
      </c>
    </row>
    <row r="7564" spans="1:2">
      <c r="A7564" s="1" t="s">
        <v>8335</v>
      </c>
      <c r="B7564" t="s">
        <v>637</v>
      </c>
    </row>
    <row r="7565" spans="1:2">
      <c r="A7565" s="1" t="s">
        <v>8336</v>
      </c>
      <c r="B7565" t="s">
        <v>637</v>
      </c>
    </row>
    <row r="7566" spans="1:2">
      <c r="A7566" s="1" t="s">
        <v>8337</v>
      </c>
      <c r="B7566" t="s">
        <v>637</v>
      </c>
    </row>
    <row r="7567" spans="1:2">
      <c r="A7567" s="1" t="s">
        <v>8338</v>
      </c>
      <c r="B7567" t="s">
        <v>637</v>
      </c>
    </row>
    <row r="7568" spans="1:2">
      <c r="A7568" s="1" t="s">
        <v>8339</v>
      </c>
      <c r="B7568" t="s">
        <v>637</v>
      </c>
    </row>
    <row r="7569" spans="1:2">
      <c r="A7569" s="1" t="s">
        <v>8340</v>
      </c>
      <c r="B7569" t="s">
        <v>637</v>
      </c>
    </row>
    <row r="7570" spans="1:2">
      <c r="A7570" s="1" t="s">
        <v>8341</v>
      </c>
      <c r="B7570" t="s">
        <v>637</v>
      </c>
    </row>
    <row r="7571" spans="1:2">
      <c r="A7571" s="1" t="s">
        <v>8342</v>
      </c>
      <c r="B7571" t="s">
        <v>637</v>
      </c>
    </row>
    <row r="7572" spans="1:2">
      <c r="A7572" s="1" t="s">
        <v>8343</v>
      </c>
      <c r="B7572" t="s">
        <v>637</v>
      </c>
    </row>
    <row r="7573" spans="1:2">
      <c r="A7573" s="1" t="s">
        <v>8344</v>
      </c>
      <c r="B7573" t="s">
        <v>637</v>
      </c>
    </row>
    <row r="7574" spans="1:2">
      <c r="A7574" s="1" t="s">
        <v>8345</v>
      </c>
      <c r="B7574" t="s">
        <v>637</v>
      </c>
    </row>
    <row r="7575" spans="1:2">
      <c r="A7575" s="1" t="s">
        <v>8346</v>
      </c>
      <c r="B7575" t="s">
        <v>637</v>
      </c>
    </row>
    <row r="7576" spans="1:2">
      <c r="A7576" s="1" t="s">
        <v>8347</v>
      </c>
      <c r="B7576" t="s">
        <v>637</v>
      </c>
    </row>
    <row r="7577" spans="1:2">
      <c r="A7577" s="1" t="s">
        <v>8348</v>
      </c>
      <c r="B7577" t="s">
        <v>637</v>
      </c>
    </row>
    <row r="7578" spans="1:2">
      <c r="A7578" s="1" t="s">
        <v>8349</v>
      </c>
      <c r="B7578" t="s">
        <v>637</v>
      </c>
    </row>
    <row r="7579" spans="1:2">
      <c r="A7579" s="1" t="s">
        <v>8350</v>
      </c>
      <c r="B7579" t="s">
        <v>637</v>
      </c>
    </row>
    <row r="7580" spans="1:2">
      <c r="A7580" s="1" t="s">
        <v>8351</v>
      </c>
      <c r="B7580" t="s">
        <v>637</v>
      </c>
    </row>
    <row r="7581" spans="1:2">
      <c r="A7581" s="1" t="s">
        <v>8352</v>
      </c>
      <c r="B7581" t="s">
        <v>637</v>
      </c>
    </row>
    <row r="7582" spans="1:2">
      <c r="A7582" s="1" t="s">
        <v>8353</v>
      </c>
      <c r="B7582" t="s">
        <v>637</v>
      </c>
    </row>
    <row r="7583" spans="1:2">
      <c r="A7583" s="1" t="s">
        <v>8354</v>
      </c>
      <c r="B7583" t="s">
        <v>637</v>
      </c>
    </row>
    <row r="7584" spans="1:2">
      <c r="A7584" s="1" t="s">
        <v>8355</v>
      </c>
      <c r="B7584" t="s">
        <v>637</v>
      </c>
    </row>
    <row r="7585" spans="1:2">
      <c r="A7585" s="1" t="s">
        <v>8356</v>
      </c>
      <c r="B7585" t="s">
        <v>637</v>
      </c>
    </row>
    <row r="7586" spans="1:2">
      <c r="A7586" s="1" t="s">
        <v>8357</v>
      </c>
      <c r="B7586" t="s">
        <v>637</v>
      </c>
    </row>
    <row r="7587" spans="1:2">
      <c r="A7587" s="1" t="s">
        <v>8358</v>
      </c>
      <c r="B7587" t="s">
        <v>637</v>
      </c>
    </row>
    <row r="7588" spans="1:2">
      <c r="A7588" s="1" t="s">
        <v>8359</v>
      </c>
      <c r="B7588" t="s">
        <v>637</v>
      </c>
    </row>
    <row r="7589" spans="1:2">
      <c r="A7589" s="1" t="s">
        <v>8360</v>
      </c>
      <c r="B7589" t="s">
        <v>637</v>
      </c>
    </row>
    <row r="7590" spans="1:2">
      <c r="A7590" s="1" t="s">
        <v>8361</v>
      </c>
      <c r="B7590" t="s">
        <v>637</v>
      </c>
    </row>
    <row r="7591" spans="1:2">
      <c r="A7591" s="1" t="s">
        <v>8362</v>
      </c>
      <c r="B7591" t="s">
        <v>637</v>
      </c>
    </row>
    <row r="7592" spans="1:2">
      <c r="A7592" s="1" t="s">
        <v>8363</v>
      </c>
      <c r="B7592" t="s">
        <v>637</v>
      </c>
    </row>
    <row r="7593" spans="1:2">
      <c r="A7593" s="1" t="s">
        <v>8364</v>
      </c>
      <c r="B7593" t="s">
        <v>637</v>
      </c>
    </row>
    <row r="7594" spans="1:2">
      <c r="A7594" s="1" t="s">
        <v>8365</v>
      </c>
      <c r="B7594" t="s">
        <v>637</v>
      </c>
    </row>
    <row r="7595" spans="1:2">
      <c r="A7595" s="1" t="s">
        <v>8366</v>
      </c>
      <c r="B7595" t="s">
        <v>637</v>
      </c>
    </row>
    <row r="7596" spans="1:2">
      <c r="A7596" s="1" t="s">
        <v>8367</v>
      </c>
      <c r="B7596" t="s">
        <v>637</v>
      </c>
    </row>
    <row r="7597" spans="1:2">
      <c r="A7597" s="1" t="s">
        <v>8368</v>
      </c>
      <c r="B7597" t="s">
        <v>637</v>
      </c>
    </row>
    <row r="7598" spans="1:2">
      <c r="A7598" s="1" t="s">
        <v>8369</v>
      </c>
      <c r="B7598" t="s">
        <v>637</v>
      </c>
    </row>
    <row r="7599" spans="1:2">
      <c r="A7599" s="1" t="s">
        <v>8370</v>
      </c>
      <c r="B7599" t="s">
        <v>637</v>
      </c>
    </row>
    <row r="7600" spans="1:2">
      <c r="A7600" s="1" t="s">
        <v>8371</v>
      </c>
      <c r="B7600" t="s">
        <v>637</v>
      </c>
    </row>
    <row r="7601" spans="1:2">
      <c r="A7601" s="1" t="s">
        <v>8372</v>
      </c>
      <c r="B7601" t="s">
        <v>637</v>
      </c>
    </row>
    <row r="7602" spans="1:2">
      <c r="A7602" s="1" t="s">
        <v>8373</v>
      </c>
      <c r="B7602" t="s">
        <v>637</v>
      </c>
    </row>
    <row r="7603" spans="1:2">
      <c r="A7603" s="1" t="s">
        <v>8374</v>
      </c>
      <c r="B7603" t="s">
        <v>637</v>
      </c>
    </row>
    <row r="7604" spans="1:2">
      <c r="A7604" s="1" t="s">
        <v>8375</v>
      </c>
      <c r="B7604" t="s">
        <v>637</v>
      </c>
    </row>
    <row r="7605" spans="1:2">
      <c r="A7605" s="1" t="s">
        <v>8376</v>
      </c>
      <c r="B7605" t="s">
        <v>637</v>
      </c>
    </row>
    <row r="7606" spans="1:2">
      <c r="A7606" s="1" t="s">
        <v>8377</v>
      </c>
      <c r="B7606" t="s">
        <v>637</v>
      </c>
    </row>
    <row r="7607" spans="1:2">
      <c r="A7607" s="1" t="s">
        <v>8378</v>
      </c>
      <c r="B7607" t="s">
        <v>637</v>
      </c>
    </row>
    <row r="7608" spans="1:2">
      <c r="A7608" s="1" t="s">
        <v>8379</v>
      </c>
      <c r="B7608" t="s">
        <v>637</v>
      </c>
    </row>
    <row r="7609" spans="1:2">
      <c r="A7609" s="1" t="s">
        <v>8380</v>
      </c>
      <c r="B7609" t="s">
        <v>637</v>
      </c>
    </row>
    <row r="7610" spans="1:2">
      <c r="A7610" s="1" t="s">
        <v>8381</v>
      </c>
      <c r="B7610" t="s">
        <v>637</v>
      </c>
    </row>
    <row r="7611" spans="1:2">
      <c r="A7611" s="1" t="s">
        <v>8382</v>
      </c>
      <c r="B7611" t="s">
        <v>637</v>
      </c>
    </row>
    <row r="7612" spans="1:2">
      <c r="A7612" s="1" t="s">
        <v>8383</v>
      </c>
      <c r="B7612" t="s">
        <v>637</v>
      </c>
    </row>
    <row r="7613" spans="1:2">
      <c r="A7613" s="1" t="s">
        <v>8384</v>
      </c>
      <c r="B7613" t="s">
        <v>637</v>
      </c>
    </row>
    <row r="7614" spans="1:2">
      <c r="A7614" s="1" t="s">
        <v>8385</v>
      </c>
      <c r="B7614" t="s">
        <v>637</v>
      </c>
    </row>
    <row r="7615" spans="1:2">
      <c r="A7615" s="1" t="s">
        <v>8386</v>
      </c>
      <c r="B7615" t="s">
        <v>637</v>
      </c>
    </row>
    <row r="7616" spans="1:2">
      <c r="A7616" s="1" t="s">
        <v>8387</v>
      </c>
      <c r="B7616" t="s">
        <v>637</v>
      </c>
    </row>
    <row r="7617" spans="1:2">
      <c r="A7617" s="1" t="s">
        <v>8388</v>
      </c>
      <c r="B7617" t="s">
        <v>637</v>
      </c>
    </row>
    <row r="7618" spans="1:2">
      <c r="A7618" s="1" t="s">
        <v>8389</v>
      </c>
      <c r="B7618" t="s">
        <v>637</v>
      </c>
    </row>
    <row r="7619" spans="1:2">
      <c r="A7619" s="1" t="s">
        <v>8390</v>
      </c>
      <c r="B7619" t="s">
        <v>637</v>
      </c>
    </row>
    <row r="7620" spans="1:2">
      <c r="A7620" s="1" t="s">
        <v>8391</v>
      </c>
      <c r="B7620" t="s">
        <v>637</v>
      </c>
    </row>
    <row r="7621" spans="1:2">
      <c r="A7621" s="1" t="s">
        <v>8392</v>
      </c>
      <c r="B7621" t="s">
        <v>637</v>
      </c>
    </row>
    <row r="7622" spans="1:2">
      <c r="A7622" s="1" t="s">
        <v>8393</v>
      </c>
      <c r="B7622" t="s">
        <v>637</v>
      </c>
    </row>
    <row r="7623" spans="1:2">
      <c r="A7623" s="1" t="s">
        <v>8394</v>
      </c>
      <c r="B7623" t="s">
        <v>637</v>
      </c>
    </row>
    <row r="7624" spans="1:2">
      <c r="A7624" s="1" t="s">
        <v>8395</v>
      </c>
      <c r="B7624" t="s">
        <v>637</v>
      </c>
    </row>
    <row r="7625" spans="1:2">
      <c r="A7625" s="1" t="s">
        <v>8396</v>
      </c>
      <c r="B7625" t="s">
        <v>637</v>
      </c>
    </row>
    <row r="7626" spans="1:2">
      <c r="A7626" s="1" t="s">
        <v>8397</v>
      </c>
      <c r="B7626" t="s">
        <v>637</v>
      </c>
    </row>
    <row r="7627" spans="1:2">
      <c r="A7627" s="1" t="s">
        <v>8398</v>
      </c>
      <c r="B7627" t="s">
        <v>637</v>
      </c>
    </row>
    <row r="7628" spans="1:2">
      <c r="A7628" s="1" t="s">
        <v>8399</v>
      </c>
      <c r="B7628" t="s">
        <v>637</v>
      </c>
    </row>
    <row r="7629" spans="1:2">
      <c r="A7629" s="1" t="s">
        <v>8400</v>
      </c>
      <c r="B7629" t="s">
        <v>637</v>
      </c>
    </row>
    <row r="7630" spans="1:2">
      <c r="A7630" s="1" t="s">
        <v>8401</v>
      </c>
      <c r="B7630" t="s">
        <v>637</v>
      </c>
    </row>
    <row r="7631" spans="1:2">
      <c r="A7631" s="1" t="s">
        <v>8402</v>
      </c>
      <c r="B7631" t="s">
        <v>637</v>
      </c>
    </row>
    <row r="7632" spans="1:2">
      <c r="A7632" s="1" t="s">
        <v>8403</v>
      </c>
      <c r="B7632" t="s">
        <v>637</v>
      </c>
    </row>
    <row r="7633" spans="1:2">
      <c r="A7633" s="1" t="s">
        <v>8404</v>
      </c>
      <c r="B7633" t="s">
        <v>637</v>
      </c>
    </row>
    <row r="7634" spans="1:2">
      <c r="A7634" s="1" t="s">
        <v>8405</v>
      </c>
      <c r="B7634" t="s">
        <v>637</v>
      </c>
    </row>
    <row r="7635" spans="1:2">
      <c r="A7635" s="1" t="s">
        <v>8406</v>
      </c>
      <c r="B7635" t="s">
        <v>637</v>
      </c>
    </row>
    <row r="7636" spans="1:2">
      <c r="A7636" s="1" t="s">
        <v>8407</v>
      </c>
      <c r="B7636" t="s">
        <v>637</v>
      </c>
    </row>
    <row r="7637" spans="1:2">
      <c r="A7637" s="1" t="s">
        <v>8408</v>
      </c>
      <c r="B7637" t="s">
        <v>637</v>
      </c>
    </row>
    <row r="7638" spans="1:2">
      <c r="A7638" s="1" t="s">
        <v>8409</v>
      </c>
      <c r="B7638" t="s">
        <v>637</v>
      </c>
    </row>
    <row r="7639" spans="1:2">
      <c r="A7639" s="1" t="s">
        <v>8410</v>
      </c>
      <c r="B7639" t="s">
        <v>637</v>
      </c>
    </row>
    <row r="7640" spans="1:2">
      <c r="A7640" s="1" t="s">
        <v>8411</v>
      </c>
      <c r="B7640" t="s">
        <v>637</v>
      </c>
    </row>
    <row r="7641" spans="1:2">
      <c r="A7641" s="1" t="s">
        <v>8412</v>
      </c>
      <c r="B7641" t="s">
        <v>637</v>
      </c>
    </row>
    <row r="7642" spans="1:2">
      <c r="A7642" s="1" t="s">
        <v>8413</v>
      </c>
      <c r="B7642" t="s">
        <v>637</v>
      </c>
    </row>
    <row r="7643" spans="1:2">
      <c r="A7643" s="1" t="s">
        <v>8414</v>
      </c>
      <c r="B7643" t="s">
        <v>637</v>
      </c>
    </row>
    <row r="7644" spans="1:2">
      <c r="A7644" s="1" t="s">
        <v>8415</v>
      </c>
      <c r="B7644" t="s">
        <v>637</v>
      </c>
    </row>
    <row r="7645" spans="1:2">
      <c r="A7645" s="1" t="s">
        <v>8416</v>
      </c>
      <c r="B7645" t="s">
        <v>637</v>
      </c>
    </row>
    <row r="7646" spans="1:2">
      <c r="A7646" s="1" t="s">
        <v>8417</v>
      </c>
      <c r="B7646" t="s">
        <v>637</v>
      </c>
    </row>
    <row r="7647" spans="1:2">
      <c r="A7647" s="1" t="s">
        <v>8418</v>
      </c>
      <c r="B7647" t="s">
        <v>637</v>
      </c>
    </row>
    <row r="7648" spans="1:2">
      <c r="A7648" s="1" t="s">
        <v>8419</v>
      </c>
      <c r="B7648" t="s">
        <v>637</v>
      </c>
    </row>
    <row r="7649" spans="1:2">
      <c r="A7649" s="1" t="s">
        <v>8420</v>
      </c>
      <c r="B7649" t="s">
        <v>637</v>
      </c>
    </row>
    <row r="7650" spans="1:2">
      <c r="A7650" s="1" t="s">
        <v>8421</v>
      </c>
      <c r="B7650" t="s">
        <v>637</v>
      </c>
    </row>
    <row r="7651" spans="1:2">
      <c r="A7651" s="1" t="s">
        <v>8422</v>
      </c>
      <c r="B7651" t="s">
        <v>637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637</v>
      </c>
    </row>
    <row r="7654" spans="1:2">
      <c r="A7654" s="1" t="s">
        <v>8425</v>
      </c>
      <c r="B7654" t="s">
        <v>637</v>
      </c>
    </row>
    <row r="7655" spans="1:2">
      <c r="A7655" s="1" t="s">
        <v>8426</v>
      </c>
      <c r="B7655" t="s">
        <v>637</v>
      </c>
    </row>
    <row r="7656" spans="1:2">
      <c r="A7656" s="1" t="s">
        <v>8427</v>
      </c>
      <c r="B7656" t="s">
        <v>637</v>
      </c>
    </row>
    <row r="7657" spans="1:2">
      <c r="A7657" s="1" t="s">
        <v>8428</v>
      </c>
      <c r="B7657" t="s">
        <v>637</v>
      </c>
    </row>
    <row r="7658" spans="1:2">
      <c r="A7658" s="1" t="s">
        <v>8429</v>
      </c>
      <c r="B7658" t="s">
        <v>637</v>
      </c>
    </row>
    <row r="7659" spans="1:2">
      <c r="A7659" s="1" t="s">
        <v>8430</v>
      </c>
      <c r="B7659" t="s">
        <v>637</v>
      </c>
    </row>
    <row r="7660" spans="1:2">
      <c r="A7660" s="1" t="s">
        <v>8431</v>
      </c>
      <c r="B7660" t="s">
        <v>637</v>
      </c>
    </row>
    <row r="7661" spans="1:2">
      <c r="A7661" s="1" t="s">
        <v>8432</v>
      </c>
      <c r="B7661" t="s">
        <v>637</v>
      </c>
    </row>
    <row r="7662" spans="1:2">
      <c r="A7662" s="1" t="s">
        <v>516</v>
      </c>
      <c r="B7662" t="s">
        <v>637</v>
      </c>
    </row>
    <row r="7663" spans="1:2">
      <c r="A7663" s="1" t="s">
        <v>8433</v>
      </c>
      <c r="B7663" t="s">
        <v>637</v>
      </c>
    </row>
    <row r="7664" spans="1:2">
      <c r="A7664" s="1" t="s">
        <v>8434</v>
      </c>
      <c r="B7664" t="s">
        <v>637</v>
      </c>
    </row>
    <row r="7665" spans="1:2">
      <c r="A7665" s="1" t="s">
        <v>8435</v>
      </c>
      <c r="B7665" t="s">
        <v>637</v>
      </c>
    </row>
    <row r="7666" spans="1:2">
      <c r="A7666" s="1" t="s">
        <v>8436</v>
      </c>
      <c r="B7666" t="s">
        <v>637</v>
      </c>
    </row>
    <row r="7667" spans="1:2">
      <c r="A7667" s="1" t="s">
        <v>8437</v>
      </c>
      <c r="B7667" t="s">
        <v>637</v>
      </c>
    </row>
    <row r="7668" spans="1:2">
      <c r="A7668" s="1" t="s">
        <v>8438</v>
      </c>
      <c r="B7668" t="s">
        <v>637</v>
      </c>
    </row>
    <row r="7669" spans="1:2">
      <c r="A7669" s="1" t="s">
        <v>8439</v>
      </c>
      <c r="B7669" t="s">
        <v>637</v>
      </c>
    </row>
    <row r="7670" spans="1:2">
      <c r="A7670" s="1" t="s">
        <v>8440</v>
      </c>
      <c r="B7670" t="s">
        <v>637</v>
      </c>
    </row>
    <row r="7671" spans="1:2">
      <c r="A7671" s="1" t="s">
        <v>8441</v>
      </c>
      <c r="B7671" t="s">
        <v>637</v>
      </c>
    </row>
    <row r="7672" spans="1:2">
      <c r="A7672" s="1" t="s">
        <v>8442</v>
      </c>
      <c r="B7672" t="s">
        <v>637</v>
      </c>
    </row>
    <row r="7673" spans="1:2">
      <c r="A7673" s="1" t="s">
        <v>8443</v>
      </c>
      <c r="B7673" t="s">
        <v>637</v>
      </c>
    </row>
    <row r="7674" spans="1:2">
      <c r="A7674" s="1" t="s">
        <v>8444</v>
      </c>
      <c r="B7674" t="s">
        <v>637</v>
      </c>
    </row>
    <row r="7675" spans="1:2">
      <c r="A7675" s="1" t="s">
        <v>8445</v>
      </c>
      <c r="B7675" t="s">
        <v>637</v>
      </c>
    </row>
    <row r="7676" spans="1:2">
      <c r="A7676" s="1" t="s">
        <v>8446</v>
      </c>
      <c r="B7676" t="s">
        <v>637</v>
      </c>
    </row>
    <row r="7677" spans="1:2">
      <c r="A7677" s="1" t="s">
        <v>8447</v>
      </c>
      <c r="B7677" t="s">
        <v>637</v>
      </c>
    </row>
    <row r="7678" spans="1:2">
      <c r="A7678" s="1" t="s">
        <v>8448</v>
      </c>
      <c r="B7678" t="s">
        <v>637</v>
      </c>
    </row>
    <row r="7679" spans="1:2">
      <c r="A7679" s="1" t="s">
        <v>8449</v>
      </c>
      <c r="B7679" t="s">
        <v>637</v>
      </c>
    </row>
    <row r="7680" spans="1:2">
      <c r="A7680" s="1" t="s">
        <v>8450</v>
      </c>
      <c r="B7680" t="s">
        <v>637</v>
      </c>
    </row>
    <row r="7681" spans="1:2">
      <c r="A7681" s="1" t="s">
        <v>8451</v>
      </c>
      <c r="B7681" t="s">
        <v>637</v>
      </c>
    </row>
    <row r="7682" spans="1:2">
      <c r="A7682" s="1" t="s">
        <v>8452</v>
      </c>
      <c r="B7682" t="s">
        <v>637</v>
      </c>
    </row>
    <row r="7683" spans="1:2">
      <c r="A7683" s="1" t="s">
        <v>8453</v>
      </c>
      <c r="B7683" t="s">
        <v>637</v>
      </c>
    </row>
    <row r="7684" spans="1:2">
      <c r="A7684" s="1" t="s">
        <v>8454</v>
      </c>
      <c r="B7684" t="s">
        <v>637</v>
      </c>
    </row>
    <row r="7685" spans="1:2">
      <c r="A7685" s="1" t="s">
        <v>8455</v>
      </c>
      <c r="B7685" t="s">
        <v>637</v>
      </c>
    </row>
    <row r="7686" spans="1:2">
      <c r="A7686" s="1" t="s">
        <v>8456</v>
      </c>
      <c r="B7686" t="s">
        <v>637</v>
      </c>
    </row>
    <row r="7687" spans="1:2">
      <c r="A7687" s="1" t="s">
        <v>8457</v>
      </c>
      <c r="B7687" t="s">
        <v>637</v>
      </c>
    </row>
    <row r="7688" spans="1:2">
      <c r="A7688" s="1" t="s">
        <v>8458</v>
      </c>
      <c r="B7688" t="s">
        <v>637</v>
      </c>
    </row>
    <row r="7689" spans="1:2">
      <c r="A7689" s="1" t="s">
        <v>8459</v>
      </c>
      <c r="B7689" t="s">
        <v>637</v>
      </c>
    </row>
    <row r="7690" spans="1:2">
      <c r="A7690" s="1" t="s">
        <v>8460</v>
      </c>
      <c r="B7690" t="s">
        <v>637</v>
      </c>
    </row>
    <row r="7691" spans="1:2">
      <c r="A7691" s="1" t="s">
        <v>8461</v>
      </c>
      <c r="B7691" t="s">
        <v>637</v>
      </c>
    </row>
    <row r="7692" spans="1:2">
      <c r="A7692" s="1" t="s">
        <v>8462</v>
      </c>
      <c r="B7692" t="s">
        <v>637</v>
      </c>
    </row>
    <row r="7693" spans="1:2">
      <c r="A7693" s="1" t="s">
        <v>8463</v>
      </c>
      <c r="B7693" t="s">
        <v>637</v>
      </c>
    </row>
    <row r="7694" spans="1:2">
      <c r="A7694" s="1" t="s">
        <v>8464</v>
      </c>
      <c r="B7694" t="s">
        <v>637</v>
      </c>
    </row>
    <row r="7695" spans="1:2">
      <c r="A7695" s="1" t="s">
        <v>8465</v>
      </c>
      <c r="B7695" t="s">
        <v>637</v>
      </c>
    </row>
    <row r="7696" spans="1:2">
      <c r="A7696" s="1" t="s">
        <v>8466</v>
      </c>
      <c r="B7696" t="s">
        <v>637</v>
      </c>
    </row>
    <row r="7697" spans="1:2">
      <c r="A7697" s="1" t="s">
        <v>8467</v>
      </c>
      <c r="B7697" t="s">
        <v>637</v>
      </c>
    </row>
    <row r="7698" spans="1:2">
      <c r="A7698" s="1" t="s">
        <v>8468</v>
      </c>
      <c r="B7698" t="s">
        <v>637</v>
      </c>
    </row>
    <row r="7699" spans="1:2">
      <c r="A7699" s="1" t="s">
        <v>8469</v>
      </c>
      <c r="B7699" t="s">
        <v>637</v>
      </c>
    </row>
    <row r="7700" spans="1:2">
      <c r="A7700" s="1" t="s">
        <v>8470</v>
      </c>
      <c r="B7700" t="s">
        <v>637</v>
      </c>
    </row>
    <row r="7701" spans="1:2">
      <c r="A7701" s="1" t="s">
        <v>8471</v>
      </c>
      <c r="B7701" t="s">
        <v>637</v>
      </c>
    </row>
    <row r="7702" spans="1:2">
      <c r="A7702" s="1" t="s">
        <v>8472</v>
      </c>
      <c r="B7702" t="s">
        <v>637</v>
      </c>
    </row>
    <row r="7703" spans="1:2">
      <c r="A7703" s="1" t="s">
        <v>8473</v>
      </c>
      <c r="B7703" t="s">
        <v>637</v>
      </c>
    </row>
    <row r="7704" spans="1:2">
      <c r="A7704" s="1" t="s">
        <v>8474</v>
      </c>
      <c r="B7704" t="s">
        <v>637</v>
      </c>
    </row>
    <row r="7705" spans="1:2">
      <c r="A7705" s="1" t="s">
        <v>8475</v>
      </c>
      <c r="B7705" t="s">
        <v>637</v>
      </c>
    </row>
    <row r="7706" spans="1:2">
      <c r="A7706" s="1" t="s">
        <v>8476</v>
      </c>
      <c r="B7706" t="s">
        <v>637</v>
      </c>
    </row>
    <row r="7707" spans="1:2">
      <c r="A7707" s="1" t="s">
        <v>8477</v>
      </c>
      <c r="B7707" t="s">
        <v>637</v>
      </c>
    </row>
    <row r="7708" spans="1:2">
      <c r="A7708" s="1" t="s">
        <v>8478</v>
      </c>
      <c r="B7708" t="s">
        <v>637</v>
      </c>
    </row>
    <row r="7709" spans="1:2">
      <c r="A7709" s="1" t="s">
        <v>8479</v>
      </c>
      <c r="B7709" t="s">
        <v>637</v>
      </c>
    </row>
    <row r="7710" spans="1:2">
      <c r="A7710" s="1" t="s">
        <v>8480</v>
      </c>
      <c r="B7710" t="s">
        <v>637</v>
      </c>
    </row>
    <row r="7711" spans="1:2">
      <c r="A7711" s="1" t="s">
        <v>8481</v>
      </c>
      <c r="B7711" t="s">
        <v>637</v>
      </c>
    </row>
    <row r="7712" spans="1:2">
      <c r="A7712" s="1" t="s">
        <v>8482</v>
      </c>
      <c r="B7712" t="s">
        <v>637</v>
      </c>
    </row>
    <row r="7713" spans="1:2">
      <c r="A7713" s="1" t="s">
        <v>8483</v>
      </c>
      <c r="B7713" t="s">
        <v>637</v>
      </c>
    </row>
    <row r="7714" spans="1:2">
      <c r="A7714" s="1" t="s">
        <v>8484</v>
      </c>
      <c r="B7714" t="s">
        <v>637</v>
      </c>
    </row>
    <row r="7715" spans="1:2">
      <c r="A7715" s="1" t="s">
        <v>8485</v>
      </c>
      <c r="B7715" t="s">
        <v>637</v>
      </c>
    </row>
    <row r="7716" spans="1:2">
      <c r="A7716" s="1" t="s">
        <v>8486</v>
      </c>
      <c r="B7716" t="s">
        <v>637</v>
      </c>
    </row>
    <row r="7717" spans="1:2">
      <c r="A7717" s="1" t="s">
        <v>8487</v>
      </c>
      <c r="B7717" t="s">
        <v>637</v>
      </c>
    </row>
    <row r="7718" spans="1:2">
      <c r="A7718" s="1" t="s">
        <v>8488</v>
      </c>
      <c r="B7718" t="s">
        <v>637</v>
      </c>
    </row>
    <row r="7719" spans="1:2">
      <c r="A7719" s="1" t="s">
        <v>8489</v>
      </c>
      <c r="B7719" t="s">
        <v>637</v>
      </c>
    </row>
    <row r="7720" spans="1:2">
      <c r="A7720" s="1" t="s">
        <v>8490</v>
      </c>
      <c r="B7720" t="s">
        <v>637</v>
      </c>
    </row>
    <row r="7721" spans="1:2">
      <c r="A7721" s="1" t="s">
        <v>8491</v>
      </c>
      <c r="B7721" t="s">
        <v>637</v>
      </c>
    </row>
    <row r="7722" spans="1:2">
      <c r="A7722" s="1" t="s">
        <v>8492</v>
      </c>
      <c r="B7722" t="s">
        <v>637</v>
      </c>
    </row>
    <row r="7723" spans="1:2">
      <c r="A7723" s="1" t="s">
        <v>8493</v>
      </c>
      <c r="B7723" t="s">
        <v>637</v>
      </c>
    </row>
    <row r="7724" spans="1:2">
      <c r="A7724" s="1" t="s">
        <v>8494</v>
      </c>
      <c r="B7724" t="s">
        <v>637</v>
      </c>
    </row>
    <row r="7725" spans="1:2">
      <c r="A7725" s="1" t="s">
        <v>8495</v>
      </c>
      <c r="B7725" t="s">
        <v>637</v>
      </c>
    </row>
    <row r="7726" spans="1:2">
      <c r="A7726" s="1" t="s">
        <v>8496</v>
      </c>
      <c r="B7726" t="s">
        <v>637</v>
      </c>
    </row>
    <row r="7727" spans="1:2">
      <c r="A7727" s="1" t="s">
        <v>8497</v>
      </c>
      <c r="B7727" t="s">
        <v>637</v>
      </c>
    </row>
    <row r="7728" spans="1:2">
      <c r="A7728" s="1" t="s">
        <v>8498</v>
      </c>
      <c r="B7728" t="s">
        <v>637</v>
      </c>
    </row>
    <row r="7729" spans="1:2">
      <c r="A7729" s="1" t="s">
        <v>8499</v>
      </c>
      <c r="B7729" t="s">
        <v>637</v>
      </c>
    </row>
    <row r="7730" spans="1:2">
      <c r="A7730" s="1" t="s">
        <v>8500</v>
      </c>
      <c r="B7730" t="s">
        <v>637</v>
      </c>
    </row>
    <row r="7731" spans="1:2">
      <c r="A7731" s="1" t="s">
        <v>8501</v>
      </c>
      <c r="B7731" t="s">
        <v>637</v>
      </c>
    </row>
    <row r="7732" spans="1:2">
      <c r="A7732" s="1" t="s">
        <v>8502</v>
      </c>
      <c r="B7732" t="s">
        <v>637</v>
      </c>
    </row>
    <row r="7733" spans="1:2">
      <c r="A7733" s="1" t="s">
        <v>8503</v>
      </c>
      <c r="B7733" t="s">
        <v>637</v>
      </c>
    </row>
    <row r="7734" spans="1:2">
      <c r="A7734" s="1" t="s">
        <v>8504</v>
      </c>
      <c r="B7734" t="s">
        <v>637</v>
      </c>
    </row>
    <row r="7735" spans="1:2">
      <c r="A7735" s="1" t="s">
        <v>8505</v>
      </c>
      <c r="B7735" t="s">
        <v>637</v>
      </c>
    </row>
    <row r="7736" spans="1:2">
      <c r="A7736" s="1" t="s">
        <v>8506</v>
      </c>
      <c r="B7736" t="s">
        <v>637</v>
      </c>
    </row>
    <row r="7737" spans="1:2">
      <c r="A7737" s="1" t="s">
        <v>8507</v>
      </c>
      <c r="B7737" t="s">
        <v>637</v>
      </c>
    </row>
    <row r="7738" spans="1:2">
      <c r="A7738" s="1" t="s">
        <v>8508</v>
      </c>
      <c r="B7738" t="s">
        <v>637</v>
      </c>
    </row>
    <row r="7739" spans="1:2">
      <c r="A7739" s="1" t="s">
        <v>8509</v>
      </c>
      <c r="B7739" t="s">
        <v>637</v>
      </c>
    </row>
    <row r="7740" spans="1:2">
      <c r="A7740" s="1" t="s">
        <v>8510</v>
      </c>
      <c r="B7740" t="s">
        <v>637</v>
      </c>
    </row>
    <row r="7741" spans="1:2">
      <c r="A7741" s="1" t="s">
        <v>8511</v>
      </c>
      <c r="B7741" t="s">
        <v>637</v>
      </c>
    </row>
    <row r="7742" spans="1:2">
      <c r="A7742" s="1" t="s">
        <v>8512</v>
      </c>
      <c r="B7742" t="s">
        <v>637</v>
      </c>
    </row>
    <row r="7743" spans="1:2">
      <c r="A7743" s="1" t="s">
        <v>8513</v>
      </c>
      <c r="B7743" t="s">
        <v>637</v>
      </c>
    </row>
    <row r="7744" spans="1:2">
      <c r="A7744" s="1" t="s">
        <v>8514</v>
      </c>
      <c r="B7744" t="s">
        <v>637</v>
      </c>
    </row>
    <row r="7745" spans="1:2">
      <c r="A7745" s="1" t="s">
        <v>8515</v>
      </c>
      <c r="B7745" t="s">
        <v>637</v>
      </c>
    </row>
    <row r="7746" spans="1:2">
      <c r="A7746" s="1" t="s">
        <v>8516</v>
      </c>
      <c r="B7746" t="s">
        <v>637</v>
      </c>
    </row>
    <row r="7747" spans="1:2">
      <c r="A7747" s="1" t="s">
        <v>8517</v>
      </c>
      <c r="B7747" t="s">
        <v>637</v>
      </c>
    </row>
    <row r="7748" spans="1:2">
      <c r="A7748" s="1" t="s">
        <v>8518</v>
      </c>
      <c r="B7748" t="s">
        <v>637</v>
      </c>
    </row>
    <row r="7749" spans="1:2">
      <c r="A7749" s="1" t="s">
        <v>8519</v>
      </c>
      <c r="B7749" t="s">
        <v>637</v>
      </c>
    </row>
    <row r="7750" spans="1:2">
      <c r="A7750" s="1" t="s">
        <v>8520</v>
      </c>
      <c r="B7750" t="s">
        <v>637</v>
      </c>
    </row>
    <row r="7751" spans="1:2">
      <c r="A7751" s="1" t="s">
        <v>8521</v>
      </c>
      <c r="B7751" t="s">
        <v>637</v>
      </c>
    </row>
    <row r="7752" spans="1:2">
      <c r="A7752" s="1" t="s">
        <v>8522</v>
      </c>
      <c r="B7752" t="s">
        <v>637</v>
      </c>
    </row>
    <row r="7753" spans="1:2">
      <c r="A7753" s="1" t="s">
        <v>8523</v>
      </c>
      <c r="B7753" t="s">
        <v>637</v>
      </c>
    </row>
    <row r="7754" spans="1:2">
      <c r="A7754" s="1" t="s">
        <v>8524</v>
      </c>
      <c r="B7754" t="s">
        <v>637</v>
      </c>
    </row>
    <row r="7755" spans="1:2">
      <c r="A7755" s="1" t="s">
        <v>8525</v>
      </c>
      <c r="B7755" t="s">
        <v>637</v>
      </c>
    </row>
    <row r="7756" spans="1:2">
      <c r="A7756" s="1" t="s">
        <v>8526</v>
      </c>
      <c r="B7756" t="s">
        <v>637</v>
      </c>
    </row>
    <row r="7757" spans="1:2">
      <c r="A7757" s="1" t="s">
        <v>605</v>
      </c>
      <c r="B7757" t="s">
        <v>637</v>
      </c>
    </row>
    <row r="7758" spans="1:2">
      <c r="A7758" s="1" t="s">
        <v>8527</v>
      </c>
      <c r="B7758" t="s">
        <v>637</v>
      </c>
    </row>
    <row r="7759" spans="1:2">
      <c r="A7759" s="1" t="s">
        <v>8528</v>
      </c>
      <c r="B7759" t="s">
        <v>637</v>
      </c>
    </row>
    <row r="7760" spans="1:2">
      <c r="A7760" s="1" t="s">
        <v>8529</v>
      </c>
      <c r="B7760" t="s">
        <v>637</v>
      </c>
    </row>
    <row r="7761" spans="1:2">
      <c r="A7761" s="1" t="s">
        <v>8530</v>
      </c>
      <c r="B7761" t="s">
        <v>637</v>
      </c>
    </row>
    <row r="7762" spans="1:2">
      <c r="A7762" s="1" t="s">
        <v>8531</v>
      </c>
      <c r="B7762" t="s">
        <v>637</v>
      </c>
    </row>
    <row r="7763" spans="1:2">
      <c r="A7763" s="1" t="s">
        <v>8532</v>
      </c>
      <c r="B7763" t="s">
        <v>637</v>
      </c>
    </row>
    <row r="7764" spans="1:2">
      <c r="A7764" s="1" t="s">
        <v>8533</v>
      </c>
      <c r="B7764" t="s">
        <v>637</v>
      </c>
    </row>
    <row r="7765" spans="1:2">
      <c r="A7765" s="1" t="s">
        <v>8534</v>
      </c>
      <c r="B7765" t="s">
        <v>637</v>
      </c>
    </row>
    <row r="7766" spans="1:2">
      <c r="A7766" s="1" t="s">
        <v>8535</v>
      </c>
      <c r="B7766" t="s">
        <v>637</v>
      </c>
    </row>
    <row r="7767" spans="1:2">
      <c r="A7767" s="1" t="s">
        <v>8536</v>
      </c>
      <c r="B7767" t="s">
        <v>637</v>
      </c>
    </row>
    <row r="7768" spans="1:2">
      <c r="A7768" s="1" t="s">
        <v>8537</v>
      </c>
      <c r="B7768" t="s">
        <v>637</v>
      </c>
    </row>
    <row r="7769" spans="1:2">
      <c r="A7769" s="1" t="s">
        <v>8538</v>
      </c>
      <c r="B7769" t="s">
        <v>637</v>
      </c>
    </row>
    <row r="7770" spans="1:2">
      <c r="A7770" s="1" t="s">
        <v>8539</v>
      </c>
      <c r="B7770" t="s">
        <v>637</v>
      </c>
    </row>
    <row r="7771" spans="1:2">
      <c r="A7771" s="1" t="s">
        <v>8540</v>
      </c>
      <c r="B7771" t="s">
        <v>637</v>
      </c>
    </row>
    <row r="7772" spans="1:2">
      <c r="A7772" s="1" t="s">
        <v>8541</v>
      </c>
      <c r="B7772" t="s">
        <v>637</v>
      </c>
    </row>
    <row r="7773" spans="1:2">
      <c r="A7773" s="1" t="s">
        <v>8542</v>
      </c>
      <c r="B7773" t="s">
        <v>637</v>
      </c>
    </row>
    <row r="7774" spans="1:2">
      <c r="A7774" s="1" t="s">
        <v>8543</v>
      </c>
      <c r="B7774" t="s">
        <v>637</v>
      </c>
    </row>
    <row r="7775" spans="1:2">
      <c r="A7775" s="1" t="s">
        <v>8544</v>
      </c>
      <c r="B7775" t="s">
        <v>637</v>
      </c>
    </row>
    <row r="7776" spans="1:2">
      <c r="A7776" s="1" t="s">
        <v>8545</v>
      </c>
      <c r="B7776" t="s">
        <v>637</v>
      </c>
    </row>
    <row r="7777" spans="1:2">
      <c r="A7777" s="1" t="s">
        <v>8546</v>
      </c>
      <c r="B7777" t="s">
        <v>637</v>
      </c>
    </row>
    <row r="7778" spans="1:2">
      <c r="A7778" s="1" t="s">
        <v>8547</v>
      </c>
      <c r="B7778" t="s">
        <v>637</v>
      </c>
    </row>
    <row r="7779" spans="1:2">
      <c r="A7779" s="1" t="s">
        <v>8548</v>
      </c>
      <c r="B7779" t="s">
        <v>637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637</v>
      </c>
    </row>
    <row r="7782" spans="1:2">
      <c r="A7782" s="1" t="s">
        <v>8551</v>
      </c>
      <c r="B7782" t="s">
        <v>637</v>
      </c>
    </row>
    <row r="7783" spans="1:2">
      <c r="A7783" s="1" t="s">
        <v>8552</v>
      </c>
      <c r="B7783" t="s">
        <v>637</v>
      </c>
    </row>
    <row r="7784" spans="1:2">
      <c r="A7784" s="1" t="s">
        <v>8553</v>
      </c>
      <c r="B7784" t="s">
        <v>637</v>
      </c>
    </row>
    <row r="7785" spans="1:2">
      <c r="A7785" s="1" t="s">
        <v>8554</v>
      </c>
      <c r="B7785" t="s">
        <v>637</v>
      </c>
    </row>
    <row r="7786" spans="1:2">
      <c r="A7786" s="1" t="s">
        <v>8555</v>
      </c>
      <c r="B7786" t="s">
        <v>637</v>
      </c>
    </row>
    <row r="7787" spans="1:2">
      <c r="A7787" s="1" t="s">
        <v>8556</v>
      </c>
      <c r="B7787" t="s">
        <v>637</v>
      </c>
    </row>
    <row r="7788" spans="1:2">
      <c r="A7788" s="1" t="s">
        <v>8557</v>
      </c>
      <c r="B7788" t="s">
        <v>637</v>
      </c>
    </row>
    <row r="7789" spans="1:2">
      <c r="A7789" s="1" t="s">
        <v>8558</v>
      </c>
      <c r="B7789" t="s">
        <v>637</v>
      </c>
    </row>
    <row r="7790" spans="1:2">
      <c r="A7790" s="1" t="s">
        <v>8559</v>
      </c>
      <c r="B7790" t="s">
        <v>637</v>
      </c>
    </row>
    <row r="7791" spans="1:2">
      <c r="A7791" s="1" t="s">
        <v>8560</v>
      </c>
      <c r="B7791" t="s">
        <v>637</v>
      </c>
    </row>
    <row r="7792" spans="1:2">
      <c r="A7792" s="1" t="s">
        <v>8561</v>
      </c>
      <c r="B7792" t="s">
        <v>637</v>
      </c>
    </row>
    <row r="7793" spans="1:2">
      <c r="A7793" s="1" t="s">
        <v>8562</v>
      </c>
      <c r="B7793" t="s">
        <v>637</v>
      </c>
    </row>
    <row r="7794" spans="1:2">
      <c r="A7794" s="1" t="s">
        <v>8563</v>
      </c>
      <c r="B7794" t="s">
        <v>637</v>
      </c>
    </row>
    <row r="7795" spans="1:2">
      <c r="A7795" s="1" t="s">
        <v>8564</v>
      </c>
      <c r="B7795" t="s">
        <v>637</v>
      </c>
    </row>
    <row r="7796" spans="1:2">
      <c r="A7796" s="1" t="s">
        <v>8565</v>
      </c>
      <c r="B7796" t="s">
        <v>637</v>
      </c>
    </row>
    <row r="7797" spans="1:2">
      <c r="A7797" s="1" t="s">
        <v>8566</v>
      </c>
      <c r="B7797" t="s">
        <v>637</v>
      </c>
    </row>
    <row r="7798" spans="1:2">
      <c r="A7798" s="1" t="s">
        <v>8567</v>
      </c>
      <c r="B7798" t="s">
        <v>637</v>
      </c>
    </row>
    <row r="7799" spans="1:2">
      <c r="A7799" s="1" t="s">
        <v>8568</v>
      </c>
      <c r="B7799" t="s">
        <v>637</v>
      </c>
    </row>
    <row r="7800" spans="1:2">
      <c r="A7800" s="1" t="s">
        <v>8569</v>
      </c>
      <c r="B7800" t="s">
        <v>637</v>
      </c>
    </row>
    <row r="7801" spans="1:2">
      <c r="A7801" s="1" t="s">
        <v>8570</v>
      </c>
      <c r="B7801" t="s">
        <v>637</v>
      </c>
    </row>
    <row r="7802" spans="1:2">
      <c r="A7802" s="1" t="s">
        <v>8571</v>
      </c>
      <c r="B7802" t="s">
        <v>637</v>
      </c>
    </row>
    <row r="7803" spans="1:2">
      <c r="A7803" s="1" t="s">
        <v>8572</v>
      </c>
      <c r="B7803" t="s">
        <v>637</v>
      </c>
    </row>
    <row r="7804" spans="1:2">
      <c r="A7804" s="1" t="s">
        <v>8573</v>
      </c>
      <c r="B7804" t="s">
        <v>637</v>
      </c>
    </row>
    <row r="7805" spans="1:2">
      <c r="A7805" s="1" t="s">
        <v>8574</v>
      </c>
      <c r="B7805" t="s">
        <v>637</v>
      </c>
    </row>
    <row r="7806" spans="1:2">
      <c r="A7806" s="1" t="s">
        <v>8575</v>
      </c>
      <c r="B7806" t="s">
        <v>637</v>
      </c>
    </row>
    <row r="7807" spans="1:2">
      <c r="A7807" s="1" t="s">
        <v>8576</v>
      </c>
      <c r="B7807" t="s">
        <v>637</v>
      </c>
    </row>
    <row r="7808" spans="1:2">
      <c r="A7808" s="1" t="s">
        <v>8577</v>
      </c>
      <c r="B7808" t="s">
        <v>637</v>
      </c>
    </row>
    <row r="7809" spans="1:2">
      <c r="A7809" s="1" t="s">
        <v>8578</v>
      </c>
      <c r="B7809" t="s">
        <v>637</v>
      </c>
    </row>
    <row r="7810" spans="1:2">
      <c r="A7810" s="1" t="s">
        <v>8579</v>
      </c>
      <c r="B7810" t="s">
        <v>637</v>
      </c>
    </row>
    <row r="7811" spans="1:2">
      <c r="A7811" s="1" t="s">
        <v>8580</v>
      </c>
      <c r="B7811" t="s">
        <v>637</v>
      </c>
    </row>
    <row r="7812" spans="1:2">
      <c r="A7812" s="1" t="s">
        <v>8581</v>
      </c>
      <c r="B7812" t="s">
        <v>637</v>
      </c>
    </row>
    <row r="7813" spans="1:2">
      <c r="A7813" s="1" t="s">
        <v>8582</v>
      </c>
      <c r="B7813" t="s">
        <v>637</v>
      </c>
    </row>
    <row r="7814" spans="1:2">
      <c r="A7814" s="1" t="s">
        <v>8583</v>
      </c>
      <c r="B7814" t="s">
        <v>637</v>
      </c>
    </row>
    <row r="7815" spans="1:2">
      <c r="A7815" s="1" t="s">
        <v>8584</v>
      </c>
      <c r="B7815" t="s">
        <v>637</v>
      </c>
    </row>
    <row r="7816" spans="1:2">
      <c r="A7816" s="1" t="s">
        <v>8585</v>
      </c>
      <c r="B7816" t="s">
        <v>637</v>
      </c>
    </row>
    <row r="7817" spans="1:2">
      <c r="A7817" s="1" t="s">
        <v>8586</v>
      </c>
      <c r="B7817" t="s">
        <v>637</v>
      </c>
    </row>
    <row r="7818" spans="1:2">
      <c r="A7818" s="1" t="s">
        <v>8587</v>
      </c>
      <c r="B7818" t="s">
        <v>637</v>
      </c>
    </row>
    <row r="7819" spans="1:2">
      <c r="A7819" s="1" t="s">
        <v>8588</v>
      </c>
      <c r="B7819" t="s">
        <v>637</v>
      </c>
    </row>
    <row r="7820" spans="1:2">
      <c r="A7820" s="1" t="s">
        <v>8589</v>
      </c>
      <c r="B7820" t="s">
        <v>637</v>
      </c>
    </row>
    <row r="7821" spans="1:2">
      <c r="A7821" s="1" t="s">
        <v>8590</v>
      </c>
      <c r="B7821" t="s">
        <v>637</v>
      </c>
    </row>
    <row r="7822" spans="1:2">
      <c r="A7822" s="1" t="s">
        <v>8591</v>
      </c>
      <c r="B7822" t="s">
        <v>637</v>
      </c>
    </row>
    <row r="7823" spans="1:2">
      <c r="A7823" s="1" t="s">
        <v>8592</v>
      </c>
      <c r="B7823" t="s">
        <v>637</v>
      </c>
    </row>
    <row r="7824" spans="1:2">
      <c r="A7824" s="1" t="s">
        <v>8593</v>
      </c>
      <c r="B7824" t="s">
        <v>637</v>
      </c>
    </row>
    <row r="7825" spans="1:2">
      <c r="A7825" s="1" t="s">
        <v>8594</v>
      </c>
      <c r="B7825" t="s">
        <v>637</v>
      </c>
    </row>
    <row r="7826" spans="1:2">
      <c r="A7826" s="1" t="s">
        <v>8595</v>
      </c>
      <c r="B7826" t="s">
        <v>637</v>
      </c>
    </row>
    <row r="7827" spans="1:2">
      <c r="A7827" s="1" t="s">
        <v>8596</v>
      </c>
      <c r="B7827" t="s">
        <v>637</v>
      </c>
    </row>
    <row r="7828" spans="1:2">
      <c r="A7828" s="1" t="s">
        <v>8597</v>
      </c>
      <c r="B7828" t="s">
        <v>637</v>
      </c>
    </row>
    <row r="7829" spans="1:2">
      <c r="A7829" s="1" t="s">
        <v>8598</v>
      </c>
      <c r="B7829" t="s">
        <v>637</v>
      </c>
    </row>
    <row r="7830" spans="1:2">
      <c r="A7830" s="1" t="s">
        <v>8599</v>
      </c>
      <c r="B7830" t="s">
        <v>637</v>
      </c>
    </row>
    <row r="7831" spans="1:2">
      <c r="A7831" s="1" t="s">
        <v>8600</v>
      </c>
      <c r="B7831" t="s">
        <v>637</v>
      </c>
    </row>
    <row r="7832" spans="1:2">
      <c r="A7832" s="1" t="s">
        <v>8601</v>
      </c>
      <c r="B7832" t="s">
        <v>637</v>
      </c>
    </row>
    <row r="7833" spans="1:2">
      <c r="A7833" s="1" t="s">
        <v>8602</v>
      </c>
      <c r="B7833" t="s">
        <v>637</v>
      </c>
    </row>
    <row r="7834" spans="1:2">
      <c r="A7834" s="1" t="s">
        <v>8603</v>
      </c>
      <c r="B7834" t="s">
        <v>637</v>
      </c>
    </row>
    <row r="7835" spans="1:2">
      <c r="A7835" s="1" t="s">
        <v>8604</v>
      </c>
      <c r="B7835" t="s">
        <v>637</v>
      </c>
    </row>
    <row r="7836" spans="1:2">
      <c r="A7836" s="1" t="s">
        <v>8605</v>
      </c>
      <c r="B7836" t="s">
        <v>637</v>
      </c>
    </row>
    <row r="7837" spans="1:2">
      <c r="A7837" s="1" t="s">
        <v>8606</v>
      </c>
      <c r="B7837" t="s">
        <v>637</v>
      </c>
    </row>
    <row r="7838" spans="1:2">
      <c r="A7838" s="1" t="s">
        <v>8607</v>
      </c>
      <c r="B7838" t="s">
        <v>637</v>
      </c>
    </row>
    <row r="7839" spans="1:2">
      <c r="A7839" s="1" t="s">
        <v>8608</v>
      </c>
      <c r="B7839" t="s">
        <v>637</v>
      </c>
    </row>
    <row r="7840" spans="1:2">
      <c r="A7840" s="1" t="s">
        <v>8609</v>
      </c>
      <c r="B7840" t="s">
        <v>637</v>
      </c>
    </row>
    <row r="7841" spans="1:2">
      <c r="A7841" s="1" t="s">
        <v>8610</v>
      </c>
      <c r="B7841" t="s">
        <v>637</v>
      </c>
    </row>
    <row r="7842" spans="1:2">
      <c r="A7842" s="1" t="s">
        <v>8611</v>
      </c>
      <c r="B7842" t="s">
        <v>637</v>
      </c>
    </row>
    <row r="7843" spans="1:2">
      <c r="A7843" s="1" t="s">
        <v>8612</v>
      </c>
      <c r="B7843" t="s">
        <v>637</v>
      </c>
    </row>
    <row r="7844" spans="1:2">
      <c r="A7844" s="1" t="s">
        <v>8613</v>
      </c>
      <c r="B7844" t="s">
        <v>637</v>
      </c>
    </row>
    <row r="7845" spans="1:2">
      <c r="A7845" s="1" t="s">
        <v>8614</v>
      </c>
      <c r="B7845" t="s">
        <v>637</v>
      </c>
    </row>
    <row r="7846" spans="1:2">
      <c r="A7846" s="1" t="s">
        <v>8615</v>
      </c>
      <c r="B7846" t="s">
        <v>637</v>
      </c>
    </row>
    <row r="7847" spans="1:2">
      <c r="A7847" s="1" t="s">
        <v>8616</v>
      </c>
      <c r="B7847" t="s">
        <v>637</v>
      </c>
    </row>
    <row r="7848" spans="1:2">
      <c r="A7848" s="1" t="s">
        <v>8617</v>
      </c>
      <c r="B7848" t="s">
        <v>637</v>
      </c>
    </row>
    <row r="7849" spans="1:2">
      <c r="A7849" s="1" t="s">
        <v>8618</v>
      </c>
      <c r="B7849" t="s">
        <v>637</v>
      </c>
    </row>
    <row r="7850" spans="1:2">
      <c r="A7850" s="1" t="s">
        <v>8619</v>
      </c>
      <c r="B7850" t="s">
        <v>637</v>
      </c>
    </row>
    <row r="7851" spans="1:2">
      <c r="A7851" s="1" t="s">
        <v>8620</v>
      </c>
      <c r="B7851" t="s">
        <v>637</v>
      </c>
    </row>
    <row r="7852" spans="1:2">
      <c r="A7852" s="1" t="s">
        <v>8621</v>
      </c>
      <c r="B7852" t="s">
        <v>637</v>
      </c>
    </row>
    <row r="7853" spans="1:2">
      <c r="A7853" s="1" t="s">
        <v>8622</v>
      </c>
      <c r="B7853" t="s">
        <v>637</v>
      </c>
    </row>
    <row r="7854" spans="1:2">
      <c r="A7854" s="1" t="s">
        <v>8623</v>
      </c>
      <c r="B7854" t="s">
        <v>637</v>
      </c>
    </row>
    <row r="7855" spans="1:2">
      <c r="A7855" s="1" t="s">
        <v>8624</v>
      </c>
      <c r="B7855" t="s">
        <v>637</v>
      </c>
    </row>
    <row r="7856" spans="1:2">
      <c r="A7856" s="1" t="s">
        <v>8625</v>
      </c>
      <c r="B7856" t="s">
        <v>637</v>
      </c>
    </row>
    <row r="7857" spans="1:2">
      <c r="A7857" s="1" t="s">
        <v>8626</v>
      </c>
      <c r="B7857" t="s">
        <v>637</v>
      </c>
    </row>
    <row r="7858" spans="1:2">
      <c r="A7858" s="1" t="s">
        <v>8627</v>
      </c>
      <c r="B7858" t="s">
        <v>637</v>
      </c>
    </row>
    <row r="7859" spans="1:2">
      <c r="A7859" s="1" t="s">
        <v>8628</v>
      </c>
      <c r="B7859" t="s">
        <v>637</v>
      </c>
    </row>
    <row r="7860" spans="1:2">
      <c r="A7860" s="1" t="s">
        <v>8629</v>
      </c>
      <c r="B7860" t="s">
        <v>637</v>
      </c>
    </row>
    <row r="7861" spans="1:2">
      <c r="A7861" s="1" t="s">
        <v>8630</v>
      </c>
      <c r="B7861" t="s">
        <v>637</v>
      </c>
    </row>
    <row r="7862" spans="1:2">
      <c r="A7862" s="1" t="s">
        <v>8631</v>
      </c>
      <c r="B7862" t="s">
        <v>637</v>
      </c>
    </row>
    <row r="7863" spans="1:2">
      <c r="A7863" s="1" t="s">
        <v>8632</v>
      </c>
      <c r="B7863" t="s">
        <v>637</v>
      </c>
    </row>
    <row r="7864" spans="1:2">
      <c r="A7864" s="1" t="s">
        <v>8633</v>
      </c>
      <c r="B7864" t="s">
        <v>637</v>
      </c>
    </row>
    <row r="7865" spans="1:2">
      <c r="A7865" s="1" t="s">
        <v>8634</v>
      </c>
      <c r="B7865" t="s">
        <v>637</v>
      </c>
    </row>
    <row r="7866" spans="1:2">
      <c r="A7866" s="1" t="s">
        <v>8635</v>
      </c>
      <c r="B7866" t="s">
        <v>637</v>
      </c>
    </row>
    <row r="7867" spans="1:2">
      <c r="A7867" s="1" t="s">
        <v>8636</v>
      </c>
      <c r="B7867" t="s">
        <v>637</v>
      </c>
    </row>
    <row r="7868" spans="1:2">
      <c r="A7868" s="1" t="s">
        <v>8637</v>
      </c>
      <c r="B7868" t="s">
        <v>637</v>
      </c>
    </row>
    <row r="7869" spans="1:2">
      <c r="A7869" s="1" t="s">
        <v>8638</v>
      </c>
      <c r="B7869" t="s">
        <v>637</v>
      </c>
    </row>
    <row r="7870" spans="1:2">
      <c r="A7870" s="1" t="s">
        <v>8639</v>
      </c>
      <c r="B7870" t="s">
        <v>637</v>
      </c>
    </row>
    <row r="7871" spans="1:2">
      <c r="A7871" s="1" t="s">
        <v>8640</v>
      </c>
      <c r="B7871" t="s">
        <v>637</v>
      </c>
    </row>
    <row r="7872" spans="1:2">
      <c r="A7872" s="1" t="s">
        <v>8641</v>
      </c>
      <c r="B7872" t="s">
        <v>637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637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637</v>
      </c>
    </row>
    <row r="7877" spans="1:2">
      <c r="A7877" s="1" t="s">
        <v>8646</v>
      </c>
      <c r="B7877" t="s">
        <v>637</v>
      </c>
    </row>
    <row r="7878" spans="1:2">
      <c r="A7878" s="1" t="s">
        <v>8647</v>
      </c>
      <c r="B7878" t="s">
        <v>637</v>
      </c>
    </row>
    <row r="7879" spans="1:2">
      <c r="A7879" s="1" t="s">
        <v>8648</v>
      </c>
      <c r="B7879" t="s">
        <v>637</v>
      </c>
    </row>
    <row r="7880" spans="1:2">
      <c r="A7880" s="1" t="s">
        <v>8649</v>
      </c>
      <c r="B7880" t="s">
        <v>637</v>
      </c>
    </row>
    <row r="7881" spans="1:2">
      <c r="A7881" s="1" t="s">
        <v>8650</v>
      </c>
      <c r="B7881" t="s">
        <v>637</v>
      </c>
    </row>
    <row r="7882" spans="1:2">
      <c r="A7882" s="1" t="s">
        <v>8651</v>
      </c>
      <c r="B7882" t="s">
        <v>637</v>
      </c>
    </row>
    <row r="7883" spans="1:2">
      <c r="A7883" s="1" t="s">
        <v>8652</v>
      </c>
      <c r="B7883" t="s">
        <v>637</v>
      </c>
    </row>
    <row r="7884" spans="1:2">
      <c r="A7884" s="1" t="s">
        <v>8653</v>
      </c>
      <c r="B7884" t="s">
        <v>637</v>
      </c>
    </row>
    <row r="7885" spans="1:2">
      <c r="A7885" s="1" t="s">
        <v>8654</v>
      </c>
      <c r="B7885" t="s">
        <v>637</v>
      </c>
    </row>
    <row r="7886" spans="1:2">
      <c r="A7886" s="1" t="s">
        <v>8655</v>
      </c>
      <c r="B7886" t="s">
        <v>637</v>
      </c>
    </row>
    <row r="7887" spans="1:2">
      <c r="A7887" s="1" t="s">
        <v>8656</v>
      </c>
      <c r="B7887" t="s">
        <v>637</v>
      </c>
    </row>
    <row r="7888" spans="1:2">
      <c r="A7888" s="1" t="s">
        <v>8657</v>
      </c>
      <c r="B7888" t="s">
        <v>637</v>
      </c>
    </row>
    <row r="7889" spans="1:2">
      <c r="A7889" s="1" t="s">
        <v>8658</v>
      </c>
      <c r="B7889" t="s">
        <v>637</v>
      </c>
    </row>
    <row r="7890" spans="1:2">
      <c r="A7890" s="1" t="s">
        <v>8659</v>
      </c>
      <c r="B7890" t="s">
        <v>637</v>
      </c>
    </row>
    <row r="7891" spans="1:2">
      <c r="A7891" s="1" t="s">
        <v>8660</v>
      </c>
      <c r="B7891" t="s">
        <v>637</v>
      </c>
    </row>
    <row r="7892" spans="1:2">
      <c r="A7892" s="1" t="s">
        <v>8661</v>
      </c>
      <c r="B7892" t="s">
        <v>637</v>
      </c>
    </row>
    <row r="7893" spans="1:2">
      <c r="A7893" s="1" t="s">
        <v>8662</v>
      </c>
      <c r="B7893" t="s">
        <v>637</v>
      </c>
    </row>
    <row r="7894" spans="1:2">
      <c r="A7894" s="1" t="s">
        <v>8663</v>
      </c>
      <c r="B7894" t="s">
        <v>637</v>
      </c>
    </row>
    <row r="7895" spans="1:2">
      <c r="A7895" s="1" t="s">
        <v>8664</v>
      </c>
      <c r="B7895" t="s">
        <v>637</v>
      </c>
    </row>
    <row r="7896" spans="1:2">
      <c r="A7896" s="1" t="s">
        <v>8665</v>
      </c>
      <c r="B7896" t="s">
        <v>637</v>
      </c>
    </row>
    <row r="7897" spans="1:2">
      <c r="A7897" s="1" t="s">
        <v>8666</v>
      </c>
      <c r="B7897" t="s">
        <v>637</v>
      </c>
    </row>
    <row r="7898" spans="1:2">
      <c r="A7898" s="1" t="s">
        <v>8667</v>
      </c>
      <c r="B7898" t="s">
        <v>637</v>
      </c>
    </row>
    <row r="7899" spans="1:2">
      <c r="A7899" s="1" t="s">
        <v>8668</v>
      </c>
      <c r="B7899" t="s">
        <v>637</v>
      </c>
    </row>
    <row r="7900" spans="1:2">
      <c r="A7900" s="1" t="s">
        <v>8669</v>
      </c>
      <c r="B7900" t="s">
        <v>637</v>
      </c>
    </row>
    <row r="7901" spans="1:2">
      <c r="A7901" s="1" t="s">
        <v>8670</v>
      </c>
      <c r="B7901" t="s">
        <v>637</v>
      </c>
    </row>
    <row r="7902" spans="1:2">
      <c r="A7902" s="1" t="s">
        <v>8671</v>
      </c>
      <c r="B7902" t="s">
        <v>637</v>
      </c>
    </row>
    <row r="7903" spans="1:2">
      <c r="A7903" s="1" t="s">
        <v>8672</v>
      </c>
      <c r="B7903" t="s">
        <v>637</v>
      </c>
    </row>
    <row r="7904" spans="1:2">
      <c r="A7904" s="1" t="s">
        <v>8673</v>
      </c>
      <c r="B7904" t="s">
        <v>637</v>
      </c>
    </row>
    <row r="7905" spans="1:2">
      <c r="A7905" s="1" t="s">
        <v>8674</v>
      </c>
      <c r="B7905" t="s">
        <v>637</v>
      </c>
    </row>
    <row r="7906" spans="1:2">
      <c r="A7906" s="1" t="s">
        <v>8675</v>
      </c>
      <c r="B7906" t="s">
        <v>637</v>
      </c>
    </row>
    <row r="7907" spans="1:2">
      <c r="A7907" s="1" t="s">
        <v>8676</v>
      </c>
      <c r="B7907" t="s">
        <v>637</v>
      </c>
    </row>
    <row r="7908" spans="1:2">
      <c r="A7908" s="1" t="s">
        <v>8677</v>
      </c>
      <c r="B7908" t="s">
        <v>637</v>
      </c>
    </row>
    <row r="7909" spans="1:2">
      <c r="A7909" s="1" t="s">
        <v>8678</v>
      </c>
      <c r="B7909" t="s">
        <v>637</v>
      </c>
    </row>
    <row r="7910" spans="1:2">
      <c r="A7910" s="1" t="s">
        <v>8679</v>
      </c>
      <c r="B7910" t="s">
        <v>637</v>
      </c>
    </row>
    <row r="7911" spans="1:2">
      <c r="A7911" s="1" t="s">
        <v>8680</v>
      </c>
      <c r="B7911" t="s">
        <v>637</v>
      </c>
    </row>
    <row r="7912" spans="1:2">
      <c r="A7912" s="1" t="s">
        <v>8681</v>
      </c>
      <c r="B7912" t="s">
        <v>637</v>
      </c>
    </row>
    <row r="7913" spans="1:2">
      <c r="A7913" s="1" t="s">
        <v>8682</v>
      </c>
      <c r="B7913" t="s">
        <v>637</v>
      </c>
    </row>
    <row r="7914" spans="1:2">
      <c r="A7914" s="1" t="s">
        <v>8683</v>
      </c>
      <c r="B7914" t="s">
        <v>637</v>
      </c>
    </row>
    <row r="7915" spans="1:2">
      <c r="A7915" s="1" t="s">
        <v>8684</v>
      </c>
      <c r="B7915" t="s">
        <v>637</v>
      </c>
    </row>
    <row r="7916" spans="1:2">
      <c r="A7916" s="1" t="s">
        <v>8685</v>
      </c>
      <c r="B7916" t="s">
        <v>637</v>
      </c>
    </row>
    <row r="7917" spans="1:2">
      <c r="A7917" s="1" t="s">
        <v>8686</v>
      </c>
      <c r="B7917" t="s">
        <v>637</v>
      </c>
    </row>
    <row r="7918" spans="1:2">
      <c r="A7918" s="1" t="s">
        <v>8687</v>
      </c>
      <c r="B7918" t="s">
        <v>637</v>
      </c>
    </row>
    <row r="7919" spans="1:2">
      <c r="A7919" s="1" t="s">
        <v>8688</v>
      </c>
      <c r="B7919" t="s">
        <v>637</v>
      </c>
    </row>
    <row r="7920" spans="1:2">
      <c r="A7920" s="1" t="s">
        <v>8689</v>
      </c>
      <c r="B7920" t="s">
        <v>637</v>
      </c>
    </row>
    <row r="7921" spans="1:2">
      <c r="A7921" s="1" t="s">
        <v>8690</v>
      </c>
      <c r="B7921" t="s">
        <v>637</v>
      </c>
    </row>
    <row r="7922" spans="1:2">
      <c r="A7922" s="1" t="s">
        <v>8691</v>
      </c>
      <c r="B7922" t="s">
        <v>637</v>
      </c>
    </row>
    <row r="7923" spans="1:2">
      <c r="A7923" s="1" t="s">
        <v>8692</v>
      </c>
      <c r="B7923" t="s">
        <v>637</v>
      </c>
    </row>
    <row r="7924" spans="1:2">
      <c r="A7924" s="1" t="s">
        <v>8693</v>
      </c>
      <c r="B7924" t="s">
        <v>637</v>
      </c>
    </row>
    <row r="7925" spans="1:2">
      <c r="A7925" s="1" t="s">
        <v>8694</v>
      </c>
      <c r="B7925" t="s">
        <v>637</v>
      </c>
    </row>
    <row r="7926" spans="1:2">
      <c r="A7926" s="1" t="s">
        <v>8695</v>
      </c>
      <c r="B7926" t="s">
        <v>637</v>
      </c>
    </row>
    <row r="7927" spans="1:2">
      <c r="A7927" s="1" t="s">
        <v>8696</v>
      </c>
      <c r="B7927" t="s">
        <v>637</v>
      </c>
    </row>
    <row r="7928" spans="1:2">
      <c r="A7928" s="1" t="s">
        <v>8697</v>
      </c>
      <c r="B7928" t="s">
        <v>637</v>
      </c>
    </row>
    <row r="7929" spans="1:2">
      <c r="A7929" s="1" t="s">
        <v>8698</v>
      </c>
      <c r="B7929" t="s">
        <v>637</v>
      </c>
    </row>
    <row r="7930" spans="1:2">
      <c r="A7930" s="1" t="s">
        <v>8699</v>
      </c>
      <c r="B7930" t="s">
        <v>637</v>
      </c>
    </row>
    <row r="7931" spans="1:2">
      <c r="A7931" s="1" t="s">
        <v>8700</v>
      </c>
      <c r="B7931" t="s">
        <v>637</v>
      </c>
    </row>
    <row r="7932" spans="1:2">
      <c r="A7932" s="1" t="s">
        <v>8701</v>
      </c>
      <c r="B7932" t="s">
        <v>637</v>
      </c>
    </row>
    <row r="7933" spans="1:2">
      <c r="A7933" s="1" t="s">
        <v>8702</v>
      </c>
      <c r="B7933" t="s">
        <v>637</v>
      </c>
    </row>
    <row r="7934" spans="1:2">
      <c r="A7934" s="1" t="s">
        <v>8703</v>
      </c>
      <c r="B7934" t="s">
        <v>637</v>
      </c>
    </row>
    <row r="7935" spans="1:2">
      <c r="A7935" s="1" t="s">
        <v>8704</v>
      </c>
      <c r="B7935" t="s">
        <v>637</v>
      </c>
    </row>
    <row r="7936" spans="1:2">
      <c r="A7936" s="1" t="s">
        <v>8705</v>
      </c>
      <c r="B7936" t="s">
        <v>637</v>
      </c>
    </row>
    <row r="7937" spans="1:2">
      <c r="A7937" s="1" t="s">
        <v>8706</v>
      </c>
      <c r="B7937" t="s">
        <v>637</v>
      </c>
    </row>
    <row r="7938" spans="1:2">
      <c r="A7938" s="1" t="s">
        <v>8707</v>
      </c>
      <c r="B7938" t="s">
        <v>637</v>
      </c>
    </row>
    <row r="7939" spans="1:2">
      <c r="A7939" s="1" t="s">
        <v>8708</v>
      </c>
      <c r="B7939" t="s">
        <v>637</v>
      </c>
    </row>
    <row r="7940" spans="1:2">
      <c r="A7940" s="1" t="s">
        <v>8709</v>
      </c>
      <c r="B7940" t="s">
        <v>637</v>
      </c>
    </row>
    <row r="7941" spans="1:2">
      <c r="A7941" s="1" t="s">
        <v>8710</v>
      </c>
      <c r="B7941" t="s">
        <v>637</v>
      </c>
    </row>
    <row r="7942" spans="1:2">
      <c r="A7942" s="1" t="s">
        <v>8711</v>
      </c>
      <c r="B7942" t="s">
        <v>637</v>
      </c>
    </row>
    <row r="7943" spans="1:2">
      <c r="A7943" s="1" t="s">
        <v>8712</v>
      </c>
      <c r="B7943" t="s">
        <v>637</v>
      </c>
    </row>
    <row r="7944" spans="1:2">
      <c r="A7944" s="1" t="s">
        <v>8713</v>
      </c>
      <c r="B7944" t="s">
        <v>637</v>
      </c>
    </row>
    <row r="7945" spans="1:2">
      <c r="A7945" s="1" t="s">
        <v>8714</v>
      </c>
      <c r="B7945" t="s">
        <v>637</v>
      </c>
    </row>
    <row r="7946" spans="1:2">
      <c r="A7946" s="1" t="s">
        <v>8715</v>
      </c>
      <c r="B7946" t="s">
        <v>637</v>
      </c>
    </row>
    <row r="7947" spans="1:2">
      <c r="A7947" s="1" t="s">
        <v>8716</v>
      </c>
      <c r="B7947" t="s">
        <v>637</v>
      </c>
    </row>
    <row r="7948" spans="1:2">
      <c r="A7948" s="1" t="s">
        <v>8717</v>
      </c>
      <c r="B7948" t="s">
        <v>637</v>
      </c>
    </row>
    <row r="7949" spans="1:2">
      <c r="A7949" s="1" t="s">
        <v>8718</v>
      </c>
      <c r="B7949" t="s">
        <v>637</v>
      </c>
    </row>
    <row r="7950" spans="1:2">
      <c r="A7950" s="1" t="s">
        <v>8719</v>
      </c>
      <c r="B7950" t="s">
        <v>637</v>
      </c>
    </row>
    <row r="7951" spans="1:2">
      <c r="A7951" s="1" t="s">
        <v>8720</v>
      </c>
      <c r="B7951" t="s">
        <v>637</v>
      </c>
    </row>
    <row r="7952" spans="1:2">
      <c r="A7952" s="1" t="s">
        <v>8721</v>
      </c>
      <c r="B7952" t="s">
        <v>637</v>
      </c>
    </row>
    <row r="7953" spans="1:2">
      <c r="A7953" s="1" t="s">
        <v>8722</v>
      </c>
      <c r="B7953" t="s">
        <v>637</v>
      </c>
    </row>
    <row r="7954" spans="1:2">
      <c r="A7954" s="1" t="s">
        <v>8723</v>
      </c>
      <c r="B7954" t="s">
        <v>637</v>
      </c>
    </row>
    <row r="7955" spans="1:2">
      <c r="A7955" s="1" t="s">
        <v>8724</v>
      </c>
      <c r="B7955" t="s">
        <v>637</v>
      </c>
    </row>
    <row r="7956" spans="1:2">
      <c r="A7956" s="1" t="s">
        <v>8725</v>
      </c>
      <c r="B7956" t="s">
        <v>637</v>
      </c>
    </row>
    <row r="7957" spans="1:2">
      <c r="A7957" s="1" t="s">
        <v>8726</v>
      </c>
      <c r="B7957" t="s">
        <v>637</v>
      </c>
    </row>
    <row r="7958" spans="1:2">
      <c r="A7958" s="1" t="s">
        <v>8727</v>
      </c>
      <c r="B7958" t="s">
        <v>637</v>
      </c>
    </row>
    <row r="7959" spans="1:2">
      <c r="A7959" s="1" t="s">
        <v>8728</v>
      </c>
      <c r="B7959" t="s">
        <v>637</v>
      </c>
    </row>
    <row r="7960" spans="1:2">
      <c r="A7960" s="1" t="s">
        <v>8729</v>
      </c>
      <c r="B7960" t="s">
        <v>637</v>
      </c>
    </row>
    <row r="7961" spans="1:2">
      <c r="A7961" s="1" t="s">
        <v>8730</v>
      </c>
      <c r="B7961" t="s">
        <v>637</v>
      </c>
    </row>
    <row r="7962" spans="1:2">
      <c r="A7962" s="1" t="s">
        <v>8731</v>
      </c>
      <c r="B7962" t="s">
        <v>637</v>
      </c>
    </row>
    <row r="7963" spans="1:2">
      <c r="A7963" s="1" t="s">
        <v>8732</v>
      </c>
      <c r="B7963" t="s">
        <v>637</v>
      </c>
    </row>
    <row r="7964" spans="1:2">
      <c r="A7964" s="1" t="s">
        <v>8733</v>
      </c>
      <c r="B7964" t="s">
        <v>637</v>
      </c>
    </row>
    <row r="7965" spans="1:2">
      <c r="A7965" s="1" t="s">
        <v>8734</v>
      </c>
      <c r="B7965" t="s">
        <v>637</v>
      </c>
    </row>
    <row r="7966" spans="1:2">
      <c r="A7966" s="1" t="s">
        <v>8735</v>
      </c>
      <c r="B7966" t="s">
        <v>637</v>
      </c>
    </row>
    <row r="7967" spans="1:2">
      <c r="A7967" s="1" t="s">
        <v>8736</v>
      </c>
      <c r="B7967" t="s">
        <v>637</v>
      </c>
    </row>
    <row r="7968" spans="1:2">
      <c r="A7968" s="1" t="s">
        <v>8737</v>
      </c>
      <c r="B7968" t="s">
        <v>637</v>
      </c>
    </row>
    <row r="7969" spans="1:2">
      <c r="A7969" s="1" t="s">
        <v>8738</v>
      </c>
      <c r="B7969" t="s">
        <v>637</v>
      </c>
    </row>
    <row r="7970" spans="1:2">
      <c r="A7970" s="1" t="s">
        <v>8739</v>
      </c>
      <c r="B7970" t="s">
        <v>637</v>
      </c>
    </row>
    <row r="7971" spans="1:2">
      <c r="A7971" s="1" t="s">
        <v>8740</v>
      </c>
      <c r="B7971" t="s">
        <v>637</v>
      </c>
    </row>
    <row r="7972" spans="1:2">
      <c r="A7972" s="1" t="s">
        <v>8741</v>
      </c>
      <c r="B7972" t="s">
        <v>637</v>
      </c>
    </row>
    <row r="7973" spans="1:2">
      <c r="A7973" s="1" t="s">
        <v>8742</v>
      </c>
      <c r="B7973" t="s">
        <v>637</v>
      </c>
    </row>
    <row r="7974" spans="1:2">
      <c r="A7974" s="1" t="s">
        <v>8743</v>
      </c>
      <c r="B7974" t="s">
        <v>637</v>
      </c>
    </row>
    <row r="7975" spans="1:2">
      <c r="A7975" s="1" t="s">
        <v>8744</v>
      </c>
      <c r="B7975" t="s">
        <v>637</v>
      </c>
    </row>
    <row r="7976" spans="1:2">
      <c r="A7976" s="1" t="s">
        <v>8745</v>
      </c>
      <c r="B7976" t="s">
        <v>637</v>
      </c>
    </row>
    <row r="7977" spans="1:2">
      <c r="A7977" s="1" t="s">
        <v>8746</v>
      </c>
      <c r="B7977" t="s">
        <v>637</v>
      </c>
    </row>
    <row r="7978" spans="1:2">
      <c r="A7978" s="1" t="s">
        <v>8747</v>
      </c>
      <c r="B7978" t="s">
        <v>637</v>
      </c>
    </row>
    <row r="7979" spans="1:2">
      <c r="A7979" s="1" t="s">
        <v>8748</v>
      </c>
      <c r="B7979" t="s">
        <v>637</v>
      </c>
    </row>
    <row r="7980" spans="1:2">
      <c r="A7980" s="1" t="s">
        <v>8749</v>
      </c>
      <c r="B7980" t="s">
        <v>637</v>
      </c>
    </row>
    <row r="7981" spans="1:2">
      <c r="A7981" s="1" t="s">
        <v>8750</v>
      </c>
      <c r="B7981" t="s">
        <v>637</v>
      </c>
    </row>
    <row r="7982" spans="1:2">
      <c r="A7982" s="1" t="s">
        <v>8751</v>
      </c>
      <c r="B7982" t="s">
        <v>637</v>
      </c>
    </row>
    <row r="7983" spans="1:2">
      <c r="A7983" s="1" t="s">
        <v>8752</v>
      </c>
      <c r="B7983" t="s">
        <v>637</v>
      </c>
    </row>
    <row r="7984" spans="1:2">
      <c r="A7984" s="1" t="s">
        <v>8753</v>
      </c>
      <c r="B7984" t="s">
        <v>637</v>
      </c>
    </row>
    <row r="7985" spans="1:2">
      <c r="A7985" s="1" t="s">
        <v>8754</v>
      </c>
      <c r="B7985" t="s">
        <v>637</v>
      </c>
    </row>
    <row r="7986" spans="1:2">
      <c r="A7986" s="1" t="s">
        <v>8755</v>
      </c>
      <c r="B7986" t="s">
        <v>637</v>
      </c>
    </row>
    <row r="7987" spans="1:2">
      <c r="A7987" s="1" t="s">
        <v>8756</v>
      </c>
      <c r="B7987" t="s">
        <v>637</v>
      </c>
    </row>
    <row r="7988" spans="1:2">
      <c r="A7988" s="1" t="s">
        <v>8757</v>
      </c>
      <c r="B7988" t="s">
        <v>637</v>
      </c>
    </row>
    <row r="7989" spans="1:2">
      <c r="A7989" s="1" t="s">
        <v>8758</v>
      </c>
      <c r="B7989" t="s">
        <v>637</v>
      </c>
    </row>
    <row r="7990" spans="1:2">
      <c r="A7990" s="1" t="s">
        <v>8759</v>
      </c>
      <c r="B7990" t="s">
        <v>637</v>
      </c>
    </row>
    <row r="7991" spans="1:2">
      <c r="A7991" s="1" t="s">
        <v>8760</v>
      </c>
      <c r="B7991" t="s">
        <v>637</v>
      </c>
    </row>
    <row r="7992" spans="1:2">
      <c r="A7992" s="1" t="s">
        <v>8761</v>
      </c>
      <c r="B7992" t="s">
        <v>637</v>
      </c>
    </row>
    <row r="7993" spans="1:2">
      <c r="A7993" s="1" t="s">
        <v>8762</v>
      </c>
      <c r="B7993" t="s">
        <v>637</v>
      </c>
    </row>
    <row r="7994" spans="1:2">
      <c r="A7994" s="1" t="s">
        <v>8763</v>
      </c>
      <c r="B7994" t="s">
        <v>637</v>
      </c>
    </row>
    <row r="7995" spans="1:2">
      <c r="A7995" s="1" t="s">
        <v>8764</v>
      </c>
      <c r="B7995" t="s">
        <v>637</v>
      </c>
    </row>
    <row r="7996" spans="1:2">
      <c r="A7996" s="1" t="s">
        <v>8765</v>
      </c>
      <c r="B7996" t="s">
        <v>637</v>
      </c>
    </row>
    <row r="7997" spans="1:2">
      <c r="A7997" s="1" t="s">
        <v>8766</v>
      </c>
      <c r="B7997" t="s">
        <v>637</v>
      </c>
    </row>
    <row r="7998" spans="1:2">
      <c r="A7998" s="1" t="s">
        <v>8767</v>
      </c>
      <c r="B7998" t="s">
        <v>637</v>
      </c>
    </row>
    <row r="7999" spans="1:2">
      <c r="A7999" s="1" t="s">
        <v>8768</v>
      </c>
      <c r="B7999" t="s">
        <v>637</v>
      </c>
    </row>
    <row r="8000" spans="1:2">
      <c r="A8000" s="1" t="s">
        <v>8769</v>
      </c>
      <c r="B8000" t="s">
        <v>637</v>
      </c>
    </row>
    <row r="8001" spans="1:2">
      <c r="A8001" s="1" t="s">
        <v>8770</v>
      </c>
      <c r="B8001" t="s">
        <v>637</v>
      </c>
    </row>
    <row r="8002" spans="1:2">
      <c r="A8002" s="1" t="s">
        <v>8771</v>
      </c>
      <c r="B8002" t="s">
        <v>637</v>
      </c>
    </row>
    <row r="8003" spans="1:2">
      <c r="A8003" s="1" t="s">
        <v>8772</v>
      </c>
      <c r="B8003" t="s">
        <v>637</v>
      </c>
    </row>
    <row r="8004" spans="1:2">
      <c r="A8004" s="1" t="s">
        <v>8773</v>
      </c>
      <c r="B8004" t="s">
        <v>637</v>
      </c>
    </row>
    <row r="8005" spans="1:2">
      <c r="A8005" s="1" t="s">
        <v>8774</v>
      </c>
      <c r="B8005" t="s">
        <v>637</v>
      </c>
    </row>
    <row r="8006" spans="1:2">
      <c r="A8006" s="1" t="s">
        <v>8775</v>
      </c>
      <c r="B8006" t="s">
        <v>637</v>
      </c>
    </row>
    <row r="8007" spans="1:2">
      <c r="A8007" s="1" t="s">
        <v>8776</v>
      </c>
      <c r="B8007" t="s">
        <v>637</v>
      </c>
    </row>
    <row r="8008" spans="1:2">
      <c r="A8008" s="1" t="s">
        <v>8777</v>
      </c>
      <c r="B8008" t="s">
        <v>637</v>
      </c>
    </row>
    <row r="8009" spans="1:2">
      <c r="A8009" s="1" t="s">
        <v>8778</v>
      </c>
      <c r="B8009" t="s">
        <v>637</v>
      </c>
    </row>
    <row r="8010" spans="1:2">
      <c r="A8010" s="1" t="s">
        <v>8779</v>
      </c>
      <c r="B8010" t="s">
        <v>637</v>
      </c>
    </row>
    <row r="8011" spans="1:2">
      <c r="A8011" s="1" t="s">
        <v>8780</v>
      </c>
      <c r="B8011" t="s">
        <v>637</v>
      </c>
    </row>
    <row r="8012" spans="1:2">
      <c r="A8012" s="1" t="s">
        <v>8781</v>
      </c>
      <c r="B8012" t="s">
        <v>637</v>
      </c>
    </row>
    <row r="8013" spans="1:2">
      <c r="A8013" s="1" t="s">
        <v>8782</v>
      </c>
      <c r="B8013" t="s">
        <v>637</v>
      </c>
    </row>
    <row r="8014" spans="1:2">
      <c r="A8014" s="1" t="s">
        <v>8783</v>
      </c>
      <c r="B8014" t="s">
        <v>637</v>
      </c>
    </row>
    <row r="8015" spans="1:2">
      <c r="A8015" s="1" t="s">
        <v>8784</v>
      </c>
      <c r="B8015" t="s">
        <v>637</v>
      </c>
    </row>
    <row r="8016" spans="1:2">
      <c r="A8016" s="1" t="s">
        <v>8785</v>
      </c>
      <c r="B8016" t="s">
        <v>637</v>
      </c>
    </row>
    <row r="8017" spans="1:2">
      <c r="A8017" s="1" t="s">
        <v>8786</v>
      </c>
      <c r="B8017" t="s">
        <v>637</v>
      </c>
    </row>
    <row r="8018" spans="1:2">
      <c r="A8018" s="1" t="s">
        <v>8787</v>
      </c>
      <c r="B8018" t="s">
        <v>637</v>
      </c>
    </row>
    <row r="8019" spans="1:2">
      <c r="A8019" s="1" t="s">
        <v>8788</v>
      </c>
      <c r="B8019" t="s">
        <v>637</v>
      </c>
    </row>
    <row r="8020" spans="1:2">
      <c r="A8020" s="1" t="s">
        <v>14</v>
      </c>
      <c r="B8020" t="s">
        <v>637</v>
      </c>
    </row>
    <row r="8021" spans="1:2">
      <c r="A8021" s="1" t="s">
        <v>8789</v>
      </c>
      <c r="B8021" t="s">
        <v>637</v>
      </c>
    </row>
    <row r="8022" spans="1:2">
      <c r="A8022" s="1" t="s">
        <v>8790</v>
      </c>
      <c r="B8022" t="s">
        <v>637</v>
      </c>
    </row>
    <row r="8023" spans="1:2">
      <c r="A8023" s="1" t="s">
        <v>8791</v>
      </c>
      <c r="B8023" t="s">
        <v>637</v>
      </c>
    </row>
    <row r="8024" spans="1:2">
      <c r="A8024" s="1" t="s">
        <v>8792</v>
      </c>
      <c r="B8024" t="s">
        <v>637</v>
      </c>
    </row>
    <row r="8025" spans="1:2">
      <c r="A8025" s="1" t="s">
        <v>8793</v>
      </c>
      <c r="B8025" t="s">
        <v>637</v>
      </c>
    </row>
    <row r="8026" spans="1:2">
      <c r="A8026" s="1" t="s">
        <v>8794</v>
      </c>
      <c r="B8026" t="s">
        <v>637</v>
      </c>
    </row>
    <row r="8027" spans="1:2">
      <c r="A8027" s="1" t="s">
        <v>8795</v>
      </c>
      <c r="B8027" t="s">
        <v>637</v>
      </c>
    </row>
    <row r="8028" spans="1:2">
      <c r="A8028" s="1" t="s">
        <v>8796</v>
      </c>
      <c r="B8028" t="s">
        <v>637</v>
      </c>
    </row>
    <row r="8029" spans="1:2">
      <c r="A8029" s="1" t="s">
        <v>8797</v>
      </c>
      <c r="B8029" t="s">
        <v>637</v>
      </c>
    </row>
    <row r="8030" spans="1:2">
      <c r="A8030" s="1" t="s">
        <v>8798</v>
      </c>
      <c r="B8030" t="s">
        <v>637</v>
      </c>
    </row>
    <row r="8031" spans="1:2">
      <c r="A8031" s="1" t="s">
        <v>8799</v>
      </c>
      <c r="B8031" t="s">
        <v>637</v>
      </c>
    </row>
    <row r="8032" spans="1:2">
      <c r="A8032" s="1" t="s">
        <v>8800</v>
      </c>
      <c r="B8032" t="s">
        <v>637</v>
      </c>
    </row>
    <row r="8033" spans="1:2">
      <c r="A8033" s="1" t="s">
        <v>8801</v>
      </c>
      <c r="B8033" t="s">
        <v>637</v>
      </c>
    </row>
    <row r="8034" spans="1:2">
      <c r="A8034" s="1" t="s">
        <v>8802</v>
      </c>
      <c r="B8034" t="s">
        <v>637</v>
      </c>
    </row>
    <row r="8035" spans="1:2">
      <c r="A8035" s="1" t="s">
        <v>8803</v>
      </c>
      <c r="B8035" t="s">
        <v>637</v>
      </c>
    </row>
    <row r="8036" spans="1:2">
      <c r="A8036" s="1" t="s">
        <v>8804</v>
      </c>
      <c r="B8036" t="s">
        <v>637</v>
      </c>
    </row>
    <row r="8037" spans="1:2">
      <c r="A8037" s="1" t="s">
        <v>8805</v>
      </c>
      <c r="B8037" t="s">
        <v>637</v>
      </c>
    </row>
    <row r="8038" spans="1:2">
      <c r="A8038" s="1" t="s">
        <v>8806</v>
      </c>
      <c r="B8038" t="s">
        <v>637</v>
      </c>
    </row>
    <row r="8039" spans="1:2">
      <c r="A8039" s="1" t="s">
        <v>8807</v>
      </c>
      <c r="B8039" t="s">
        <v>637</v>
      </c>
    </row>
    <row r="8040" spans="1:2">
      <c r="A8040" s="1" t="s">
        <v>8808</v>
      </c>
      <c r="B8040" t="s">
        <v>637</v>
      </c>
    </row>
    <row r="8041" spans="1:2">
      <c r="A8041" s="1" t="s">
        <v>8809</v>
      </c>
      <c r="B8041" t="s">
        <v>637</v>
      </c>
    </row>
    <row r="8042" spans="1:2">
      <c r="A8042" s="1" t="s">
        <v>8810</v>
      </c>
      <c r="B8042" t="s">
        <v>637</v>
      </c>
    </row>
    <row r="8043" spans="1:2">
      <c r="A8043" s="1" t="s">
        <v>8811</v>
      </c>
      <c r="B8043" t="s">
        <v>637</v>
      </c>
    </row>
    <row r="8044" spans="1:2">
      <c r="A8044" s="1" t="s">
        <v>8812</v>
      </c>
      <c r="B8044" t="s">
        <v>637</v>
      </c>
    </row>
    <row r="8045" spans="1:2">
      <c r="A8045" s="1" t="s">
        <v>8813</v>
      </c>
      <c r="B8045" t="s">
        <v>637</v>
      </c>
    </row>
    <row r="8046" spans="1:2">
      <c r="A8046" s="1" t="s">
        <v>8814</v>
      </c>
      <c r="B8046" t="s">
        <v>637</v>
      </c>
    </row>
    <row r="8047" spans="1:2">
      <c r="A8047" s="1" t="s">
        <v>8815</v>
      </c>
      <c r="B8047" t="s">
        <v>637</v>
      </c>
    </row>
    <row r="8048" spans="1:2">
      <c r="A8048" s="1" t="s">
        <v>8816</v>
      </c>
      <c r="B8048" t="s">
        <v>637</v>
      </c>
    </row>
    <row r="8049" spans="1:2">
      <c r="A8049" s="1" t="s">
        <v>8817</v>
      </c>
      <c r="B8049" t="s">
        <v>637</v>
      </c>
    </row>
    <row r="8050" spans="1:2">
      <c r="A8050" s="1" t="s">
        <v>8818</v>
      </c>
      <c r="B8050" t="s">
        <v>637</v>
      </c>
    </row>
    <row r="8051" spans="1:2">
      <c r="A8051" s="1" t="s">
        <v>8819</v>
      </c>
      <c r="B8051" t="s">
        <v>637</v>
      </c>
    </row>
    <row r="8052" spans="1:2">
      <c r="A8052" s="1" t="s">
        <v>8820</v>
      </c>
      <c r="B8052" t="s">
        <v>637</v>
      </c>
    </row>
    <row r="8053" spans="1:2">
      <c r="A8053" s="1" t="s">
        <v>8821</v>
      </c>
      <c r="B8053" t="s">
        <v>637</v>
      </c>
    </row>
    <row r="8054" spans="1:2">
      <c r="A8054" s="1" t="s">
        <v>8822</v>
      </c>
      <c r="B8054" t="s">
        <v>637</v>
      </c>
    </row>
    <row r="8055" spans="1:2">
      <c r="A8055" s="1" t="s">
        <v>8823</v>
      </c>
      <c r="B8055" t="s">
        <v>637</v>
      </c>
    </row>
    <row r="8056" spans="1:2">
      <c r="A8056" s="1" t="s">
        <v>8824</v>
      </c>
      <c r="B8056" t="s">
        <v>637</v>
      </c>
    </row>
    <row r="8057" spans="1:2">
      <c r="A8057" s="1" t="s">
        <v>8825</v>
      </c>
      <c r="B8057" t="s">
        <v>637</v>
      </c>
    </row>
    <row r="8058" spans="1:2">
      <c r="A8058" s="1" t="s">
        <v>8826</v>
      </c>
      <c r="B8058" t="s">
        <v>637</v>
      </c>
    </row>
    <row r="8059" spans="1:2">
      <c r="A8059" s="1" t="s">
        <v>8827</v>
      </c>
      <c r="B8059" t="s">
        <v>637</v>
      </c>
    </row>
    <row r="8060" spans="1:2">
      <c r="A8060" s="1" t="s">
        <v>8828</v>
      </c>
      <c r="B8060" t="s">
        <v>637</v>
      </c>
    </row>
    <row r="8061" spans="1:2">
      <c r="A8061" s="1" t="s">
        <v>8829</v>
      </c>
      <c r="B8061" t="s">
        <v>637</v>
      </c>
    </row>
    <row r="8062" spans="1:2">
      <c r="A8062" s="1" t="s">
        <v>8830</v>
      </c>
      <c r="B8062" t="s">
        <v>637</v>
      </c>
    </row>
    <row r="8063" spans="1:2">
      <c r="A8063" s="1" t="s">
        <v>8831</v>
      </c>
      <c r="B8063" t="s">
        <v>637</v>
      </c>
    </row>
    <row r="8064" spans="1:2">
      <c r="A8064" s="1" t="s">
        <v>8832</v>
      </c>
      <c r="B8064" t="s">
        <v>637</v>
      </c>
    </row>
    <row r="8065" spans="1:2">
      <c r="A8065" s="1" t="s">
        <v>8833</v>
      </c>
      <c r="B8065" t="s">
        <v>637</v>
      </c>
    </row>
    <row r="8066" spans="1:2">
      <c r="A8066" s="1" t="s">
        <v>8834</v>
      </c>
      <c r="B8066" t="s">
        <v>637</v>
      </c>
    </row>
    <row r="8067" spans="1:2">
      <c r="A8067" s="1" t="s">
        <v>8835</v>
      </c>
      <c r="B8067" t="s">
        <v>637</v>
      </c>
    </row>
    <row r="8068" spans="1:2">
      <c r="A8068" s="1" t="s">
        <v>8836</v>
      </c>
      <c r="B8068" t="s">
        <v>637</v>
      </c>
    </row>
    <row r="8069" spans="1:2">
      <c r="A8069" s="1" t="s">
        <v>8837</v>
      </c>
      <c r="B8069" t="s">
        <v>637</v>
      </c>
    </row>
    <row r="8070" spans="1:2">
      <c r="A8070" s="1" t="s">
        <v>8838</v>
      </c>
      <c r="B8070" t="s">
        <v>637</v>
      </c>
    </row>
    <row r="8071" spans="1:2">
      <c r="A8071" s="1" t="s">
        <v>8839</v>
      </c>
      <c r="B8071" t="s">
        <v>637</v>
      </c>
    </row>
    <row r="8072" spans="1:2">
      <c r="A8072" s="1" t="s">
        <v>8840</v>
      </c>
      <c r="B8072" t="s">
        <v>637</v>
      </c>
    </row>
    <row r="8073" spans="1:2">
      <c r="A8073" s="1" t="s">
        <v>8841</v>
      </c>
      <c r="B8073" t="s">
        <v>637</v>
      </c>
    </row>
    <row r="8074" spans="1:2">
      <c r="A8074" s="1" t="s">
        <v>8842</v>
      </c>
      <c r="B8074" t="s">
        <v>637</v>
      </c>
    </row>
    <row r="8075" spans="1:2">
      <c r="A8075" s="1" t="s">
        <v>8843</v>
      </c>
      <c r="B8075" t="s">
        <v>637</v>
      </c>
    </row>
    <row r="8076" spans="1:2">
      <c r="A8076" s="1" t="s">
        <v>8844</v>
      </c>
      <c r="B8076" t="s">
        <v>637</v>
      </c>
    </row>
    <row r="8077" spans="1:2">
      <c r="A8077" s="1" t="s">
        <v>8845</v>
      </c>
      <c r="B8077" t="s">
        <v>637</v>
      </c>
    </row>
    <row r="8078" spans="1:2">
      <c r="A8078" s="1" t="s">
        <v>8846</v>
      </c>
      <c r="B8078" t="s">
        <v>637</v>
      </c>
    </row>
    <row r="8079" spans="1:2">
      <c r="A8079" s="1" t="s">
        <v>8847</v>
      </c>
      <c r="B8079" t="s">
        <v>637</v>
      </c>
    </row>
    <row r="8080" spans="1:2">
      <c r="A8080" s="1" t="s">
        <v>8848</v>
      </c>
      <c r="B8080" t="s">
        <v>637</v>
      </c>
    </row>
    <row r="8081" spans="1:2">
      <c r="A8081" s="1" t="s">
        <v>8849</v>
      </c>
      <c r="B8081" t="s">
        <v>637</v>
      </c>
    </row>
    <row r="8082" spans="1:2">
      <c r="A8082" s="1" t="s">
        <v>8850</v>
      </c>
      <c r="B8082" t="s">
        <v>637</v>
      </c>
    </row>
    <row r="8083" spans="1:2">
      <c r="A8083" s="1" t="s">
        <v>8851</v>
      </c>
      <c r="B8083" t="s">
        <v>637</v>
      </c>
    </row>
    <row r="8084" spans="1:2">
      <c r="A8084" s="1" t="s">
        <v>8852</v>
      </c>
      <c r="B8084" t="s">
        <v>637</v>
      </c>
    </row>
    <row r="8085" spans="1:2">
      <c r="A8085" s="1" t="s">
        <v>8853</v>
      </c>
      <c r="B8085" t="s">
        <v>637</v>
      </c>
    </row>
    <row r="8086" spans="1:2">
      <c r="A8086" s="1" t="s">
        <v>8854</v>
      </c>
      <c r="B8086" t="s">
        <v>637</v>
      </c>
    </row>
    <row r="8087" spans="1:2">
      <c r="A8087" s="1" t="s">
        <v>8855</v>
      </c>
      <c r="B8087" t="s">
        <v>637</v>
      </c>
    </row>
    <row r="8088" spans="1:2">
      <c r="A8088" s="1" t="s">
        <v>8856</v>
      </c>
      <c r="B8088" t="s">
        <v>637</v>
      </c>
    </row>
    <row r="8089" spans="1:2">
      <c r="A8089" s="1" t="s">
        <v>8857</v>
      </c>
      <c r="B8089" t="s">
        <v>637</v>
      </c>
    </row>
    <row r="8090" spans="1:2">
      <c r="A8090" s="1" t="s">
        <v>8858</v>
      </c>
      <c r="B8090" t="s">
        <v>637</v>
      </c>
    </row>
    <row r="8091" spans="1:2">
      <c r="A8091" s="1" t="s">
        <v>8859</v>
      </c>
      <c r="B8091" t="s">
        <v>637</v>
      </c>
    </row>
    <row r="8092" spans="1:2">
      <c r="A8092" s="1" t="s">
        <v>8860</v>
      </c>
      <c r="B8092" t="s">
        <v>637</v>
      </c>
    </row>
    <row r="8093" spans="1:2">
      <c r="A8093" s="1" t="s">
        <v>8861</v>
      </c>
      <c r="B8093" t="s">
        <v>637</v>
      </c>
    </row>
    <row r="8094" spans="1:2">
      <c r="A8094" s="1" t="s">
        <v>8862</v>
      </c>
      <c r="B8094" t="s">
        <v>637</v>
      </c>
    </row>
    <row r="8095" spans="1:2">
      <c r="A8095" s="1" t="s">
        <v>8863</v>
      </c>
      <c r="B8095" t="s">
        <v>637</v>
      </c>
    </row>
    <row r="8096" spans="1:2">
      <c r="A8096" s="1" t="s">
        <v>8864</v>
      </c>
      <c r="B8096" t="s">
        <v>637</v>
      </c>
    </row>
    <row r="8097" spans="1:2">
      <c r="A8097" s="1" t="s">
        <v>8865</v>
      </c>
      <c r="B8097" t="s">
        <v>637</v>
      </c>
    </row>
    <row r="8098" spans="1:2">
      <c r="A8098" s="1" t="s">
        <v>8866</v>
      </c>
      <c r="B8098" t="s">
        <v>637</v>
      </c>
    </row>
    <row r="8099" spans="1:2">
      <c r="A8099" s="1" t="s">
        <v>8867</v>
      </c>
      <c r="B8099" t="s">
        <v>637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637</v>
      </c>
    </row>
    <row r="8102" spans="1:2">
      <c r="A8102" s="1" t="s">
        <v>8870</v>
      </c>
      <c r="B8102" t="s">
        <v>637</v>
      </c>
    </row>
    <row r="8103" spans="1:2">
      <c r="A8103" s="1" t="s">
        <v>8871</v>
      </c>
      <c r="B8103" t="s">
        <v>637</v>
      </c>
    </row>
    <row r="8104" spans="1:2">
      <c r="A8104" s="1" t="s">
        <v>8872</v>
      </c>
      <c r="B8104" t="s">
        <v>637</v>
      </c>
    </row>
    <row r="8105" spans="1:2">
      <c r="A8105" s="1" t="s">
        <v>8873</v>
      </c>
      <c r="B8105" t="s">
        <v>637</v>
      </c>
    </row>
    <row r="8106" spans="1:2">
      <c r="A8106" s="1" t="s">
        <v>8874</v>
      </c>
      <c r="B8106" t="s">
        <v>637</v>
      </c>
    </row>
    <row r="8107" spans="1:2">
      <c r="A8107" s="1" t="s">
        <v>8875</v>
      </c>
      <c r="B8107" t="s">
        <v>637</v>
      </c>
    </row>
    <row r="8108" spans="1:2">
      <c r="A8108" s="1" t="s">
        <v>8876</v>
      </c>
      <c r="B8108" t="s">
        <v>637</v>
      </c>
    </row>
    <row r="8109" spans="1:2">
      <c r="A8109" s="1" t="s">
        <v>8877</v>
      </c>
      <c r="B8109" t="s">
        <v>637</v>
      </c>
    </row>
    <row r="8110" spans="1:2">
      <c r="A8110" s="1" t="s">
        <v>8878</v>
      </c>
      <c r="B8110" t="s">
        <v>637</v>
      </c>
    </row>
    <row r="8111" spans="1:2">
      <c r="A8111" s="1" t="s">
        <v>8879</v>
      </c>
      <c r="B8111" t="s">
        <v>637</v>
      </c>
    </row>
    <row r="8112" spans="1:2">
      <c r="A8112" s="1" t="s">
        <v>8880</v>
      </c>
      <c r="B8112" t="s">
        <v>637</v>
      </c>
    </row>
    <row r="8113" spans="1:2">
      <c r="A8113" s="1" t="s">
        <v>8881</v>
      </c>
      <c r="B8113" t="s">
        <v>637</v>
      </c>
    </row>
    <row r="8114" spans="1:2">
      <c r="A8114" s="1" t="s">
        <v>8882</v>
      </c>
      <c r="B8114" t="s">
        <v>637</v>
      </c>
    </row>
    <row r="8115" spans="1:2">
      <c r="A8115" s="1" t="s">
        <v>8883</v>
      </c>
      <c r="B8115" t="s">
        <v>637</v>
      </c>
    </row>
    <row r="8116" spans="1:2">
      <c r="A8116" s="1" t="s">
        <v>8884</v>
      </c>
      <c r="B8116" t="s">
        <v>637</v>
      </c>
    </row>
    <row r="8117" spans="1:2">
      <c r="A8117" s="1" t="s">
        <v>8885</v>
      </c>
      <c r="B8117" t="s">
        <v>637</v>
      </c>
    </row>
    <row r="8118" spans="1:2">
      <c r="A8118" s="1" t="s">
        <v>8886</v>
      </c>
      <c r="B8118" t="s">
        <v>637</v>
      </c>
    </row>
    <row r="8119" spans="1:2">
      <c r="A8119" s="1" t="s">
        <v>8887</v>
      </c>
      <c r="B8119" t="s">
        <v>637</v>
      </c>
    </row>
    <row r="8120" spans="1:2">
      <c r="A8120" s="1" t="s">
        <v>8888</v>
      </c>
      <c r="B8120" t="s">
        <v>637</v>
      </c>
    </row>
    <row r="8121" spans="1:2">
      <c r="A8121" s="1" t="s">
        <v>8889</v>
      </c>
      <c r="B8121" t="s">
        <v>637</v>
      </c>
    </row>
    <row r="8122" spans="1:2">
      <c r="A8122" s="1" t="s">
        <v>8890</v>
      </c>
      <c r="B8122" t="s">
        <v>637</v>
      </c>
    </row>
    <row r="8123" spans="1:2">
      <c r="A8123" s="1" t="s">
        <v>8891</v>
      </c>
      <c r="B8123" t="s">
        <v>637</v>
      </c>
    </row>
    <row r="8124" spans="1:2">
      <c r="A8124" s="1" t="s">
        <v>8892</v>
      </c>
      <c r="B8124" t="s">
        <v>637</v>
      </c>
    </row>
    <row r="8125" spans="1:2">
      <c r="A8125" s="1" t="s">
        <v>8893</v>
      </c>
      <c r="B8125" t="s">
        <v>637</v>
      </c>
    </row>
    <row r="8126" spans="1:2">
      <c r="A8126" s="1" t="s">
        <v>8894</v>
      </c>
      <c r="B8126" t="s">
        <v>637</v>
      </c>
    </row>
    <row r="8127" spans="1:2">
      <c r="A8127" s="1" t="s">
        <v>8895</v>
      </c>
      <c r="B8127" t="s">
        <v>637</v>
      </c>
    </row>
    <row r="8128" spans="1:2">
      <c r="A8128" s="1" t="s">
        <v>8896</v>
      </c>
      <c r="B8128" t="s">
        <v>637</v>
      </c>
    </row>
    <row r="8129" spans="1:2">
      <c r="A8129" s="1" t="s">
        <v>8897</v>
      </c>
      <c r="B8129" t="s">
        <v>637</v>
      </c>
    </row>
    <row r="8130" spans="1:2">
      <c r="A8130" s="1" t="s">
        <v>8898</v>
      </c>
      <c r="B8130" t="s">
        <v>637</v>
      </c>
    </row>
    <row r="8131" spans="1:2">
      <c r="A8131" s="1" t="s">
        <v>8899</v>
      </c>
      <c r="B8131" t="s">
        <v>637</v>
      </c>
    </row>
    <row r="8132" spans="1:2">
      <c r="A8132" s="1" t="s">
        <v>8900</v>
      </c>
      <c r="B8132" t="s">
        <v>637</v>
      </c>
    </row>
    <row r="8133" spans="1:2">
      <c r="A8133" s="1" t="s">
        <v>8901</v>
      </c>
      <c r="B8133" t="s">
        <v>637</v>
      </c>
    </row>
    <row r="8134" spans="1:2">
      <c r="A8134" s="1" t="s">
        <v>8902</v>
      </c>
      <c r="B8134" t="s">
        <v>637</v>
      </c>
    </row>
    <row r="8135" spans="1:2">
      <c r="A8135" s="1" t="s">
        <v>8903</v>
      </c>
      <c r="B8135" t="s">
        <v>637</v>
      </c>
    </row>
    <row r="8136" spans="1:2">
      <c r="A8136" s="1" t="s">
        <v>8904</v>
      </c>
      <c r="B8136" t="s">
        <v>637</v>
      </c>
    </row>
    <row r="8137" spans="1:2">
      <c r="A8137" s="1" t="s">
        <v>8905</v>
      </c>
      <c r="B8137" t="s">
        <v>637</v>
      </c>
    </row>
    <row r="8138" spans="1:2">
      <c r="A8138" s="1" t="s">
        <v>8906</v>
      </c>
      <c r="B8138" t="s">
        <v>637</v>
      </c>
    </row>
    <row r="8139" spans="1:2">
      <c r="A8139" s="1" t="s">
        <v>8907</v>
      </c>
      <c r="B8139" t="s">
        <v>637</v>
      </c>
    </row>
    <row r="8140" spans="1:2">
      <c r="A8140" s="1" t="s">
        <v>8908</v>
      </c>
      <c r="B8140" t="s">
        <v>637</v>
      </c>
    </row>
    <row r="8141" spans="1:2">
      <c r="A8141" s="1" t="s">
        <v>8909</v>
      </c>
      <c r="B8141" t="s">
        <v>637</v>
      </c>
    </row>
    <row r="8142" spans="1:2">
      <c r="A8142" s="1" t="s">
        <v>8910</v>
      </c>
      <c r="B8142" t="s">
        <v>637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637</v>
      </c>
    </row>
    <row r="8145" spans="1:2">
      <c r="A8145" s="1" t="s">
        <v>8913</v>
      </c>
      <c r="B8145" t="s">
        <v>637</v>
      </c>
    </row>
    <row r="8146" spans="1:2">
      <c r="A8146" s="1" t="s">
        <v>8914</v>
      </c>
      <c r="B8146" t="s">
        <v>637</v>
      </c>
    </row>
    <row r="8147" spans="1:2">
      <c r="A8147" s="1" t="s">
        <v>8915</v>
      </c>
      <c r="B8147" t="s">
        <v>637</v>
      </c>
    </row>
    <row r="8148" spans="1:2">
      <c r="A8148" s="1" t="s">
        <v>8916</v>
      </c>
      <c r="B8148" t="s">
        <v>637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637</v>
      </c>
    </row>
    <row r="8151" spans="1:2">
      <c r="A8151" s="1" t="s">
        <v>8919</v>
      </c>
      <c r="B8151" t="s">
        <v>637</v>
      </c>
    </row>
    <row r="8152" spans="1:2">
      <c r="A8152" s="1" t="s">
        <v>8920</v>
      </c>
      <c r="B8152" t="s">
        <v>637</v>
      </c>
    </row>
    <row r="8153" spans="1:2">
      <c r="A8153" s="1" t="s">
        <v>8921</v>
      </c>
      <c r="B8153" t="s">
        <v>637</v>
      </c>
    </row>
    <row r="8154" spans="1:2">
      <c r="A8154" s="1" t="s">
        <v>8922</v>
      </c>
      <c r="B8154" t="s">
        <v>637</v>
      </c>
    </row>
    <row r="8155" spans="1:2">
      <c r="A8155" s="1" t="s">
        <v>8923</v>
      </c>
      <c r="B8155" t="s">
        <v>637</v>
      </c>
    </row>
    <row r="8156" spans="1:2">
      <c r="A8156" s="1" t="s">
        <v>8924</v>
      </c>
      <c r="B8156" t="s">
        <v>637</v>
      </c>
    </row>
    <row r="8157" spans="1:2">
      <c r="A8157" s="1" t="s">
        <v>8925</v>
      </c>
      <c r="B8157" t="s">
        <v>637</v>
      </c>
    </row>
    <row r="8158" spans="1:2">
      <c r="A8158" s="1" t="s">
        <v>8926</v>
      </c>
      <c r="B8158" t="s">
        <v>637</v>
      </c>
    </row>
    <row r="8159" spans="1:2">
      <c r="A8159" s="1" t="s">
        <v>8927</v>
      </c>
      <c r="B8159" t="s">
        <v>637</v>
      </c>
    </row>
    <row r="8160" spans="1:2">
      <c r="A8160" s="1" t="s">
        <v>8928</v>
      </c>
      <c r="B8160" t="s">
        <v>637</v>
      </c>
    </row>
    <row r="8161" spans="1:2">
      <c r="A8161" s="1" t="s">
        <v>8929</v>
      </c>
      <c r="B8161" t="s">
        <v>637</v>
      </c>
    </row>
    <row r="8162" spans="1:2">
      <c r="A8162" s="1" t="s">
        <v>8930</v>
      </c>
      <c r="B8162" t="s">
        <v>637</v>
      </c>
    </row>
    <row r="8163" spans="1:2">
      <c r="A8163" s="1" t="s">
        <v>8931</v>
      </c>
      <c r="B8163" t="s">
        <v>637</v>
      </c>
    </row>
    <row r="8164" spans="1:2">
      <c r="A8164" s="1" t="s">
        <v>8932</v>
      </c>
      <c r="B8164" t="s">
        <v>637</v>
      </c>
    </row>
    <row r="8165" spans="1:2">
      <c r="A8165" s="1" t="s">
        <v>8933</v>
      </c>
      <c r="B8165" t="s">
        <v>637</v>
      </c>
    </row>
    <row r="8166" spans="1:2">
      <c r="A8166" s="1" t="s">
        <v>8934</v>
      </c>
      <c r="B8166" t="s">
        <v>637</v>
      </c>
    </row>
    <row r="8167" spans="1:2">
      <c r="A8167" s="1" t="s">
        <v>8935</v>
      </c>
      <c r="B8167" t="s">
        <v>637</v>
      </c>
    </row>
    <row r="8168" spans="1:2">
      <c r="A8168" s="1" t="s">
        <v>8936</v>
      </c>
      <c r="B8168" t="s">
        <v>637</v>
      </c>
    </row>
    <row r="8169" spans="1:2">
      <c r="A8169" s="1" t="s">
        <v>8937</v>
      </c>
      <c r="B8169" t="s">
        <v>637</v>
      </c>
    </row>
    <row r="8170" spans="1:2">
      <c r="A8170" s="1" t="s">
        <v>8938</v>
      </c>
      <c r="B8170" t="s">
        <v>637</v>
      </c>
    </row>
    <row r="8171" spans="1:2">
      <c r="A8171" s="1" t="s">
        <v>8939</v>
      </c>
      <c r="B8171" t="s">
        <v>637</v>
      </c>
    </row>
    <row r="8172" spans="1:2">
      <c r="A8172" s="1" t="s">
        <v>8940</v>
      </c>
      <c r="B8172" t="s">
        <v>637</v>
      </c>
    </row>
    <row r="8173" spans="1:2">
      <c r="A8173" s="1" t="s">
        <v>8941</v>
      </c>
      <c r="B8173" t="s">
        <v>637</v>
      </c>
    </row>
    <row r="8174" spans="1:2">
      <c r="A8174" s="1" t="s">
        <v>8942</v>
      </c>
      <c r="B8174" t="s">
        <v>637</v>
      </c>
    </row>
    <row r="8175" spans="1:2">
      <c r="A8175" s="1" t="s">
        <v>8943</v>
      </c>
      <c r="B8175" t="s">
        <v>637</v>
      </c>
    </row>
    <row r="8176" spans="1:2">
      <c r="A8176" s="1" t="s">
        <v>8944</v>
      </c>
      <c r="B8176" t="s">
        <v>637</v>
      </c>
    </row>
    <row r="8177" spans="1:2">
      <c r="A8177" s="1" t="s">
        <v>8945</v>
      </c>
      <c r="B8177" t="s">
        <v>637</v>
      </c>
    </row>
    <row r="8178" spans="1:2">
      <c r="A8178" s="1" t="s">
        <v>8946</v>
      </c>
      <c r="B8178" t="s">
        <v>637</v>
      </c>
    </row>
    <row r="8179" spans="1:2">
      <c r="A8179" s="1" t="s">
        <v>8947</v>
      </c>
      <c r="B8179" t="s">
        <v>637</v>
      </c>
    </row>
    <row r="8180" spans="1:2">
      <c r="A8180" s="1" t="s">
        <v>8948</v>
      </c>
      <c r="B8180" t="s">
        <v>637</v>
      </c>
    </row>
    <row r="8181" spans="1:2">
      <c r="A8181" s="1" t="s">
        <v>8949</v>
      </c>
      <c r="B8181" t="s">
        <v>637</v>
      </c>
    </row>
    <row r="8182" spans="1:2">
      <c r="A8182" s="1" t="s">
        <v>8950</v>
      </c>
      <c r="B8182" t="s">
        <v>637</v>
      </c>
    </row>
    <row r="8183" spans="1:2">
      <c r="A8183" s="1" t="s">
        <v>8951</v>
      </c>
      <c r="B8183" t="s">
        <v>637</v>
      </c>
    </row>
    <row r="8184" spans="1:2">
      <c r="A8184" s="1" t="s">
        <v>8952</v>
      </c>
      <c r="B8184" t="s">
        <v>637</v>
      </c>
    </row>
    <row r="8185" spans="1:2">
      <c r="A8185" s="1" t="s">
        <v>8953</v>
      </c>
      <c r="B8185" t="s">
        <v>637</v>
      </c>
    </row>
    <row r="8186" spans="1:2">
      <c r="A8186" s="1" t="s">
        <v>8954</v>
      </c>
      <c r="B8186" t="s">
        <v>637</v>
      </c>
    </row>
    <row r="8187" spans="1:2">
      <c r="A8187" s="1" t="s">
        <v>8955</v>
      </c>
      <c r="B8187" t="s">
        <v>637</v>
      </c>
    </row>
    <row r="8188" spans="1:2">
      <c r="A8188" s="1" t="s">
        <v>8956</v>
      </c>
      <c r="B8188" t="s">
        <v>637</v>
      </c>
    </row>
    <row r="8189" spans="1:2">
      <c r="A8189" s="1" t="s">
        <v>8957</v>
      </c>
      <c r="B8189" t="s">
        <v>637</v>
      </c>
    </row>
    <row r="8190" spans="1:2">
      <c r="A8190" s="1" t="s">
        <v>8958</v>
      </c>
      <c r="B8190" t="s">
        <v>637</v>
      </c>
    </row>
    <row r="8191" spans="1:2">
      <c r="A8191" s="1" t="s">
        <v>8959</v>
      </c>
      <c r="B8191" t="s">
        <v>637</v>
      </c>
    </row>
    <row r="8192" spans="1:2">
      <c r="A8192" s="1" t="s">
        <v>8960</v>
      </c>
      <c r="B8192" t="s">
        <v>637</v>
      </c>
    </row>
    <row r="8193" spans="1:2">
      <c r="A8193" s="1" t="s">
        <v>8961</v>
      </c>
      <c r="B8193" t="s">
        <v>637</v>
      </c>
    </row>
    <row r="8194" spans="1:2">
      <c r="A8194" s="1" t="s">
        <v>8962</v>
      </c>
      <c r="B8194" t="s">
        <v>637</v>
      </c>
    </row>
    <row r="8195" spans="1:2">
      <c r="A8195" s="1" t="s">
        <v>8963</v>
      </c>
      <c r="B8195" t="s">
        <v>637</v>
      </c>
    </row>
    <row r="8196" spans="1:2">
      <c r="A8196" s="1" t="s">
        <v>8964</v>
      </c>
      <c r="B8196" t="s">
        <v>637</v>
      </c>
    </row>
    <row r="8197" spans="1:2">
      <c r="A8197" s="1" t="s">
        <v>8965</v>
      </c>
      <c r="B8197" t="s">
        <v>637</v>
      </c>
    </row>
    <row r="8198" spans="1:2">
      <c r="A8198" s="1" t="s">
        <v>8966</v>
      </c>
      <c r="B8198" t="s">
        <v>637</v>
      </c>
    </row>
    <row r="8199" spans="1:2">
      <c r="A8199" s="1" t="s">
        <v>8967</v>
      </c>
      <c r="B8199" t="s">
        <v>637</v>
      </c>
    </row>
    <row r="8200" spans="1:2">
      <c r="A8200" s="1" t="s">
        <v>8968</v>
      </c>
      <c r="B8200" t="s">
        <v>637</v>
      </c>
    </row>
    <row r="8201" spans="1:2">
      <c r="A8201" s="1" t="s">
        <v>8969</v>
      </c>
      <c r="B8201" t="s">
        <v>637</v>
      </c>
    </row>
    <row r="8202" spans="1:2">
      <c r="A8202" s="1" t="s">
        <v>8970</v>
      </c>
      <c r="B8202" t="s">
        <v>637</v>
      </c>
    </row>
    <row r="8203" spans="1:2">
      <c r="A8203" s="1" t="s">
        <v>8971</v>
      </c>
      <c r="B8203" t="s">
        <v>637</v>
      </c>
    </row>
    <row r="8204" spans="1:2">
      <c r="A8204" s="1" t="s">
        <v>8972</v>
      </c>
      <c r="B8204" t="s">
        <v>637</v>
      </c>
    </row>
    <row r="8205" spans="1:2">
      <c r="A8205" s="1" t="s">
        <v>8973</v>
      </c>
      <c r="B8205" t="s">
        <v>637</v>
      </c>
    </row>
    <row r="8206" spans="1:2">
      <c r="A8206" s="1" t="s">
        <v>8974</v>
      </c>
      <c r="B8206" t="s">
        <v>637</v>
      </c>
    </row>
    <row r="8207" spans="1:2">
      <c r="A8207" s="1" t="s">
        <v>8975</v>
      </c>
      <c r="B8207" t="s">
        <v>637</v>
      </c>
    </row>
    <row r="8208" spans="1:2">
      <c r="A8208" s="1" t="s">
        <v>8976</v>
      </c>
      <c r="B8208" t="s">
        <v>637</v>
      </c>
    </row>
    <row r="8209" spans="1:2">
      <c r="A8209" s="1" t="s">
        <v>8977</v>
      </c>
      <c r="B8209" t="s">
        <v>637</v>
      </c>
    </row>
    <row r="8210" spans="1:2">
      <c r="A8210" s="1" t="s">
        <v>8978</v>
      </c>
      <c r="B8210" t="s">
        <v>637</v>
      </c>
    </row>
    <row r="8211" spans="1:2">
      <c r="A8211" s="1" t="s">
        <v>8979</v>
      </c>
      <c r="B8211" t="s">
        <v>637</v>
      </c>
    </row>
    <row r="8212" spans="1:2">
      <c r="A8212" s="1" t="s">
        <v>8980</v>
      </c>
      <c r="B8212" t="s">
        <v>637</v>
      </c>
    </row>
    <row r="8213" spans="1:2">
      <c r="A8213" s="1" t="s">
        <v>8981</v>
      </c>
      <c r="B8213" t="s">
        <v>637</v>
      </c>
    </row>
    <row r="8214" spans="1:2">
      <c r="A8214" s="1" t="s">
        <v>8982</v>
      </c>
      <c r="B8214" t="s">
        <v>637</v>
      </c>
    </row>
    <row r="8215" spans="1:2">
      <c r="A8215" s="1" t="s">
        <v>8983</v>
      </c>
      <c r="B8215" t="s">
        <v>637</v>
      </c>
    </row>
    <row r="8216" spans="1:2">
      <c r="A8216" s="1" t="s">
        <v>8984</v>
      </c>
      <c r="B8216" t="s">
        <v>637</v>
      </c>
    </row>
    <row r="8217" spans="1:2">
      <c r="A8217" s="1" t="s">
        <v>8985</v>
      </c>
      <c r="B8217" t="s">
        <v>637</v>
      </c>
    </row>
    <row r="8218" spans="1:2">
      <c r="A8218" s="1" t="s">
        <v>8986</v>
      </c>
      <c r="B8218" t="s">
        <v>637</v>
      </c>
    </row>
    <row r="8219" spans="1:2">
      <c r="A8219" s="1" t="s">
        <v>8987</v>
      </c>
      <c r="B8219" t="s">
        <v>637</v>
      </c>
    </row>
    <row r="8220" spans="1:2">
      <c r="A8220" s="1" t="s">
        <v>8988</v>
      </c>
      <c r="B8220" t="s">
        <v>637</v>
      </c>
    </row>
    <row r="8221" spans="1:2">
      <c r="A8221" s="1" t="s">
        <v>8989</v>
      </c>
      <c r="B8221" t="s">
        <v>637</v>
      </c>
    </row>
    <row r="8222" spans="1:2">
      <c r="A8222" s="1" t="s">
        <v>8990</v>
      </c>
      <c r="B8222" t="s">
        <v>637</v>
      </c>
    </row>
    <row r="8223" spans="1:2">
      <c r="A8223" s="1" t="s">
        <v>8991</v>
      </c>
      <c r="B8223" t="s">
        <v>637</v>
      </c>
    </row>
    <row r="8224" spans="1:2">
      <c r="A8224" s="1" t="s">
        <v>8992</v>
      </c>
      <c r="B8224" t="s">
        <v>637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637</v>
      </c>
    </row>
    <row r="8227" spans="1:2">
      <c r="A8227" s="1" t="s">
        <v>8995</v>
      </c>
      <c r="B8227" t="s">
        <v>637</v>
      </c>
    </row>
    <row r="8228" spans="1:2">
      <c r="A8228" s="1" t="s">
        <v>8996</v>
      </c>
      <c r="B8228" t="s">
        <v>637</v>
      </c>
    </row>
    <row r="8229" spans="1:2">
      <c r="A8229" s="1" t="s">
        <v>8997</v>
      </c>
      <c r="B8229" t="s">
        <v>637</v>
      </c>
    </row>
    <row r="8230" spans="1:2">
      <c r="A8230" s="1" t="s">
        <v>8998</v>
      </c>
      <c r="B8230" t="s">
        <v>637</v>
      </c>
    </row>
    <row r="8231" spans="1:2">
      <c r="A8231" s="1" t="s">
        <v>8999</v>
      </c>
      <c r="B8231" t="s">
        <v>637</v>
      </c>
    </row>
    <row r="8232" spans="1:2">
      <c r="A8232" s="1" t="s">
        <v>9000</v>
      </c>
      <c r="B8232" t="s">
        <v>637</v>
      </c>
    </row>
    <row r="8233" spans="1:2">
      <c r="A8233" s="1" t="s">
        <v>9001</v>
      </c>
      <c r="B8233" t="s">
        <v>637</v>
      </c>
    </row>
    <row r="8234" spans="1:2">
      <c r="A8234" s="1" t="s">
        <v>9002</v>
      </c>
      <c r="B8234" t="s">
        <v>637</v>
      </c>
    </row>
    <row r="8235" spans="1:2">
      <c r="A8235" s="1" t="s">
        <v>9003</v>
      </c>
      <c r="B8235" t="s">
        <v>637</v>
      </c>
    </row>
    <row r="8236" spans="1:2">
      <c r="A8236" s="1" t="s">
        <v>9004</v>
      </c>
      <c r="B8236" t="s">
        <v>637</v>
      </c>
    </row>
    <row r="8237" spans="1:2">
      <c r="A8237" s="1" t="s">
        <v>9005</v>
      </c>
      <c r="B8237" t="s">
        <v>637</v>
      </c>
    </row>
    <row r="8238" spans="1:2">
      <c r="A8238" s="1" t="s">
        <v>9006</v>
      </c>
      <c r="B8238" t="s">
        <v>637</v>
      </c>
    </row>
    <row r="8239" spans="1:2">
      <c r="A8239" s="1" t="s">
        <v>9007</v>
      </c>
      <c r="B8239" t="s">
        <v>637</v>
      </c>
    </row>
    <row r="8240" spans="1:2">
      <c r="A8240" s="1" t="s">
        <v>9008</v>
      </c>
      <c r="B8240" t="s">
        <v>637</v>
      </c>
    </row>
    <row r="8241" spans="1:2">
      <c r="A8241" s="1" t="s">
        <v>9009</v>
      </c>
      <c r="B8241" t="s">
        <v>637</v>
      </c>
    </row>
    <row r="8242" spans="1:2">
      <c r="A8242" s="1" t="s">
        <v>9010</v>
      </c>
      <c r="B8242" t="s">
        <v>637</v>
      </c>
    </row>
    <row r="8243" spans="1:2">
      <c r="A8243" s="1" t="s">
        <v>9011</v>
      </c>
      <c r="B8243" t="s">
        <v>637</v>
      </c>
    </row>
    <row r="8244" spans="1:2">
      <c r="A8244" s="1" t="s">
        <v>9012</v>
      </c>
      <c r="B8244" t="s">
        <v>637</v>
      </c>
    </row>
    <row r="8245" spans="1:2">
      <c r="A8245" s="1" t="s">
        <v>9013</v>
      </c>
      <c r="B8245" t="s">
        <v>637</v>
      </c>
    </row>
    <row r="8246" spans="1:2">
      <c r="A8246" s="1" t="s">
        <v>9014</v>
      </c>
      <c r="B8246" t="s">
        <v>637</v>
      </c>
    </row>
    <row r="8247" spans="1:2">
      <c r="A8247" s="1" t="s">
        <v>9015</v>
      </c>
      <c r="B8247" t="s">
        <v>637</v>
      </c>
    </row>
    <row r="8248" spans="1:2">
      <c r="A8248" s="1" t="s">
        <v>9016</v>
      </c>
      <c r="B8248" t="s">
        <v>637</v>
      </c>
    </row>
    <row r="8249" spans="1:2">
      <c r="A8249" s="1" t="s">
        <v>9017</v>
      </c>
      <c r="B8249" t="s">
        <v>637</v>
      </c>
    </row>
    <row r="8250" spans="1:2">
      <c r="A8250" s="1" t="s">
        <v>9018</v>
      </c>
      <c r="B8250" t="s">
        <v>637</v>
      </c>
    </row>
    <row r="8251" spans="1:2">
      <c r="A8251" s="1" t="s">
        <v>9019</v>
      </c>
      <c r="B8251" t="s">
        <v>637</v>
      </c>
    </row>
    <row r="8252" spans="1:2">
      <c r="A8252" s="1" t="s">
        <v>9020</v>
      </c>
      <c r="B8252" t="s">
        <v>637</v>
      </c>
    </row>
    <row r="8253" spans="1:2">
      <c r="A8253" s="1" t="s">
        <v>9021</v>
      </c>
      <c r="B8253" t="s">
        <v>637</v>
      </c>
    </row>
    <row r="8254" spans="1:2">
      <c r="A8254" s="1" t="s">
        <v>9022</v>
      </c>
      <c r="B8254" t="s">
        <v>637</v>
      </c>
    </row>
    <row r="8255" spans="1:2">
      <c r="A8255" s="1" t="s">
        <v>9023</v>
      </c>
      <c r="B8255" t="s">
        <v>637</v>
      </c>
    </row>
    <row r="8256" spans="1:2">
      <c r="A8256" s="1" t="s">
        <v>9024</v>
      </c>
      <c r="B8256" t="s">
        <v>637</v>
      </c>
    </row>
    <row r="8257" spans="1:2">
      <c r="A8257" s="1" t="s">
        <v>9025</v>
      </c>
      <c r="B8257" t="s">
        <v>637</v>
      </c>
    </row>
    <row r="8258" spans="1:2">
      <c r="A8258" s="1" t="s">
        <v>9026</v>
      </c>
      <c r="B8258" t="s">
        <v>637</v>
      </c>
    </row>
    <row r="8259" spans="1:2">
      <c r="A8259" s="1" t="s">
        <v>9027</v>
      </c>
      <c r="B8259" t="s">
        <v>637</v>
      </c>
    </row>
    <row r="8260" spans="1:2">
      <c r="A8260" s="1" t="s">
        <v>9028</v>
      </c>
      <c r="B8260" t="s">
        <v>637</v>
      </c>
    </row>
    <row r="8261" spans="1:2">
      <c r="A8261" s="1" t="s">
        <v>9029</v>
      </c>
      <c r="B8261" t="s">
        <v>637</v>
      </c>
    </row>
    <row r="8262" spans="1:2">
      <c r="A8262" s="1" t="s">
        <v>9030</v>
      </c>
      <c r="B8262" t="s">
        <v>637</v>
      </c>
    </row>
    <row r="8263" spans="1:2">
      <c r="A8263" s="1" t="s">
        <v>9031</v>
      </c>
      <c r="B8263" t="s">
        <v>637</v>
      </c>
    </row>
    <row r="8264" spans="1:2">
      <c r="A8264" s="1" t="s">
        <v>9032</v>
      </c>
      <c r="B8264" t="s">
        <v>637</v>
      </c>
    </row>
    <row r="8265" spans="1:2">
      <c r="A8265" s="1" t="s">
        <v>9033</v>
      </c>
      <c r="B8265" t="s">
        <v>637</v>
      </c>
    </row>
    <row r="8266" spans="1:2">
      <c r="A8266" s="1" t="s">
        <v>9034</v>
      </c>
      <c r="B8266" t="s">
        <v>637</v>
      </c>
    </row>
    <row r="8267" spans="1:2">
      <c r="A8267" s="1" t="s">
        <v>9035</v>
      </c>
      <c r="B8267" t="s">
        <v>637</v>
      </c>
    </row>
    <row r="8268" spans="1:2">
      <c r="A8268" s="1" t="s">
        <v>9036</v>
      </c>
      <c r="B8268" t="s">
        <v>637</v>
      </c>
    </row>
    <row r="8269" spans="1:2">
      <c r="A8269" s="1" t="s">
        <v>9037</v>
      </c>
      <c r="B8269" t="s">
        <v>637</v>
      </c>
    </row>
    <row r="8270" spans="1:2">
      <c r="A8270" s="1" t="s">
        <v>9038</v>
      </c>
      <c r="B8270" t="s">
        <v>637</v>
      </c>
    </row>
    <row r="8271" spans="1:2">
      <c r="A8271" s="1" t="s">
        <v>9039</v>
      </c>
      <c r="B8271" t="s">
        <v>637</v>
      </c>
    </row>
    <row r="8272" spans="1:2">
      <c r="A8272" s="1" t="s">
        <v>9040</v>
      </c>
      <c r="B8272" t="s">
        <v>637</v>
      </c>
    </row>
    <row r="8273" spans="1:2">
      <c r="A8273" s="1" t="s">
        <v>9041</v>
      </c>
      <c r="B8273" t="s">
        <v>637</v>
      </c>
    </row>
    <row r="8274" spans="1:2">
      <c r="A8274" s="1" t="s">
        <v>9042</v>
      </c>
      <c r="B8274" t="s">
        <v>637</v>
      </c>
    </row>
    <row r="8275" spans="1:2">
      <c r="A8275" s="1" t="s">
        <v>9043</v>
      </c>
      <c r="B8275" t="s">
        <v>637</v>
      </c>
    </row>
    <row r="8276" spans="1:2">
      <c r="A8276" s="1" t="s">
        <v>9044</v>
      </c>
      <c r="B8276" t="s">
        <v>637</v>
      </c>
    </row>
    <row r="8277" spans="1:2">
      <c r="A8277" s="1" t="s">
        <v>9045</v>
      </c>
      <c r="B8277" t="s">
        <v>637</v>
      </c>
    </row>
    <row r="8278" spans="1:2">
      <c r="A8278" s="1" t="s">
        <v>9046</v>
      </c>
      <c r="B8278" t="s">
        <v>637</v>
      </c>
    </row>
    <row r="8279" spans="1:2">
      <c r="A8279" s="1" t="s">
        <v>9047</v>
      </c>
      <c r="B8279" t="s">
        <v>637</v>
      </c>
    </row>
    <row r="8280" spans="1:2">
      <c r="A8280" s="1" t="s">
        <v>9048</v>
      </c>
      <c r="B8280" t="s">
        <v>637</v>
      </c>
    </row>
    <row r="8281" spans="1:2">
      <c r="A8281" s="1" t="s">
        <v>9049</v>
      </c>
      <c r="B8281" t="s">
        <v>637</v>
      </c>
    </row>
    <row r="8282" spans="1:2">
      <c r="A8282" s="1" t="s">
        <v>9050</v>
      </c>
      <c r="B8282" t="s">
        <v>637</v>
      </c>
    </row>
    <row r="8283" spans="1:2">
      <c r="A8283" s="1" t="s">
        <v>9051</v>
      </c>
      <c r="B8283" t="s">
        <v>637</v>
      </c>
    </row>
    <row r="8284" spans="1:2">
      <c r="A8284" s="1" t="s">
        <v>9052</v>
      </c>
      <c r="B8284" t="s">
        <v>637</v>
      </c>
    </row>
    <row r="8285" spans="1:2">
      <c r="A8285" s="1" t="s">
        <v>9053</v>
      </c>
      <c r="B8285" t="s">
        <v>637</v>
      </c>
    </row>
    <row r="8286" spans="1:2">
      <c r="A8286" s="1" t="s">
        <v>9054</v>
      </c>
      <c r="B8286" t="s">
        <v>637</v>
      </c>
    </row>
    <row r="8287" spans="1:2">
      <c r="A8287" s="1" t="s">
        <v>9055</v>
      </c>
      <c r="B8287" t="s">
        <v>637</v>
      </c>
    </row>
    <row r="8288" spans="1:2">
      <c r="A8288" s="1" t="s">
        <v>9056</v>
      </c>
      <c r="B8288" t="s">
        <v>637</v>
      </c>
    </row>
    <row r="8289" spans="1:2">
      <c r="A8289" s="1" t="s">
        <v>9057</v>
      </c>
      <c r="B8289" t="s">
        <v>637</v>
      </c>
    </row>
    <row r="8290" spans="1:2">
      <c r="A8290" s="1" t="s">
        <v>9058</v>
      </c>
      <c r="B8290" t="s">
        <v>637</v>
      </c>
    </row>
    <row r="8291" spans="1:2">
      <c r="A8291" s="1" t="s">
        <v>9059</v>
      </c>
      <c r="B8291" t="s">
        <v>637</v>
      </c>
    </row>
    <row r="8292" spans="1:2">
      <c r="A8292" s="1" t="s">
        <v>9060</v>
      </c>
      <c r="B8292" t="s">
        <v>637</v>
      </c>
    </row>
    <row r="8293" spans="1:2">
      <c r="A8293" s="1" t="s">
        <v>9061</v>
      </c>
      <c r="B8293" t="s">
        <v>637</v>
      </c>
    </row>
    <row r="8294" spans="1:2">
      <c r="A8294" s="1" t="s">
        <v>9062</v>
      </c>
      <c r="B8294" t="s">
        <v>637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637</v>
      </c>
    </row>
    <row r="8297" spans="1:2">
      <c r="A8297" s="1" t="s">
        <v>9065</v>
      </c>
      <c r="B8297" t="s">
        <v>637</v>
      </c>
    </row>
    <row r="8298" spans="1:2">
      <c r="A8298" s="1" t="s">
        <v>9066</v>
      </c>
      <c r="B8298" t="s">
        <v>637</v>
      </c>
    </row>
    <row r="8299" spans="1:2">
      <c r="A8299" s="1" t="s">
        <v>9067</v>
      </c>
      <c r="B8299" t="s">
        <v>637</v>
      </c>
    </row>
    <row r="8300" spans="1:2">
      <c r="A8300" s="1" t="s">
        <v>9068</v>
      </c>
      <c r="B8300" t="s">
        <v>637</v>
      </c>
    </row>
    <row r="8301" spans="1:2">
      <c r="A8301" s="1" t="s">
        <v>9069</v>
      </c>
      <c r="B8301" t="s">
        <v>637</v>
      </c>
    </row>
    <row r="8302" spans="1:2">
      <c r="A8302" s="1" t="s">
        <v>9070</v>
      </c>
      <c r="B8302" t="s">
        <v>637</v>
      </c>
    </row>
    <row r="8303" spans="1:2">
      <c r="A8303" s="1" t="s">
        <v>9071</v>
      </c>
      <c r="B8303" t="s">
        <v>637</v>
      </c>
    </row>
    <row r="8304" spans="1:2">
      <c r="A8304" s="1" t="s">
        <v>9072</v>
      </c>
      <c r="B8304" t="s">
        <v>637</v>
      </c>
    </row>
    <row r="8305" spans="1:2">
      <c r="A8305" s="1" t="s">
        <v>9073</v>
      </c>
      <c r="B8305" t="s">
        <v>637</v>
      </c>
    </row>
    <row r="8306" spans="1:2">
      <c r="A8306" s="1" t="s">
        <v>9074</v>
      </c>
      <c r="B8306" t="s">
        <v>637</v>
      </c>
    </row>
    <row r="8307" spans="1:2">
      <c r="A8307" s="1" t="s">
        <v>9075</v>
      </c>
      <c r="B8307" t="s">
        <v>637</v>
      </c>
    </row>
    <row r="8308" spans="1:2">
      <c r="A8308" s="1" t="s">
        <v>9076</v>
      </c>
      <c r="B8308" t="s">
        <v>637</v>
      </c>
    </row>
    <row r="8309" spans="1:2">
      <c r="A8309" s="1" t="s">
        <v>9077</v>
      </c>
      <c r="B8309" t="s">
        <v>637</v>
      </c>
    </row>
    <row r="8310" spans="1:2">
      <c r="A8310" s="1" t="s">
        <v>9078</v>
      </c>
      <c r="B8310" t="s">
        <v>637</v>
      </c>
    </row>
    <row r="8311" spans="1:2">
      <c r="A8311" s="1" t="s">
        <v>9079</v>
      </c>
      <c r="B8311" t="s">
        <v>637</v>
      </c>
    </row>
    <row r="8312" spans="1:2">
      <c r="A8312" s="1" t="s">
        <v>9080</v>
      </c>
      <c r="B8312" t="s">
        <v>637</v>
      </c>
    </row>
    <row r="8313" spans="1:2">
      <c r="A8313" s="1" t="s">
        <v>9081</v>
      </c>
      <c r="B8313" t="s">
        <v>637</v>
      </c>
    </row>
    <row r="8314" spans="1:2">
      <c r="A8314" s="1" t="s">
        <v>9082</v>
      </c>
      <c r="B8314" t="s">
        <v>637</v>
      </c>
    </row>
    <row r="8315" spans="1:2">
      <c r="A8315" s="1" t="s">
        <v>9083</v>
      </c>
      <c r="B8315" t="s">
        <v>637</v>
      </c>
    </row>
    <row r="8316" spans="1:2">
      <c r="A8316" s="1" t="s">
        <v>9084</v>
      </c>
      <c r="B8316" t="s">
        <v>637</v>
      </c>
    </row>
    <row r="8317" spans="1:2">
      <c r="A8317" s="1" t="s">
        <v>9085</v>
      </c>
      <c r="B8317" t="s">
        <v>637</v>
      </c>
    </row>
    <row r="8318" spans="1:2">
      <c r="A8318" s="1" t="s">
        <v>9086</v>
      </c>
      <c r="B8318" t="s">
        <v>637</v>
      </c>
    </row>
    <row r="8319" spans="1:2">
      <c r="A8319" s="1" t="s">
        <v>9087</v>
      </c>
      <c r="B8319" t="s">
        <v>637</v>
      </c>
    </row>
    <row r="8320" spans="1:2">
      <c r="A8320" s="1" t="s">
        <v>9088</v>
      </c>
      <c r="B8320" t="s">
        <v>637</v>
      </c>
    </row>
    <row r="8321" spans="1:2">
      <c r="A8321" s="1" t="s">
        <v>9089</v>
      </c>
      <c r="B8321" t="s">
        <v>637</v>
      </c>
    </row>
    <row r="8322" spans="1:2">
      <c r="A8322" s="1" t="s">
        <v>9090</v>
      </c>
      <c r="B8322" t="s">
        <v>637</v>
      </c>
    </row>
    <row r="8323" spans="1:2">
      <c r="A8323" s="1" t="s">
        <v>9091</v>
      </c>
      <c r="B8323" t="s">
        <v>637</v>
      </c>
    </row>
    <row r="8324" spans="1:2">
      <c r="A8324" s="1" t="s">
        <v>9092</v>
      </c>
      <c r="B8324" t="s">
        <v>637</v>
      </c>
    </row>
    <row r="8325" spans="1:2">
      <c r="A8325" s="1" t="s">
        <v>9093</v>
      </c>
      <c r="B8325" t="s">
        <v>637</v>
      </c>
    </row>
    <row r="8326" spans="1:2">
      <c r="A8326" s="1" t="s">
        <v>534</v>
      </c>
      <c r="B8326" t="s">
        <v>637</v>
      </c>
    </row>
    <row r="8327" spans="1:2">
      <c r="A8327" s="1" t="s">
        <v>9094</v>
      </c>
      <c r="B8327" t="s">
        <v>637</v>
      </c>
    </row>
    <row r="8328" spans="1:2">
      <c r="A8328" s="1" t="s">
        <v>9095</v>
      </c>
      <c r="B8328" t="s">
        <v>637</v>
      </c>
    </row>
    <row r="8329" spans="1:2">
      <c r="A8329" s="1" t="s">
        <v>9096</v>
      </c>
      <c r="B8329" t="s">
        <v>637</v>
      </c>
    </row>
    <row r="8330" spans="1:2">
      <c r="A8330" s="1" t="s">
        <v>9097</v>
      </c>
      <c r="B8330" t="s">
        <v>637</v>
      </c>
    </row>
    <row r="8331" spans="1:2">
      <c r="A8331" s="1" t="s">
        <v>9098</v>
      </c>
      <c r="B8331" t="s">
        <v>637</v>
      </c>
    </row>
    <row r="8332" spans="1:2">
      <c r="A8332" s="1" t="s">
        <v>9099</v>
      </c>
      <c r="B8332" t="s">
        <v>637</v>
      </c>
    </row>
    <row r="8333" spans="1:2">
      <c r="A8333" s="1" t="s">
        <v>9100</v>
      </c>
      <c r="B8333" t="s">
        <v>637</v>
      </c>
    </row>
    <row r="8334" spans="1:2">
      <c r="A8334" s="1" t="s">
        <v>9101</v>
      </c>
      <c r="B8334" t="s">
        <v>637</v>
      </c>
    </row>
    <row r="8335" spans="1:2">
      <c r="A8335" s="1" t="s">
        <v>9102</v>
      </c>
      <c r="B8335" t="s">
        <v>637</v>
      </c>
    </row>
    <row r="8336" spans="1:2">
      <c r="A8336" s="1" t="s">
        <v>9103</v>
      </c>
      <c r="B8336" t="s">
        <v>637</v>
      </c>
    </row>
    <row r="8337" spans="1:2">
      <c r="A8337" s="1" t="s">
        <v>9104</v>
      </c>
      <c r="B8337" t="s">
        <v>637</v>
      </c>
    </row>
    <row r="8338" spans="1:2">
      <c r="A8338" s="1" t="s">
        <v>9105</v>
      </c>
      <c r="B8338" t="s">
        <v>637</v>
      </c>
    </row>
    <row r="8339" spans="1:2">
      <c r="A8339" s="1" t="s">
        <v>9106</v>
      </c>
      <c r="B8339" t="s">
        <v>637</v>
      </c>
    </row>
    <row r="8340" spans="1:2">
      <c r="A8340" s="1" t="s">
        <v>9107</v>
      </c>
      <c r="B8340" t="s">
        <v>637</v>
      </c>
    </row>
    <row r="8341" spans="1:2">
      <c r="A8341" s="1" t="s">
        <v>9108</v>
      </c>
      <c r="B8341" t="s">
        <v>637</v>
      </c>
    </row>
    <row r="8342" spans="1:2">
      <c r="A8342" s="1" t="s">
        <v>9109</v>
      </c>
      <c r="B8342" t="s">
        <v>637</v>
      </c>
    </row>
    <row r="8343" spans="1:2">
      <c r="A8343" s="1" t="s">
        <v>9110</v>
      </c>
      <c r="B8343" t="s">
        <v>637</v>
      </c>
    </row>
    <row r="8344" spans="1:2">
      <c r="A8344" s="1" t="s">
        <v>9111</v>
      </c>
      <c r="B8344" t="s">
        <v>637</v>
      </c>
    </row>
    <row r="8345" spans="1:2">
      <c r="A8345" s="1" t="s">
        <v>9112</v>
      </c>
      <c r="B8345" t="s">
        <v>637</v>
      </c>
    </row>
    <row r="8346" spans="1:2">
      <c r="A8346" s="1" t="s">
        <v>9113</v>
      </c>
      <c r="B8346" t="s">
        <v>637</v>
      </c>
    </row>
    <row r="8347" spans="1:2">
      <c r="A8347" s="1" t="s">
        <v>9114</v>
      </c>
      <c r="B8347" t="s">
        <v>637</v>
      </c>
    </row>
    <row r="8348" spans="1:2">
      <c r="A8348" s="1" t="s">
        <v>9115</v>
      </c>
      <c r="B8348" t="s">
        <v>637</v>
      </c>
    </row>
    <row r="8349" spans="1:2">
      <c r="A8349" s="1" t="s">
        <v>9116</v>
      </c>
      <c r="B8349" t="s">
        <v>637</v>
      </c>
    </row>
    <row r="8350" spans="1:2">
      <c r="A8350" s="1" t="s">
        <v>9117</v>
      </c>
      <c r="B8350" t="s">
        <v>637</v>
      </c>
    </row>
    <row r="8351" spans="1:2">
      <c r="A8351" s="1" t="s">
        <v>9118</v>
      </c>
      <c r="B8351" t="s">
        <v>637</v>
      </c>
    </row>
    <row r="8352" spans="1:2">
      <c r="A8352" s="1" t="s">
        <v>9119</v>
      </c>
      <c r="B8352" t="s">
        <v>637</v>
      </c>
    </row>
    <row r="8353" spans="1:2">
      <c r="A8353" s="1" t="s">
        <v>9120</v>
      </c>
      <c r="B8353" t="s">
        <v>637</v>
      </c>
    </row>
    <row r="8354" spans="1:2">
      <c r="A8354" s="1" t="s">
        <v>9121</v>
      </c>
      <c r="B8354" t="s">
        <v>637</v>
      </c>
    </row>
    <row r="8355" spans="1:2">
      <c r="A8355" s="1" t="s">
        <v>9122</v>
      </c>
      <c r="B8355" t="s">
        <v>637</v>
      </c>
    </row>
    <row r="8356" spans="1:2">
      <c r="A8356" s="1" t="s">
        <v>9123</v>
      </c>
      <c r="B8356" t="s">
        <v>637</v>
      </c>
    </row>
    <row r="8357" spans="1:2">
      <c r="A8357" s="1" t="s">
        <v>9124</v>
      </c>
      <c r="B8357" t="s">
        <v>637</v>
      </c>
    </row>
    <row r="8358" spans="1:2">
      <c r="A8358" s="1" t="s">
        <v>9125</v>
      </c>
      <c r="B8358" t="s">
        <v>637</v>
      </c>
    </row>
    <row r="8359" spans="1:2">
      <c r="A8359" s="1" t="s">
        <v>9126</v>
      </c>
      <c r="B8359" t="s">
        <v>637</v>
      </c>
    </row>
    <row r="8360" spans="1:2">
      <c r="A8360" s="1" t="s">
        <v>9127</v>
      </c>
      <c r="B8360" t="s">
        <v>637</v>
      </c>
    </row>
    <row r="8361" spans="1:2">
      <c r="A8361" s="1" t="s">
        <v>9128</v>
      </c>
      <c r="B8361" t="s">
        <v>637</v>
      </c>
    </row>
    <row r="8362" spans="1:2">
      <c r="A8362" s="1" t="s">
        <v>9129</v>
      </c>
      <c r="B8362" t="s">
        <v>637</v>
      </c>
    </row>
    <row r="8363" spans="1:2">
      <c r="A8363" s="1" t="s">
        <v>9130</v>
      </c>
      <c r="B8363" t="s">
        <v>637</v>
      </c>
    </row>
    <row r="8364" spans="1:2">
      <c r="A8364" s="1" t="s">
        <v>9131</v>
      </c>
      <c r="B8364" t="s">
        <v>637</v>
      </c>
    </row>
    <row r="8365" spans="1:2">
      <c r="A8365" s="1" t="s">
        <v>9132</v>
      </c>
      <c r="B8365" t="s">
        <v>637</v>
      </c>
    </row>
    <row r="8366" spans="1:2">
      <c r="A8366" s="1" t="s">
        <v>9133</v>
      </c>
      <c r="B8366" t="s">
        <v>637</v>
      </c>
    </row>
    <row r="8367" spans="1:2">
      <c r="A8367" s="1" t="s">
        <v>9134</v>
      </c>
      <c r="B8367" t="s">
        <v>637</v>
      </c>
    </row>
    <row r="8368" spans="1:2">
      <c r="A8368" s="1" t="s">
        <v>9135</v>
      </c>
      <c r="B8368" t="s">
        <v>637</v>
      </c>
    </row>
    <row r="8369" spans="1:2">
      <c r="A8369" s="1" t="s">
        <v>9136</v>
      </c>
      <c r="B8369" t="s">
        <v>637</v>
      </c>
    </row>
    <row r="8370" spans="1:2">
      <c r="A8370" s="1" t="s">
        <v>9137</v>
      </c>
      <c r="B8370" t="s">
        <v>637</v>
      </c>
    </row>
    <row r="8371" spans="1:2">
      <c r="A8371" s="1" t="s">
        <v>9138</v>
      </c>
      <c r="B8371" t="s">
        <v>637</v>
      </c>
    </row>
    <row r="8372" spans="1:2">
      <c r="A8372" s="1" t="s">
        <v>9139</v>
      </c>
      <c r="B8372" t="s">
        <v>637</v>
      </c>
    </row>
    <row r="8373" spans="1:2">
      <c r="A8373" s="1" t="s">
        <v>9140</v>
      </c>
      <c r="B8373" t="s">
        <v>637</v>
      </c>
    </row>
    <row r="8374" spans="1:2">
      <c r="A8374" s="1" t="s">
        <v>9141</v>
      </c>
      <c r="B8374" t="s">
        <v>637</v>
      </c>
    </row>
    <row r="8375" spans="1:2">
      <c r="A8375" s="1" t="s">
        <v>9142</v>
      </c>
      <c r="B8375" t="s">
        <v>637</v>
      </c>
    </row>
    <row r="8376" spans="1:2">
      <c r="A8376" s="1" t="s">
        <v>9143</v>
      </c>
      <c r="B8376" t="s">
        <v>637</v>
      </c>
    </row>
    <row r="8377" spans="1:2">
      <c r="A8377" s="1" t="s">
        <v>9144</v>
      </c>
      <c r="B8377" t="s">
        <v>637</v>
      </c>
    </row>
    <row r="8378" spans="1:2">
      <c r="A8378" s="1" t="s">
        <v>9145</v>
      </c>
      <c r="B8378" t="s">
        <v>637</v>
      </c>
    </row>
    <row r="8379" spans="1:2">
      <c r="A8379" s="1" t="s">
        <v>9146</v>
      </c>
      <c r="B8379" t="s">
        <v>637</v>
      </c>
    </row>
    <row r="8380" spans="1:2">
      <c r="A8380" s="1" t="s">
        <v>9147</v>
      </c>
      <c r="B8380" t="s">
        <v>637</v>
      </c>
    </row>
    <row r="8381" spans="1:2">
      <c r="A8381" s="1" t="s">
        <v>9148</v>
      </c>
      <c r="B8381" t="s">
        <v>637</v>
      </c>
    </row>
    <row r="8382" spans="1:2">
      <c r="A8382" s="1" t="s">
        <v>9149</v>
      </c>
      <c r="B8382" t="s">
        <v>637</v>
      </c>
    </row>
    <row r="8383" spans="1:2">
      <c r="A8383" s="1" t="s">
        <v>9150</v>
      </c>
      <c r="B8383" t="s">
        <v>637</v>
      </c>
    </row>
    <row r="8384" spans="1:2">
      <c r="A8384" s="1" t="s">
        <v>9151</v>
      </c>
      <c r="B8384" t="s">
        <v>637</v>
      </c>
    </row>
    <row r="8385" spans="1:2">
      <c r="A8385" s="1" t="s">
        <v>9152</v>
      </c>
      <c r="B8385" t="s">
        <v>637</v>
      </c>
    </row>
    <row r="8386" spans="1:2">
      <c r="A8386" s="1" t="s">
        <v>9153</v>
      </c>
      <c r="B8386" t="s">
        <v>637</v>
      </c>
    </row>
    <row r="8387" spans="1:2">
      <c r="A8387" s="1" t="s">
        <v>9154</v>
      </c>
      <c r="B8387" t="s">
        <v>637</v>
      </c>
    </row>
    <row r="8388" spans="1:2">
      <c r="A8388" s="1" t="s">
        <v>9155</v>
      </c>
      <c r="B8388" t="s">
        <v>637</v>
      </c>
    </row>
    <row r="8389" spans="1:2">
      <c r="A8389" s="1" t="s">
        <v>9156</v>
      </c>
      <c r="B8389" t="s">
        <v>637</v>
      </c>
    </row>
    <row r="8390" spans="1:2">
      <c r="A8390" s="1" t="s">
        <v>9157</v>
      </c>
      <c r="B8390" t="s">
        <v>637</v>
      </c>
    </row>
    <row r="8391" spans="1:2">
      <c r="A8391" s="1" t="s">
        <v>9158</v>
      </c>
      <c r="B8391" t="s">
        <v>637</v>
      </c>
    </row>
    <row r="8392" spans="1:2">
      <c r="A8392" s="1" t="s">
        <v>9159</v>
      </c>
      <c r="B8392" t="s">
        <v>637</v>
      </c>
    </row>
    <row r="8393" spans="1:2">
      <c r="A8393" s="1" t="s">
        <v>9160</v>
      </c>
      <c r="B8393" t="s">
        <v>637</v>
      </c>
    </row>
    <row r="8394" spans="1:2">
      <c r="A8394" s="1" t="s">
        <v>9161</v>
      </c>
      <c r="B8394" t="s">
        <v>637</v>
      </c>
    </row>
    <row r="8395" spans="1:2">
      <c r="A8395" s="1" t="s">
        <v>9162</v>
      </c>
      <c r="B8395" t="s">
        <v>637</v>
      </c>
    </row>
    <row r="8396" spans="1:2">
      <c r="A8396" s="1" t="s">
        <v>9163</v>
      </c>
      <c r="B8396" t="s">
        <v>637</v>
      </c>
    </row>
    <row r="8397" spans="1:2">
      <c r="A8397" s="1" t="s">
        <v>9164</v>
      </c>
      <c r="B8397" t="s">
        <v>637</v>
      </c>
    </row>
    <row r="8398" spans="1:2">
      <c r="A8398" s="1" t="s">
        <v>9165</v>
      </c>
      <c r="B8398" t="s">
        <v>637</v>
      </c>
    </row>
    <row r="8399" spans="1:2">
      <c r="A8399" s="1" t="s">
        <v>9166</v>
      </c>
      <c r="B8399" t="s">
        <v>637</v>
      </c>
    </row>
    <row r="8400" spans="1:2">
      <c r="A8400" s="1" t="s">
        <v>9167</v>
      </c>
      <c r="B8400" t="s">
        <v>637</v>
      </c>
    </row>
    <row r="8401" spans="1:2">
      <c r="A8401" s="1" t="s">
        <v>9168</v>
      </c>
      <c r="B8401" t="s">
        <v>637</v>
      </c>
    </row>
    <row r="8402" spans="1:2">
      <c r="A8402" s="1" t="s">
        <v>9169</v>
      </c>
      <c r="B8402" t="s">
        <v>637</v>
      </c>
    </row>
    <row r="8403" spans="1:2">
      <c r="A8403" s="1" t="s">
        <v>9170</v>
      </c>
      <c r="B8403" t="s">
        <v>637</v>
      </c>
    </row>
    <row r="8404" spans="1:2">
      <c r="A8404" s="1" t="s">
        <v>9171</v>
      </c>
      <c r="B8404" t="s">
        <v>637</v>
      </c>
    </row>
    <row r="8405" spans="1:2">
      <c r="A8405" s="1" t="s">
        <v>9172</v>
      </c>
      <c r="B8405" t="s">
        <v>637</v>
      </c>
    </row>
    <row r="8406" spans="1:2">
      <c r="A8406" s="1" t="s">
        <v>9173</v>
      </c>
      <c r="B8406" t="s">
        <v>637</v>
      </c>
    </row>
    <row r="8407" spans="1:2">
      <c r="A8407" s="1" t="s">
        <v>9174</v>
      </c>
      <c r="B8407" t="s">
        <v>637</v>
      </c>
    </row>
    <row r="8408" spans="1:2">
      <c r="A8408" s="1" t="s">
        <v>9175</v>
      </c>
      <c r="B8408" t="s">
        <v>637</v>
      </c>
    </row>
    <row r="8409" spans="1:2">
      <c r="A8409" s="1" t="s">
        <v>9176</v>
      </c>
      <c r="B8409" t="s">
        <v>637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637</v>
      </c>
    </row>
    <row r="8412" spans="1:2">
      <c r="A8412" s="1" t="s">
        <v>9179</v>
      </c>
      <c r="B8412" t="s">
        <v>637</v>
      </c>
    </row>
    <row r="8413" spans="1:2">
      <c r="A8413" s="1" t="s">
        <v>9180</v>
      </c>
      <c r="B8413" t="s">
        <v>637</v>
      </c>
    </row>
    <row r="8414" spans="1:2">
      <c r="A8414" s="1" t="s">
        <v>9181</v>
      </c>
      <c r="B8414" t="s">
        <v>637</v>
      </c>
    </row>
    <row r="8415" spans="1:2">
      <c r="A8415" s="1" t="s">
        <v>9182</v>
      </c>
      <c r="B8415" t="s">
        <v>637</v>
      </c>
    </row>
    <row r="8416" spans="1:2">
      <c r="A8416" s="1" t="s">
        <v>9183</v>
      </c>
      <c r="B8416" t="s">
        <v>637</v>
      </c>
    </row>
    <row r="8417" spans="1:2">
      <c r="A8417" s="1" t="s">
        <v>9184</v>
      </c>
      <c r="B8417" t="s">
        <v>637</v>
      </c>
    </row>
    <row r="8418" spans="1:2">
      <c r="A8418" s="1" t="s">
        <v>9185</v>
      </c>
      <c r="B8418" t="s">
        <v>637</v>
      </c>
    </row>
    <row r="8419" spans="1:2">
      <c r="A8419" s="1" t="s">
        <v>9186</v>
      </c>
      <c r="B8419" t="s">
        <v>637</v>
      </c>
    </row>
    <row r="8420" spans="1:2">
      <c r="A8420" s="1" t="s">
        <v>9187</v>
      </c>
      <c r="B8420" t="s">
        <v>637</v>
      </c>
    </row>
    <row r="8421" spans="1:2">
      <c r="A8421" s="1" t="s">
        <v>9188</v>
      </c>
      <c r="B8421" t="s">
        <v>637</v>
      </c>
    </row>
    <row r="8422" spans="1:2">
      <c r="A8422" s="1" t="s">
        <v>9189</v>
      </c>
      <c r="B8422" t="s">
        <v>637</v>
      </c>
    </row>
    <row r="8423" spans="1:2">
      <c r="A8423" s="1" t="s">
        <v>9190</v>
      </c>
      <c r="B8423" t="s">
        <v>637</v>
      </c>
    </row>
    <row r="8424" spans="1:2">
      <c r="A8424" s="1" t="s">
        <v>9191</v>
      </c>
      <c r="B8424" t="s">
        <v>637</v>
      </c>
    </row>
    <row r="8425" spans="1:2">
      <c r="A8425" s="1" t="s">
        <v>9192</v>
      </c>
      <c r="B8425" t="s">
        <v>637</v>
      </c>
    </row>
    <row r="8426" spans="1:2">
      <c r="A8426" s="1" t="s">
        <v>9193</v>
      </c>
      <c r="B8426" t="s">
        <v>637</v>
      </c>
    </row>
    <row r="8427" spans="1:2">
      <c r="A8427" s="1" t="s">
        <v>9194</v>
      </c>
      <c r="B8427" t="s">
        <v>637</v>
      </c>
    </row>
    <row r="8428" spans="1:2">
      <c r="A8428" s="1" t="s">
        <v>9195</v>
      </c>
      <c r="B8428" t="s">
        <v>637</v>
      </c>
    </row>
    <row r="8429" spans="1:2">
      <c r="A8429" s="1" t="s">
        <v>9196</v>
      </c>
      <c r="B8429" t="s">
        <v>637</v>
      </c>
    </row>
    <row r="8430" spans="1:2">
      <c r="A8430" s="1" t="s">
        <v>9197</v>
      </c>
      <c r="B8430" t="s">
        <v>637</v>
      </c>
    </row>
    <row r="8431" spans="1:2">
      <c r="A8431" s="1" t="s">
        <v>9198</v>
      </c>
      <c r="B8431" t="s">
        <v>637</v>
      </c>
    </row>
    <row r="8432" spans="1:2">
      <c r="A8432" s="1" t="s">
        <v>9199</v>
      </c>
      <c r="B8432" t="s">
        <v>637</v>
      </c>
    </row>
    <row r="8433" spans="1:2">
      <c r="A8433" s="1" t="s">
        <v>9200</v>
      </c>
      <c r="B8433" t="s">
        <v>637</v>
      </c>
    </row>
    <row r="8434" spans="1:2">
      <c r="A8434" s="1" t="s">
        <v>9201</v>
      </c>
      <c r="B8434" t="s">
        <v>637</v>
      </c>
    </row>
    <row r="8435" spans="1:2">
      <c r="A8435" s="1" t="s">
        <v>9202</v>
      </c>
      <c r="B8435" t="s">
        <v>637</v>
      </c>
    </row>
    <row r="8436" spans="1:2">
      <c r="A8436" s="1" t="s">
        <v>9203</v>
      </c>
      <c r="B8436" t="s">
        <v>637</v>
      </c>
    </row>
    <row r="8437" spans="1:2">
      <c r="A8437" s="1" t="s">
        <v>9204</v>
      </c>
      <c r="B8437" t="s">
        <v>637</v>
      </c>
    </row>
    <row r="8438" spans="1:2">
      <c r="A8438" s="1" t="s">
        <v>9205</v>
      </c>
      <c r="B8438" t="s">
        <v>637</v>
      </c>
    </row>
    <row r="8439" spans="1:2">
      <c r="A8439" s="1" t="s">
        <v>9206</v>
      </c>
      <c r="B8439" t="s">
        <v>637</v>
      </c>
    </row>
    <row r="8440" spans="1:2">
      <c r="A8440" s="1" t="s">
        <v>9207</v>
      </c>
      <c r="B8440" t="s">
        <v>637</v>
      </c>
    </row>
    <row r="8441" spans="1:2">
      <c r="A8441" s="1" t="s">
        <v>9208</v>
      </c>
      <c r="B8441" t="s">
        <v>637</v>
      </c>
    </row>
    <row r="8442" spans="1:2">
      <c r="A8442" s="1" t="s">
        <v>9209</v>
      </c>
      <c r="B8442" t="s">
        <v>637</v>
      </c>
    </row>
    <row r="8443" spans="1:2">
      <c r="A8443" s="1" t="s">
        <v>9210</v>
      </c>
      <c r="B8443" t="s">
        <v>637</v>
      </c>
    </row>
    <row r="8444" spans="1:2">
      <c r="A8444" s="1" t="s">
        <v>9211</v>
      </c>
      <c r="B8444" t="s">
        <v>637</v>
      </c>
    </row>
    <row r="8445" spans="1:2">
      <c r="A8445" s="1" t="s">
        <v>9212</v>
      </c>
      <c r="B8445" t="s">
        <v>637</v>
      </c>
    </row>
    <row r="8446" spans="1:2">
      <c r="A8446" s="1" t="s">
        <v>9213</v>
      </c>
      <c r="B8446" t="s">
        <v>637</v>
      </c>
    </row>
    <row r="8447" spans="1:2">
      <c r="A8447" s="1" t="s">
        <v>9214</v>
      </c>
      <c r="B8447" t="s">
        <v>637</v>
      </c>
    </row>
    <row r="8448" spans="1:2">
      <c r="A8448" s="1" t="s">
        <v>9215</v>
      </c>
      <c r="B8448" t="s">
        <v>637</v>
      </c>
    </row>
    <row r="8449" spans="1:2">
      <c r="A8449" s="1" t="s">
        <v>9216</v>
      </c>
      <c r="B8449" t="s">
        <v>637</v>
      </c>
    </row>
    <row r="8450" spans="1:2">
      <c r="A8450" s="1" t="s">
        <v>9217</v>
      </c>
      <c r="B8450" t="s">
        <v>637</v>
      </c>
    </row>
    <row r="8451" spans="1:2">
      <c r="A8451" s="1" t="s">
        <v>9218</v>
      </c>
      <c r="B8451" t="s">
        <v>637</v>
      </c>
    </row>
    <row r="8452" spans="1:2">
      <c r="A8452" s="1" t="s">
        <v>9219</v>
      </c>
      <c r="B8452" t="s">
        <v>637</v>
      </c>
    </row>
    <row r="8453" spans="1:2">
      <c r="A8453" s="1" t="s">
        <v>9220</v>
      </c>
      <c r="B8453" t="s">
        <v>637</v>
      </c>
    </row>
    <row r="8454" spans="1:2">
      <c r="A8454" s="1" t="s">
        <v>9221</v>
      </c>
      <c r="B8454" t="s">
        <v>637</v>
      </c>
    </row>
    <row r="8455" spans="1:2">
      <c r="A8455" s="1" t="s">
        <v>9222</v>
      </c>
      <c r="B8455" t="s">
        <v>637</v>
      </c>
    </row>
    <row r="8456" spans="1:2">
      <c r="A8456" s="1" t="s">
        <v>9223</v>
      </c>
      <c r="B8456" t="s">
        <v>637</v>
      </c>
    </row>
    <row r="8457" spans="1:2">
      <c r="A8457" s="1" t="s">
        <v>9224</v>
      </c>
      <c r="B8457" t="s">
        <v>637</v>
      </c>
    </row>
    <row r="8458" spans="1:2">
      <c r="A8458" s="1" t="s">
        <v>9225</v>
      </c>
      <c r="B8458" t="s">
        <v>637</v>
      </c>
    </row>
    <row r="8459" spans="1:2">
      <c r="A8459" s="1" t="s">
        <v>9226</v>
      </c>
      <c r="B8459" t="s">
        <v>637</v>
      </c>
    </row>
    <row r="8460" spans="1:2">
      <c r="A8460" s="1" t="s">
        <v>9227</v>
      </c>
      <c r="B8460" t="s">
        <v>637</v>
      </c>
    </row>
    <row r="8461" spans="1:2">
      <c r="A8461" s="1" t="s">
        <v>9228</v>
      </c>
      <c r="B8461" t="s">
        <v>637</v>
      </c>
    </row>
    <row r="8462" spans="1:2">
      <c r="A8462" s="1" t="s">
        <v>9229</v>
      </c>
      <c r="B8462" t="s">
        <v>637</v>
      </c>
    </row>
    <row r="8463" spans="1:2">
      <c r="A8463" s="1" t="s">
        <v>9230</v>
      </c>
      <c r="B8463" t="s">
        <v>637</v>
      </c>
    </row>
    <row r="8464" spans="1:2">
      <c r="A8464" s="1" t="s">
        <v>9231</v>
      </c>
      <c r="B8464" t="s">
        <v>637</v>
      </c>
    </row>
    <row r="8465" spans="1:2">
      <c r="A8465" s="1" t="s">
        <v>9232</v>
      </c>
      <c r="B8465" t="s">
        <v>637</v>
      </c>
    </row>
    <row r="8466" spans="1:2">
      <c r="A8466" s="1" t="s">
        <v>9233</v>
      </c>
      <c r="B8466" t="s">
        <v>637</v>
      </c>
    </row>
    <row r="8467" spans="1:2">
      <c r="A8467" s="1" t="s">
        <v>9234</v>
      </c>
      <c r="B8467" t="s">
        <v>637</v>
      </c>
    </row>
    <row r="8468" spans="1:2">
      <c r="A8468" s="1" t="s">
        <v>9235</v>
      </c>
      <c r="B8468" t="s">
        <v>637</v>
      </c>
    </row>
    <row r="8469" spans="1:2">
      <c r="A8469" s="1" t="s">
        <v>9236</v>
      </c>
      <c r="B8469" t="s">
        <v>637</v>
      </c>
    </row>
    <row r="8470" spans="1:2">
      <c r="A8470" s="1" t="s">
        <v>9237</v>
      </c>
      <c r="B8470" t="s">
        <v>637</v>
      </c>
    </row>
    <row r="8471" spans="1:2">
      <c r="A8471" s="1" t="s">
        <v>9238</v>
      </c>
      <c r="B8471" t="s">
        <v>637</v>
      </c>
    </row>
    <row r="8472" spans="1:2">
      <c r="A8472" s="1" t="s">
        <v>9239</v>
      </c>
      <c r="B8472" t="s">
        <v>637</v>
      </c>
    </row>
    <row r="8473" spans="1:2">
      <c r="A8473" s="1" t="s">
        <v>9240</v>
      </c>
      <c r="B8473" t="s">
        <v>637</v>
      </c>
    </row>
    <row r="8474" spans="1:2">
      <c r="A8474" s="1" t="s">
        <v>9241</v>
      </c>
      <c r="B8474" t="s">
        <v>637</v>
      </c>
    </row>
    <row r="8475" spans="1:2">
      <c r="A8475" s="1" t="s">
        <v>9242</v>
      </c>
      <c r="B8475" t="s">
        <v>637</v>
      </c>
    </row>
    <row r="8476" spans="1:2">
      <c r="A8476" s="1" t="s">
        <v>9243</v>
      </c>
      <c r="B8476" t="s">
        <v>637</v>
      </c>
    </row>
    <row r="8477" spans="1:2">
      <c r="A8477" s="1" t="s">
        <v>9244</v>
      </c>
      <c r="B8477" t="s">
        <v>637</v>
      </c>
    </row>
    <row r="8478" spans="1:2">
      <c r="A8478" s="1" t="s">
        <v>9245</v>
      </c>
      <c r="B8478" t="s">
        <v>637</v>
      </c>
    </row>
    <row r="8479" spans="1:2">
      <c r="A8479" s="1" t="s">
        <v>9246</v>
      </c>
      <c r="B8479" t="s">
        <v>637</v>
      </c>
    </row>
    <row r="8480" spans="1:2">
      <c r="A8480" s="1" t="s">
        <v>9247</v>
      </c>
      <c r="B8480" t="s">
        <v>637</v>
      </c>
    </row>
    <row r="8481" spans="1:2">
      <c r="A8481" s="1" t="s">
        <v>9248</v>
      </c>
      <c r="B8481" t="s">
        <v>637</v>
      </c>
    </row>
    <row r="8482" spans="1:2">
      <c r="A8482" s="1" t="s">
        <v>9249</v>
      </c>
      <c r="B8482" t="s">
        <v>637</v>
      </c>
    </row>
    <row r="8483" spans="1:2">
      <c r="A8483" s="1" t="s">
        <v>9250</v>
      </c>
      <c r="B8483" t="s">
        <v>637</v>
      </c>
    </row>
    <row r="8484" spans="1:2">
      <c r="A8484" s="1" t="s">
        <v>9251</v>
      </c>
      <c r="B8484" t="s">
        <v>637</v>
      </c>
    </row>
    <row r="8485" spans="1:2">
      <c r="A8485" s="1" t="s">
        <v>9252</v>
      </c>
      <c r="B8485" t="s">
        <v>637</v>
      </c>
    </row>
    <row r="8486" spans="1:2">
      <c r="A8486" s="1" t="s">
        <v>9253</v>
      </c>
      <c r="B8486" t="s">
        <v>637</v>
      </c>
    </row>
    <row r="8487" spans="1:2">
      <c r="A8487" s="1" t="s">
        <v>9254</v>
      </c>
      <c r="B8487" t="s">
        <v>637</v>
      </c>
    </row>
    <row r="8488" spans="1:2">
      <c r="A8488" s="1" t="s">
        <v>9255</v>
      </c>
      <c r="B8488" t="s">
        <v>637</v>
      </c>
    </row>
    <row r="8489" spans="1:2">
      <c r="A8489" s="1" t="s">
        <v>9256</v>
      </c>
      <c r="B8489" t="s">
        <v>637</v>
      </c>
    </row>
    <row r="8490" spans="1:2">
      <c r="A8490" s="1" t="s">
        <v>9257</v>
      </c>
      <c r="B8490" t="s">
        <v>637</v>
      </c>
    </row>
    <row r="8491" spans="1:2">
      <c r="A8491" s="1" t="s">
        <v>9258</v>
      </c>
      <c r="B8491" t="s">
        <v>637</v>
      </c>
    </row>
    <row r="8492" spans="1:2">
      <c r="A8492" s="1" t="s">
        <v>9259</v>
      </c>
      <c r="B8492" t="s">
        <v>637</v>
      </c>
    </row>
    <row r="8493" spans="1:2">
      <c r="A8493" s="1" t="s">
        <v>9260</v>
      </c>
      <c r="B8493" t="s">
        <v>637</v>
      </c>
    </row>
    <row r="8494" spans="1:2">
      <c r="A8494" s="1" t="s">
        <v>9261</v>
      </c>
      <c r="B8494" t="s">
        <v>637</v>
      </c>
    </row>
    <row r="8495" spans="1:2">
      <c r="A8495" s="1" t="s">
        <v>9262</v>
      </c>
      <c r="B8495" t="s">
        <v>637</v>
      </c>
    </row>
    <row r="8496" spans="1:2">
      <c r="A8496" s="1" t="s">
        <v>9263</v>
      </c>
      <c r="B8496" t="s">
        <v>637</v>
      </c>
    </row>
    <row r="8497" spans="1:2">
      <c r="A8497" s="1" t="s">
        <v>9264</v>
      </c>
      <c r="B8497" t="s">
        <v>637</v>
      </c>
    </row>
    <row r="8498" spans="1:2">
      <c r="A8498" s="1" t="s">
        <v>9265</v>
      </c>
      <c r="B8498" t="s">
        <v>637</v>
      </c>
    </row>
    <row r="8499" spans="1:2">
      <c r="A8499" s="1" t="s">
        <v>9266</v>
      </c>
      <c r="B8499" t="s">
        <v>637</v>
      </c>
    </row>
    <row r="8500" spans="1:2">
      <c r="A8500" s="1" t="s">
        <v>9267</v>
      </c>
      <c r="B8500" t="s">
        <v>637</v>
      </c>
    </row>
    <row r="8501" spans="1:2">
      <c r="A8501" s="1" t="s">
        <v>9268</v>
      </c>
      <c r="B8501" t="s">
        <v>637</v>
      </c>
    </row>
    <row r="8502" spans="1:2">
      <c r="A8502" s="1" t="s">
        <v>9269</v>
      </c>
      <c r="B8502" t="s">
        <v>637</v>
      </c>
    </row>
    <row r="8503" spans="1:2">
      <c r="A8503" s="1" t="s">
        <v>9270</v>
      </c>
      <c r="B8503" t="s">
        <v>637</v>
      </c>
    </row>
    <row r="8504" spans="1:2">
      <c r="A8504" s="1" t="s">
        <v>9271</v>
      </c>
      <c r="B8504" t="s">
        <v>637</v>
      </c>
    </row>
    <row r="8505" spans="1:2">
      <c r="A8505" s="1" t="s">
        <v>9272</v>
      </c>
      <c r="B8505" t="s">
        <v>637</v>
      </c>
    </row>
    <row r="8506" spans="1:2">
      <c r="A8506" s="1" t="s">
        <v>9273</v>
      </c>
      <c r="B8506" t="s">
        <v>637</v>
      </c>
    </row>
    <row r="8507" spans="1:2">
      <c r="A8507" s="1" t="s">
        <v>9274</v>
      </c>
      <c r="B8507" t="s">
        <v>637</v>
      </c>
    </row>
    <row r="8508" spans="1:2">
      <c r="A8508" s="1" t="s">
        <v>9275</v>
      </c>
      <c r="B8508" t="s">
        <v>637</v>
      </c>
    </row>
    <row r="8509" spans="1:2">
      <c r="A8509" s="1" t="s">
        <v>9276</v>
      </c>
      <c r="B8509" t="s">
        <v>637</v>
      </c>
    </row>
    <row r="8510" spans="1:2">
      <c r="A8510" s="1" t="s">
        <v>9277</v>
      </c>
      <c r="B8510" t="s">
        <v>637</v>
      </c>
    </row>
    <row r="8511" spans="1:2">
      <c r="A8511" s="1" t="s">
        <v>9278</v>
      </c>
      <c r="B8511" t="s">
        <v>637</v>
      </c>
    </row>
    <row r="8512" spans="1:2">
      <c r="A8512" s="1" t="s">
        <v>9279</v>
      </c>
      <c r="B8512" t="s">
        <v>637</v>
      </c>
    </row>
    <row r="8513" spans="1:2">
      <c r="A8513" s="1" t="s">
        <v>9280</v>
      </c>
      <c r="B8513" t="s">
        <v>637</v>
      </c>
    </row>
    <row r="8514" spans="1:2">
      <c r="A8514" s="1" t="s">
        <v>9281</v>
      </c>
      <c r="B8514" t="s">
        <v>637</v>
      </c>
    </row>
    <row r="8515" spans="1:2">
      <c r="A8515" s="1" t="s">
        <v>9282</v>
      </c>
      <c r="B8515" t="s">
        <v>637</v>
      </c>
    </row>
    <row r="8516" spans="1:2">
      <c r="A8516" s="1" t="s">
        <v>9283</v>
      </c>
      <c r="B8516" t="s">
        <v>637</v>
      </c>
    </row>
    <row r="8517" spans="1:2">
      <c r="A8517" s="1" t="s">
        <v>9284</v>
      </c>
      <c r="B8517" t="s">
        <v>637</v>
      </c>
    </row>
    <row r="8518" spans="1:2">
      <c r="A8518" s="1" t="s">
        <v>9285</v>
      </c>
      <c r="B8518" t="s">
        <v>637</v>
      </c>
    </row>
    <row r="8519" spans="1:2">
      <c r="A8519" s="1" t="s">
        <v>9286</v>
      </c>
      <c r="B8519" t="s">
        <v>637</v>
      </c>
    </row>
    <row r="8520" spans="1:2">
      <c r="A8520" s="1" t="s">
        <v>9287</v>
      </c>
      <c r="B8520" t="s">
        <v>637</v>
      </c>
    </row>
    <row r="8521" spans="1:2">
      <c r="A8521" s="1" t="s">
        <v>9288</v>
      </c>
      <c r="B8521" t="s">
        <v>637</v>
      </c>
    </row>
    <row r="8522" spans="1:2">
      <c r="A8522" s="1" t="s">
        <v>9289</v>
      </c>
      <c r="B8522" t="s">
        <v>637</v>
      </c>
    </row>
    <row r="8523" spans="1:2">
      <c r="A8523" s="1" t="s">
        <v>9290</v>
      </c>
      <c r="B8523" t="s">
        <v>637</v>
      </c>
    </row>
    <row r="8524" spans="1:2">
      <c r="A8524" s="1" t="s">
        <v>9291</v>
      </c>
      <c r="B8524" t="s">
        <v>637</v>
      </c>
    </row>
    <row r="8525" spans="1:2">
      <c r="A8525" s="1" t="s">
        <v>9292</v>
      </c>
      <c r="B8525" t="s">
        <v>637</v>
      </c>
    </row>
    <row r="8526" spans="1:2">
      <c r="A8526" s="1" t="s">
        <v>9293</v>
      </c>
      <c r="B8526" t="s">
        <v>637</v>
      </c>
    </row>
    <row r="8527" spans="1:2">
      <c r="A8527" s="1" t="s">
        <v>9294</v>
      </c>
      <c r="B8527" t="s">
        <v>637</v>
      </c>
    </row>
    <row r="8528" spans="1:2">
      <c r="A8528" s="1" t="s">
        <v>9295</v>
      </c>
      <c r="B8528" t="s">
        <v>637</v>
      </c>
    </row>
    <row r="8529" spans="1:2">
      <c r="A8529" s="1" t="s">
        <v>9296</v>
      </c>
      <c r="B8529" t="s">
        <v>637</v>
      </c>
    </row>
    <row r="8530" spans="1:2">
      <c r="A8530" s="1" t="s">
        <v>9297</v>
      </c>
      <c r="B8530" t="s">
        <v>637</v>
      </c>
    </row>
    <row r="8531" spans="1:2">
      <c r="A8531" s="1" t="s">
        <v>9298</v>
      </c>
      <c r="B8531" t="s">
        <v>637</v>
      </c>
    </row>
    <row r="8532" spans="1:2">
      <c r="A8532" s="1" t="s">
        <v>9299</v>
      </c>
      <c r="B8532" t="s">
        <v>637</v>
      </c>
    </row>
    <row r="8533" spans="1:2">
      <c r="A8533" s="1" t="s">
        <v>9300</v>
      </c>
      <c r="B8533" t="s">
        <v>637</v>
      </c>
    </row>
    <row r="8534" spans="1:2">
      <c r="A8534" s="1" t="s">
        <v>9301</v>
      </c>
      <c r="B8534" t="s">
        <v>637</v>
      </c>
    </row>
    <row r="8535" spans="1:2">
      <c r="A8535" s="1" t="s">
        <v>9302</v>
      </c>
      <c r="B8535" t="s">
        <v>637</v>
      </c>
    </row>
    <row r="8536" spans="1:2">
      <c r="A8536" s="1" t="s">
        <v>9303</v>
      </c>
      <c r="B8536" t="s">
        <v>637</v>
      </c>
    </row>
    <row r="8537" spans="1:2">
      <c r="A8537" s="1" t="s">
        <v>9304</v>
      </c>
      <c r="B8537" t="s">
        <v>637</v>
      </c>
    </row>
    <row r="8538" spans="1:2">
      <c r="A8538" s="1" t="s">
        <v>9305</v>
      </c>
      <c r="B8538" t="s">
        <v>637</v>
      </c>
    </row>
    <row r="8539" spans="1:2">
      <c r="A8539" s="1" t="s">
        <v>9306</v>
      </c>
      <c r="B8539" t="s">
        <v>637</v>
      </c>
    </row>
    <row r="8540" spans="1:2">
      <c r="A8540" s="1" t="s">
        <v>9307</v>
      </c>
      <c r="B8540" t="s">
        <v>637</v>
      </c>
    </row>
    <row r="8541" spans="1:2">
      <c r="A8541" s="1" t="s">
        <v>9308</v>
      </c>
      <c r="B8541" t="s">
        <v>637</v>
      </c>
    </row>
    <row r="8542" spans="1:2">
      <c r="A8542" s="1" t="s">
        <v>9309</v>
      </c>
      <c r="B8542" t="s">
        <v>637</v>
      </c>
    </row>
    <row r="8543" spans="1:2">
      <c r="A8543" s="1" t="s">
        <v>9310</v>
      </c>
      <c r="B8543" t="s">
        <v>637</v>
      </c>
    </row>
    <row r="8544" spans="1:2">
      <c r="A8544" s="1" t="s">
        <v>9311</v>
      </c>
      <c r="B8544" t="s">
        <v>637</v>
      </c>
    </row>
    <row r="8545" spans="1:2">
      <c r="A8545" s="1" t="s">
        <v>9312</v>
      </c>
      <c r="B8545" t="s">
        <v>637</v>
      </c>
    </row>
    <row r="8546" spans="1:2">
      <c r="A8546" s="1" t="s">
        <v>9313</v>
      </c>
      <c r="B8546" t="s">
        <v>637</v>
      </c>
    </row>
    <row r="8547" spans="1:2">
      <c r="A8547" s="1" t="s">
        <v>9314</v>
      </c>
      <c r="B8547" t="s">
        <v>637</v>
      </c>
    </row>
    <row r="8548" spans="1:2">
      <c r="A8548" s="1" t="s">
        <v>9315</v>
      </c>
      <c r="B8548" t="s">
        <v>637</v>
      </c>
    </row>
    <row r="8549" spans="1:2">
      <c r="A8549" s="1" t="s">
        <v>9316</v>
      </c>
      <c r="B8549" t="s">
        <v>637</v>
      </c>
    </row>
    <row r="8550" spans="1:2">
      <c r="A8550" s="1" t="s">
        <v>9317</v>
      </c>
      <c r="B8550" t="s">
        <v>637</v>
      </c>
    </row>
    <row r="8551" spans="1:2">
      <c r="A8551" s="1" t="s">
        <v>9318</v>
      </c>
      <c r="B8551" t="s">
        <v>637</v>
      </c>
    </row>
    <row r="8552" spans="1:2">
      <c r="A8552" s="1" t="s">
        <v>9319</v>
      </c>
      <c r="B8552" t="s">
        <v>637</v>
      </c>
    </row>
    <row r="8553" spans="1:2">
      <c r="A8553" s="1" t="s">
        <v>9320</v>
      </c>
      <c r="B8553" t="s">
        <v>637</v>
      </c>
    </row>
    <row r="8554" spans="1:2">
      <c r="A8554" s="1" t="s">
        <v>9321</v>
      </c>
      <c r="B8554" t="s">
        <v>637</v>
      </c>
    </row>
    <row r="8555" spans="1:2">
      <c r="A8555" s="1" t="s">
        <v>9322</v>
      </c>
      <c r="B8555" t="s">
        <v>637</v>
      </c>
    </row>
    <row r="8556" spans="1:2">
      <c r="A8556" s="1" t="s">
        <v>9323</v>
      </c>
      <c r="B8556" t="s">
        <v>637</v>
      </c>
    </row>
    <row r="8557" spans="1:2">
      <c r="A8557" s="1" t="s">
        <v>9324</v>
      </c>
      <c r="B8557" t="s">
        <v>637</v>
      </c>
    </row>
    <row r="8558" spans="1:2">
      <c r="A8558" s="1" t="s">
        <v>9325</v>
      </c>
      <c r="B8558" t="s">
        <v>637</v>
      </c>
    </row>
    <row r="8559" spans="1:2">
      <c r="A8559" s="1" t="s">
        <v>9326</v>
      </c>
      <c r="B8559" t="s">
        <v>637</v>
      </c>
    </row>
    <row r="8560" spans="1:2">
      <c r="A8560" s="1" t="s">
        <v>9327</v>
      </c>
      <c r="B8560" t="s">
        <v>637</v>
      </c>
    </row>
    <row r="8561" spans="1:2">
      <c r="A8561" s="1" t="s">
        <v>9328</v>
      </c>
      <c r="B8561" t="s">
        <v>637</v>
      </c>
    </row>
    <row r="8562" spans="1:2">
      <c r="A8562" s="1" t="s">
        <v>9329</v>
      </c>
      <c r="B8562" t="s">
        <v>637</v>
      </c>
    </row>
    <row r="8563" spans="1:2">
      <c r="A8563" s="1" t="s">
        <v>9330</v>
      </c>
      <c r="B8563" t="s">
        <v>637</v>
      </c>
    </row>
    <row r="8564" spans="1:2">
      <c r="A8564" s="1" t="s">
        <v>9331</v>
      </c>
      <c r="B8564" t="s">
        <v>637</v>
      </c>
    </row>
    <row r="8565" spans="1:2">
      <c r="A8565" s="1" t="s">
        <v>9332</v>
      </c>
      <c r="B8565" t="s">
        <v>637</v>
      </c>
    </row>
    <row r="8566" spans="1:2">
      <c r="A8566" s="1" t="s">
        <v>9333</v>
      </c>
      <c r="B8566" t="s">
        <v>637</v>
      </c>
    </row>
    <row r="8567" spans="1:2">
      <c r="A8567" s="1" t="s">
        <v>9334</v>
      </c>
      <c r="B8567" t="s">
        <v>637</v>
      </c>
    </row>
    <row r="8568" spans="1:2">
      <c r="A8568" s="1" t="s">
        <v>9335</v>
      </c>
      <c r="B8568" t="s">
        <v>637</v>
      </c>
    </row>
    <row r="8569" spans="1:2">
      <c r="A8569" s="1" t="s">
        <v>9336</v>
      </c>
      <c r="B8569" t="s">
        <v>637</v>
      </c>
    </row>
    <row r="8570" spans="1:2">
      <c r="A8570" s="1" t="s">
        <v>9337</v>
      </c>
      <c r="B8570" t="s">
        <v>637</v>
      </c>
    </row>
    <row r="8571" spans="1:2">
      <c r="A8571" s="1" t="s">
        <v>9338</v>
      </c>
      <c r="B8571" t="s">
        <v>637</v>
      </c>
    </row>
    <row r="8572" spans="1:2">
      <c r="A8572" s="1" t="s">
        <v>9339</v>
      </c>
      <c r="B8572" t="s">
        <v>637</v>
      </c>
    </row>
    <row r="8573" spans="1:2">
      <c r="A8573" s="1" t="s">
        <v>9340</v>
      </c>
      <c r="B8573" t="s">
        <v>637</v>
      </c>
    </row>
    <row r="8574" spans="1:2">
      <c r="A8574" s="1" t="s">
        <v>9341</v>
      </c>
      <c r="B8574" t="s">
        <v>637</v>
      </c>
    </row>
    <row r="8575" spans="1:2">
      <c r="A8575" s="1" t="s">
        <v>9342</v>
      </c>
      <c r="B8575" t="s">
        <v>637</v>
      </c>
    </row>
    <row r="8576" spans="1:2">
      <c r="A8576" s="1" t="s">
        <v>9343</v>
      </c>
      <c r="B8576" t="s">
        <v>637</v>
      </c>
    </row>
    <row r="8577" spans="1:2">
      <c r="A8577" s="1" t="s">
        <v>9344</v>
      </c>
      <c r="B8577" t="s">
        <v>637</v>
      </c>
    </row>
    <row r="8578" spans="1:2">
      <c r="A8578" s="1" t="s">
        <v>9345</v>
      </c>
      <c r="B8578" t="s">
        <v>637</v>
      </c>
    </row>
    <row r="8579" spans="1:2">
      <c r="A8579" s="1" t="s">
        <v>9346</v>
      </c>
      <c r="B8579" t="s">
        <v>637</v>
      </c>
    </row>
    <row r="8580" spans="1:2">
      <c r="A8580" s="1" t="s">
        <v>9347</v>
      </c>
      <c r="B8580" t="s">
        <v>637</v>
      </c>
    </row>
    <row r="8581" spans="1:2">
      <c r="A8581" s="1" t="s">
        <v>9348</v>
      </c>
      <c r="B8581" t="s">
        <v>637</v>
      </c>
    </row>
    <row r="8582" spans="1:2">
      <c r="A8582" s="1" t="s">
        <v>9349</v>
      </c>
      <c r="B8582" t="s">
        <v>637</v>
      </c>
    </row>
    <row r="8583" spans="1:2">
      <c r="A8583" s="1" t="s">
        <v>9350</v>
      </c>
      <c r="B8583" t="s">
        <v>637</v>
      </c>
    </row>
    <row r="8584" spans="1:2">
      <c r="A8584" s="1" t="s">
        <v>9351</v>
      </c>
      <c r="B8584" t="s">
        <v>637</v>
      </c>
    </row>
    <row r="8585" spans="1:2">
      <c r="A8585" s="1" t="s">
        <v>9352</v>
      </c>
      <c r="B8585" t="s">
        <v>637</v>
      </c>
    </row>
    <row r="8586" spans="1:2">
      <c r="A8586" s="1" t="s">
        <v>9353</v>
      </c>
      <c r="B8586" t="s">
        <v>637</v>
      </c>
    </row>
    <row r="8587" spans="1:2">
      <c r="A8587" s="1" t="s">
        <v>9354</v>
      </c>
      <c r="B8587" t="s">
        <v>637</v>
      </c>
    </row>
    <row r="8588" spans="1:2">
      <c r="A8588" s="1" t="s">
        <v>9355</v>
      </c>
      <c r="B8588" t="s">
        <v>637</v>
      </c>
    </row>
    <row r="8589" spans="1:2">
      <c r="A8589" s="1" t="s">
        <v>9356</v>
      </c>
      <c r="B8589" t="s">
        <v>637</v>
      </c>
    </row>
    <row r="8590" spans="1:2">
      <c r="A8590" s="1" t="s">
        <v>9357</v>
      </c>
      <c r="B8590" t="s">
        <v>637</v>
      </c>
    </row>
    <row r="8591" spans="1:2">
      <c r="A8591" s="1" t="s">
        <v>9358</v>
      </c>
      <c r="B8591" t="s">
        <v>637</v>
      </c>
    </row>
    <row r="8592" spans="1:2">
      <c r="A8592" s="1" t="s">
        <v>9359</v>
      </c>
      <c r="B8592" t="s">
        <v>637</v>
      </c>
    </row>
    <row r="8593" spans="1:2">
      <c r="A8593" s="1" t="s">
        <v>9360</v>
      </c>
      <c r="B8593" t="s">
        <v>637</v>
      </c>
    </row>
    <row r="8594" spans="1:2">
      <c r="A8594" s="1" t="s">
        <v>9361</v>
      </c>
      <c r="B8594" t="s">
        <v>637</v>
      </c>
    </row>
    <row r="8595" spans="1:2">
      <c r="A8595" s="1" t="s">
        <v>9362</v>
      </c>
      <c r="B8595" t="s">
        <v>637</v>
      </c>
    </row>
    <row r="8596" spans="1:2">
      <c r="A8596" s="1" t="s">
        <v>9363</v>
      </c>
      <c r="B8596" t="s">
        <v>637</v>
      </c>
    </row>
    <row r="8597" spans="1:2">
      <c r="A8597" s="1" t="s">
        <v>9364</v>
      </c>
      <c r="B8597" t="s">
        <v>637</v>
      </c>
    </row>
    <row r="8598" spans="1:2">
      <c r="A8598" s="1" t="s">
        <v>9365</v>
      </c>
      <c r="B8598" t="s">
        <v>637</v>
      </c>
    </row>
    <row r="8599" spans="1:2">
      <c r="A8599" s="1" t="s">
        <v>9366</v>
      </c>
      <c r="B8599" t="s">
        <v>637</v>
      </c>
    </row>
    <row r="8600" spans="1:2">
      <c r="A8600" s="1" t="s">
        <v>9367</v>
      </c>
      <c r="B8600" t="s">
        <v>637</v>
      </c>
    </row>
    <row r="8601" spans="1:2">
      <c r="A8601" s="1" t="s">
        <v>9368</v>
      </c>
      <c r="B8601" t="s">
        <v>637</v>
      </c>
    </row>
    <row r="8602" spans="1:2">
      <c r="A8602" s="1" t="s">
        <v>9369</v>
      </c>
      <c r="B8602" t="s">
        <v>637</v>
      </c>
    </row>
    <row r="8603" spans="1:2">
      <c r="A8603" s="1" t="s">
        <v>9370</v>
      </c>
      <c r="B8603" t="s">
        <v>637</v>
      </c>
    </row>
    <row r="8604" spans="1:2">
      <c r="A8604" s="1" t="s">
        <v>9371</v>
      </c>
      <c r="B8604" t="s">
        <v>637</v>
      </c>
    </row>
    <row r="8605" spans="1:2">
      <c r="A8605" s="1" t="s">
        <v>9372</v>
      </c>
      <c r="B8605" t="s">
        <v>637</v>
      </c>
    </row>
    <row r="8606" spans="1:2">
      <c r="A8606" s="1" t="s">
        <v>9373</v>
      </c>
      <c r="B8606" t="s">
        <v>637</v>
      </c>
    </row>
    <row r="8607" spans="1:2">
      <c r="A8607" s="1" t="s">
        <v>9374</v>
      </c>
      <c r="B8607" t="s">
        <v>637</v>
      </c>
    </row>
    <row r="8608" spans="1:2">
      <c r="A8608" s="1" t="s">
        <v>9375</v>
      </c>
      <c r="B8608" t="s">
        <v>637</v>
      </c>
    </row>
    <row r="8609" spans="1:2">
      <c r="A8609" s="1" t="s">
        <v>9376</v>
      </c>
      <c r="B8609" t="s">
        <v>637</v>
      </c>
    </row>
    <row r="8610" spans="1:2">
      <c r="A8610" s="1" t="s">
        <v>9377</v>
      </c>
      <c r="B8610" t="s">
        <v>637</v>
      </c>
    </row>
    <row r="8611" spans="1:2">
      <c r="A8611" s="1" t="s">
        <v>9378</v>
      </c>
      <c r="B8611" t="s">
        <v>637</v>
      </c>
    </row>
    <row r="8612" spans="1:2">
      <c r="A8612" s="1" t="s">
        <v>9379</v>
      </c>
      <c r="B8612" t="s">
        <v>637</v>
      </c>
    </row>
    <row r="8613" spans="1:2">
      <c r="A8613" s="1" t="s">
        <v>9380</v>
      </c>
      <c r="B8613" t="s">
        <v>637</v>
      </c>
    </row>
    <row r="8614" spans="1:2">
      <c r="A8614" s="1" t="s">
        <v>9381</v>
      </c>
      <c r="B8614" t="s">
        <v>637</v>
      </c>
    </row>
    <row r="8615" spans="1:2">
      <c r="A8615" s="1" t="s">
        <v>9382</v>
      </c>
      <c r="B8615" t="s">
        <v>637</v>
      </c>
    </row>
    <row r="8616" spans="1:2">
      <c r="A8616" s="1" t="s">
        <v>9383</v>
      </c>
      <c r="B8616" t="s">
        <v>637</v>
      </c>
    </row>
    <row r="8617" spans="1:2">
      <c r="A8617" s="1" t="s">
        <v>9384</v>
      </c>
      <c r="B8617" t="s">
        <v>637</v>
      </c>
    </row>
    <row r="8618" spans="1:2">
      <c r="A8618" s="1" t="s">
        <v>9385</v>
      </c>
      <c r="B8618" t="s">
        <v>637</v>
      </c>
    </row>
    <row r="8619" spans="1:2">
      <c r="A8619" s="1" t="s">
        <v>9386</v>
      </c>
      <c r="B8619" t="s">
        <v>637</v>
      </c>
    </row>
    <row r="8620" spans="1:2">
      <c r="A8620" s="1" t="s">
        <v>9387</v>
      </c>
      <c r="B8620" t="s">
        <v>637</v>
      </c>
    </row>
    <row r="8621" spans="1:2">
      <c r="A8621" s="1" t="s">
        <v>9388</v>
      </c>
      <c r="B8621" t="s">
        <v>637</v>
      </c>
    </row>
    <row r="8622" spans="1:2">
      <c r="A8622" s="1" t="s">
        <v>9389</v>
      </c>
      <c r="B8622" t="s">
        <v>637</v>
      </c>
    </row>
    <row r="8623" spans="1:2">
      <c r="A8623" s="1" t="s">
        <v>9390</v>
      </c>
      <c r="B8623" t="s">
        <v>637</v>
      </c>
    </row>
    <row r="8624" spans="1:2">
      <c r="A8624" s="1" t="s">
        <v>9391</v>
      </c>
      <c r="B8624" t="s">
        <v>637</v>
      </c>
    </row>
    <row r="8625" spans="1:2">
      <c r="A8625" s="1" t="s">
        <v>9392</v>
      </c>
      <c r="B8625" t="s">
        <v>637</v>
      </c>
    </row>
    <row r="8626" spans="1:2">
      <c r="A8626" s="1" t="s">
        <v>9393</v>
      </c>
      <c r="B8626" t="s">
        <v>637</v>
      </c>
    </row>
    <row r="8627" spans="1:2">
      <c r="A8627" s="1" t="s">
        <v>9394</v>
      </c>
      <c r="B8627" t="s">
        <v>637</v>
      </c>
    </row>
    <row r="8628" spans="1:2">
      <c r="A8628" s="1" t="s">
        <v>9395</v>
      </c>
      <c r="B8628" t="s">
        <v>637</v>
      </c>
    </row>
    <row r="8629" spans="1:2">
      <c r="A8629" s="1" t="s">
        <v>9396</v>
      </c>
      <c r="B8629" t="s">
        <v>637</v>
      </c>
    </row>
    <row r="8630" spans="1:2">
      <c r="A8630" s="1" t="s">
        <v>9397</v>
      </c>
      <c r="B8630" t="s">
        <v>637</v>
      </c>
    </row>
    <row r="8631" spans="1:2">
      <c r="A8631" s="1" t="s">
        <v>9398</v>
      </c>
      <c r="B8631" t="s">
        <v>637</v>
      </c>
    </row>
    <row r="8632" spans="1:2">
      <c r="A8632" s="1" t="s">
        <v>9399</v>
      </c>
      <c r="B8632" t="s">
        <v>637</v>
      </c>
    </row>
    <row r="8633" spans="1:2">
      <c r="A8633" s="1" t="s">
        <v>9400</v>
      </c>
      <c r="B8633" t="s">
        <v>637</v>
      </c>
    </row>
    <row r="8634" spans="1:2">
      <c r="A8634" s="1" t="s">
        <v>9401</v>
      </c>
      <c r="B8634" t="s">
        <v>637</v>
      </c>
    </row>
    <row r="8635" spans="1:2">
      <c r="A8635" s="1" t="s">
        <v>9402</v>
      </c>
      <c r="B8635" t="s">
        <v>637</v>
      </c>
    </row>
    <row r="8636" spans="1:2">
      <c r="A8636" s="1" t="s">
        <v>9403</v>
      </c>
      <c r="B8636" t="s">
        <v>637</v>
      </c>
    </row>
    <row r="8637" spans="1:2">
      <c r="A8637" s="1" t="s">
        <v>9404</v>
      </c>
      <c r="B8637" t="s">
        <v>637</v>
      </c>
    </row>
    <row r="8638" spans="1:2">
      <c r="A8638" s="1" t="s">
        <v>9405</v>
      </c>
      <c r="B8638" t="s">
        <v>637</v>
      </c>
    </row>
    <row r="8639" spans="1:2">
      <c r="A8639" s="1" t="s">
        <v>9406</v>
      </c>
      <c r="B8639" t="s">
        <v>637</v>
      </c>
    </row>
    <row r="8640" spans="1:2">
      <c r="A8640" s="1" t="s">
        <v>9407</v>
      </c>
      <c r="B8640" t="s">
        <v>637</v>
      </c>
    </row>
    <row r="8641" spans="1:2">
      <c r="A8641" s="1" t="s">
        <v>9408</v>
      </c>
      <c r="B8641" t="s">
        <v>637</v>
      </c>
    </row>
    <row r="8642" spans="1:2">
      <c r="A8642" s="1" t="s">
        <v>9409</v>
      </c>
      <c r="B8642" t="s">
        <v>637</v>
      </c>
    </row>
    <row r="8643" spans="1:2">
      <c r="A8643" s="1" t="s">
        <v>9410</v>
      </c>
      <c r="B8643" t="s">
        <v>637</v>
      </c>
    </row>
    <row r="8644" spans="1:2">
      <c r="A8644" s="1" t="s">
        <v>9411</v>
      </c>
      <c r="B8644" t="s">
        <v>637</v>
      </c>
    </row>
    <row r="8645" spans="1:2">
      <c r="A8645" s="1" t="s">
        <v>9412</v>
      </c>
      <c r="B8645" t="s">
        <v>637</v>
      </c>
    </row>
    <row r="8646" spans="1:2">
      <c r="A8646" s="1" t="s">
        <v>9413</v>
      </c>
      <c r="B8646" t="s">
        <v>637</v>
      </c>
    </row>
    <row r="8647" spans="1:2">
      <c r="A8647" s="1" t="s">
        <v>9414</v>
      </c>
      <c r="B8647" t="s">
        <v>637</v>
      </c>
    </row>
    <row r="8648" spans="1:2">
      <c r="A8648" s="1" t="s">
        <v>9415</v>
      </c>
      <c r="B8648" t="s">
        <v>637</v>
      </c>
    </row>
    <row r="8649" spans="1:2">
      <c r="A8649" s="1" t="s">
        <v>9416</v>
      </c>
      <c r="B8649" t="s">
        <v>637</v>
      </c>
    </row>
    <row r="8650" spans="1:2">
      <c r="A8650" s="1" t="s">
        <v>9417</v>
      </c>
      <c r="B8650" t="s">
        <v>637</v>
      </c>
    </row>
    <row r="8651" spans="1:2">
      <c r="A8651" s="1" t="s">
        <v>9418</v>
      </c>
      <c r="B8651" t="s">
        <v>637</v>
      </c>
    </row>
    <row r="8652" spans="1:2">
      <c r="A8652" s="1" t="s">
        <v>9419</v>
      </c>
      <c r="B8652" t="s">
        <v>637</v>
      </c>
    </row>
    <row r="8653" spans="1:2">
      <c r="A8653" s="1" t="s">
        <v>9420</v>
      </c>
      <c r="B8653" t="s">
        <v>637</v>
      </c>
    </row>
    <row r="8654" spans="1:2">
      <c r="A8654" s="1" t="s">
        <v>9421</v>
      </c>
      <c r="B8654" t="s">
        <v>637</v>
      </c>
    </row>
    <row r="8655" spans="1:2">
      <c r="A8655" s="1" t="s">
        <v>9422</v>
      </c>
      <c r="B8655" t="s">
        <v>637</v>
      </c>
    </row>
    <row r="8656" spans="1:2">
      <c r="A8656" s="1" t="s">
        <v>9423</v>
      </c>
      <c r="B8656" t="s">
        <v>637</v>
      </c>
    </row>
    <row r="8657" spans="1:2">
      <c r="A8657" s="1" t="s">
        <v>9424</v>
      </c>
      <c r="B8657" t="s">
        <v>637</v>
      </c>
    </row>
    <row r="8658" spans="1:2">
      <c r="A8658" s="1" t="s">
        <v>9425</v>
      </c>
      <c r="B8658" t="s">
        <v>637</v>
      </c>
    </row>
    <row r="8659" spans="1:2">
      <c r="A8659" s="1" t="s">
        <v>9426</v>
      </c>
      <c r="B8659" t="s">
        <v>637</v>
      </c>
    </row>
    <row r="8660" spans="1:2">
      <c r="A8660" s="1" t="s">
        <v>9427</v>
      </c>
      <c r="B8660" t="s">
        <v>637</v>
      </c>
    </row>
    <row r="8661" spans="1:2">
      <c r="A8661" s="1" t="s">
        <v>9428</v>
      </c>
      <c r="B8661" t="s">
        <v>637</v>
      </c>
    </row>
    <row r="8662" spans="1:2">
      <c r="A8662" s="1" t="s">
        <v>9429</v>
      </c>
      <c r="B8662" t="s">
        <v>637</v>
      </c>
    </row>
    <row r="8663" spans="1:2">
      <c r="A8663" s="1" t="s">
        <v>9430</v>
      </c>
      <c r="B8663" t="s">
        <v>637</v>
      </c>
    </row>
    <row r="8664" spans="1:2">
      <c r="A8664" s="1" t="s">
        <v>9431</v>
      </c>
      <c r="B8664" t="s">
        <v>637</v>
      </c>
    </row>
    <row r="8665" spans="1:2">
      <c r="A8665" s="1" t="s">
        <v>9432</v>
      </c>
      <c r="B8665" t="s">
        <v>637</v>
      </c>
    </row>
    <row r="8666" spans="1:2">
      <c r="A8666" s="1" t="s">
        <v>9433</v>
      </c>
      <c r="B8666" t="s">
        <v>637</v>
      </c>
    </row>
    <row r="8667" spans="1:2">
      <c r="A8667" s="1" t="s">
        <v>9434</v>
      </c>
      <c r="B8667" t="s">
        <v>637</v>
      </c>
    </row>
    <row r="8668" spans="1:2">
      <c r="A8668" s="1" t="s">
        <v>9435</v>
      </c>
      <c r="B8668" t="s">
        <v>637</v>
      </c>
    </row>
    <row r="8669" spans="1:2">
      <c r="A8669" s="1" t="s">
        <v>9436</v>
      </c>
      <c r="B8669" t="s">
        <v>637</v>
      </c>
    </row>
    <row r="8670" spans="1:2">
      <c r="A8670" s="1" t="s">
        <v>9437</v>
      </c>
      <c r="B8670" t="s">
        <v>637</v>
      </c>
    </row>
    <row r="8671" spans="1:2">
      <c r="A8671" s="1" t="s">
        <v>9438</v>
      </c>
      <c r="B8671" t="s">
        <v>637</v>
      </c>
    </row>
    <row r="8672" spans="1:2">
      <c r="A8672" s="1" t="s">
        <v>9439</v>
      </c>
      <c r="B8672" t="s">
        <v>637</v>
      </c>
    </row>
    <row r="8673" spans="1:2">
      <c r="A8673" s="1" t="s">
        <v>9440</v>
      </c>
      <c r="B8673" t="s">
        <v>637</v>
      </c>
    </row>
    <row r="8674" spans="1:2">
      <c r="A8674" s="1" t="s">
        <v>9441</v>
      </c>
      <c r="B8674" t="s">
        <v>637</v>
      </c>
    </row>
    <row r="8675" spans="1:2">
      <c r="A8675" s="1" t="s">
        <v>9442</v>
      </c>
      <c r="B8675" t="s">
        <v>637</v>
      </c>
    </row>
    <row r="8676" spans="1:2">
      <c r="A8676" s="1" t="s">
        <v>9443</v>
      </c>
      <c r="B8676" t="s">
        <v>637</v>
      </c>
    </row>
    <row r="8677" spans="1:2">
      <c r="A8677" s="1" t="s">
        <v>9444</v>
      </c>
      <c r="B8677" t="s">
        <v>637</v>
      </c>
    </row>
    <row r="8678" spans="1:2">
      <c r="A8678" s="1" t="s">
        <v>9445</v>
      </c>
      <c r="B8678" t="s">
        <v>637</v>
      </c>
    </row>
    <row r="8679" spans="1:2">
      <c r="A8679" s="1" t="s">
        <v>9446</v>
      </c>
      <c r="B8679" t="s">
        <v>637</v>
      </c>
    </row>
    <row r="8680" spans="1:2">
      <c r="A8680" s="1" t="s">
        <v>9447</v>
      </c>
      <c r="B8680" t="s">
        <v>637</v>
      </c>
    </row>
    <row r="8681" spans="1:2">
      <c r="A8681" s="1" t="s">
        <v>9448</v>
      </c>
      <c r="B8681" t="s">
        <v>637</v>
      </c>
    </row>
    <row r="8682" spans="1:2">
      <c r="A8682" s="1" t="s">
        <v>9449</v>
      </c>
      <c r="B8682" t="s">
        <v>637</v>
      </c>
    </row>
    <row r="8683" spans="1:2">
      <c r="A8683" s="1" t="s">
        <v>9450</v>
      </c>
      <c r="B8683" t="s">
        <v>637</v>
      </c>
    </row>
    <row r="8684" spans="1:2">
      <c r="A8684" s="1" t="s">
        <v>9451</v>
      </c>
      <c r="B8684" t="s">
        <v>637</v>
      </c>
    </row>
    <row r="8685" spans="1:2">
      <c r="A8685" s="1" t="s">
        <v>9452</v>
      </c>
      <c r="B8685" t="s">
        <v>637</v>
      </c>
    </row>
    <row r="8686" spans="1:2">
      <c r="A8686" s="1" t="s">
        <v>9453</v>
      </c>
      <c r="B8686" t="s">
        <v>637</v>
      </c>
    </row>
    <row r="8687" spans="1:2">
      <c r="A8687" s="1" t="s">
        <v>9454</v>
      </c>
      <c r="B8687" t="s">
        <v>637</v>
      </c>
    </row>
    <row r="8688" spans="1:2">
      <c r="A8688" s="1" t="s">
        <v>9455</v>
      </c>
      <c r="B8688" t="s">
        <v>637</v>
      </c>
    </row>
    <row r="8689" spans="1:2">
      <c r="A8689" s="1" t="s">
        <v>9456</v>
      </c>
      <c r="B8689" t="s">
        <v>637</v>
      </c>
    </row>
    <row r="8690" spans="1:2">
      <c r="A8690" s="1" t="s">
        <v>9457</v>
      </c>
      <c r="B8690" t="s">
        <v>637</v>
      </c>
    </row>
    <row r="8691" spans="1:2">
      <c r="A8691" s="1" t="s">
        <v>9458</v>
      </c>
      <c r="B8691" t="s">
        <v>637</v>
      </c>
    </row>
    <row r="8692" spans="1:2">
      <c r="A8692" s="1" t="s">
        <v>9459</v>
      </c>
      <c r="B8692" t="s">
        <v>637</v>
      </c>
    </row>
    <row r="8693" spans="1:2">
      <c r="A8693" s="1" t="s">
        <v>9460</v>
      </c>
      <c r="B8693" t="s">
        <v>637</v>
      </c>
    </row>
    <row r="8694" spans="1:2">
      <c r="A8694" s="1" t="s">
        <v>9461</v>
      </c>
      <c r="B8694" t="s">
        <v>637</v>
      </c>
    </row>
    <row r="8695" spans="1:2">
      <c r="A8695" s="1" t="s">
        <v>9462</v>
      </c>
      <c r="B8695" t="s">
        <v>637</v>
      </c>
    </row>
    <row r="8696" spans="1:2">
      <c r="A8696" s="1" t="s">
        <v>9463</v>
      </c>
      <c r="B8696" t="s">
        <v>637</v>
      </c>
    </row>
    <row r="8697" spans="1:2">
      <c r="A8697" s="1" t="s">
        <v>9464</v>
      </c>
      <c r="B8697" t="s">
        <v>637</v>
      </c>
    </row>
    <row r="8698" spans="1:2">
      <c r="A8698" s="1" t="s">
        <v>9465</v>
      </c>
      <c r="B8698" t="s">
        <v>637</v>
      </c>
    </row>
    <row r="8699" spans="1:2">
      <c r="A8699" s="1" t="s">
        <v>9466</v>
      </c>
      <c r="B8699" t="s">
        <v>637</v>
      </c>
    </row>
    <row r="8700" spans="1:2">
      <c r="A8700" s="1" t="s">
        <v>9467</v>
      </c>
      <c r="B8700" t="s">
        <v>637</v>
      </c>
    </row>
    <row r="8701" spans="1:2">
      <c r="A8701" s="1" t="s">
        <v>9468</v>
      </c>
      <c r="B8701" t="s">
        <v>637</v>
      </c>
    </row>
    <row r="8702" spans="1:2">
      <c r="A8702" s="1" t="s">
        <v>9469</v>
      </c>
      <c r="B8702" t="s">
        <v>637</v>
      </c>
    </row>
    <row r="8703" spans="1:2">
      <c r="A8703" s="1" t="s">
        <v>9470</v>
      </c>
      <c r="B8703" t="s">
        <v>637</v>
      </c>
    </row>
    <row r="8704" spans="1:2">
      <c r="A8704" s="1" t="s">
        <v>9471</v>
      </c>
      <c r="B8704" t="s">
        <v>637</v>
      </c>
    </row>
    <row r="8705" spans="1:2">
      <c r="A8705" s="1" t="s">
        <v>9472</v>
      </c>
      <c r="B8705" t="s">
        <v>637</v>
      </c>
    </row>
    <row r="8706" spans="1:2">
      <c r="A8706" s="1" t="s">
        <v>9473</v>
      </c>
      <c r="B8706" t="s">
        <v>637</v>
      </c>
    </row>
    <row r="8707" spans="1:2">
      <c r="A8707" s="1" t="s">
        <v>9474</v>
      </c>
      <c r="B8707" t="s">
        <v>637</v>
      </c>
    </row>
    <row r="8708" spans="1:2">
      <c r="A8708" s="1" t="s">
        <v>9475</v>
      </c>
      <c r="B8708" t="s">
        <v>637</v>
      </c>
    </row>
    <row r="8709" spans="1:2">
      <c r="A8709" s="1" t="s">
        <v>9476</v>
      </c>
      <c r="B8709" t="s">
        <v>637</v>
      </c>
    </row>
    <row r="8710" spans="1:2">
      <c r="A8710" s="1" t="s">
        <v>9477</v>
      </c>
      <c r="B8710" t="s">
        <v>637</v>
      </c>
    </row>
    <row r="8711" spans="1:2">
      <c r="A8711" s="1" t="s">
        <v>9478</v>
      </c>
      <c r="B8711" t="s">
        <v>637</v>
      </c>
    </row>
    <row r="8712" spans="1:2">
      <c r="A8712" s="1" t="s">
        <v>9479</v>
      </c>
      <c r="B8712" t="s">
        <v>637</v>
      </c>
    </row>
    <row r="8713" spans="1:2">
      <c r="A8713" s="1" t="s">
        <v>9480</v>
      </c>
      <c r="B8713" t="s">
        <v>637</v>
      </c>
    </row>
    <row r="8714" spans="1:2">
      <c r="A8714" s="1" t="s">
        <v>9481</v>
      </c>
      <c r="B8714" t="s">
        <v>637</v>
      </c>
    </row>
    <row r="8715" spans="1:2">
      <c r="A8715" s="1" t="s">
        <v>9482</v>
      </c>
      <c r="B8715" t="s">
        <v>637</v>
      </c>
    </row>
    <row r="8716" spans="1:2">
      <c r="A8716" s="1" t="s">
        <v>9483</v>
      </c>
      <c r="B8716" t="s">
        <v>637</v>
      </c>
    </row>
    <row r="8717" spans="1:2">
      <c r="A8717" s="1" t="s">
        <v>9484</v>
      </c>
      <c r="B8717" t="s">
        <v>637</v>
      </c>
    </row>
    <row r="8718" spans="1:2">
      <c r="A8718" s="1" t="s">
        <v>9485</v>
      </c>
      <c r="B8718" t="s">
        <v>637</v>
      </c>
    </row>
    <row r="8719" spans="1:2">
      <c r="A8719" s="1" t="s">
        <v>9486</v>
      </c>
      <c r="B8719" t="s">
        <v>637</v>
      </c>
    </row>
    <row r="8720" spans="1:2">
      <c r="A8720" s="1" t="s">
        <v>9487</v>
      </c>
      <c r="B8720" t="s">
        <v>637</v>
      </c>
    </row>
    <row r="8721" spans="1:2">
      <c r="A8721" s="1" t="s">
        <v>9488</v>
      </c>
      <c r="B8721" t="s">
        <v>637</v>
      </c>
    </row>
    <row r="8722" spans="1:2">
      <c r="A8722" s="1" t="s">
        <v>9489</v>
      </c>
      <c r="B8722" t="s">
        <v>637</v>
      </c>
    </row>
    <row r="8723" spans="1:2">
      <c r="A8723" s="1" t="s">
        <v>9490</v>
      </c>
      <c r="B8723" t="s">
        <v>637</v>
      </c>
    </row>
    <row r="8724" spans="1:2">
      <c r="A8724" s="1" t="s">
        <v>9491</v>
      </c>
      <c r="B8724" t="s">
        <v>637</v>
      </c>
    </row>
    <row r="8725" spans="1:2">
      <c r="A8725" s="1" t="s">
        <v>9492</v>
      </c>
      <c r="B8725" t="s">
        <v>637</v>
      </c>
    </row>
    <row r="8726" spans="1:2">
      <c r="A8726" s="1" t="s">
        <v>9493</v>
      </c>
      <c r="B8726" t="s">
        <v>637</v>
      </c>
    </row>
    <row r="8727" spans="1:2">
      <c r="A8727" s="1" t="s">
        <v>151</v>
      </c>
      <c r="B8727" t="s">
        <v>637</v>
      </c>
    </row>
    <row r="8728" spans="1:2">
      <c r="A8728" s="1" t="s">
        <v>9494</v>
      </c>
      <c r="B8728" t="s">
        <v>637</v>
      </c>
    </row>
    <row r="8729" spans="1:2">
      <c r="A8729" s="1" t="s">
        <v>9495</v>
      </c>
      <c r="B8729" t="s">
        <v>637</v>
      </c>
    </row>
    <row r="8730" spans="1:2">
      <c r="A8730" s="1" t="s">
        <v>9496</v>
      </c>
      <c r="B8730" t="s">
        <v>637</v>
      </c>
    </row>
    <row r="8731" spans="1:2">
      <c r="A8731" s="1" t="s">
        <v>9497</v>
      </c>
      <c r="B8731" t="s">
        <v>637</v>
      </c>
    </row>
    <row r="8732" spans="1:2">
      <c r="A8732" s="1" t="s">
        <v>9498</v>
      </c>
      <c r="B8732" t="s">
        <v>637</v>
      </c>
    </row>
    <row r="8733" spans="1:2">
      <c r="A8733" s="1" t="s">
        <v>9499</v>
      </c>
      <c r="B8733" t="s">
        <v>637</v>
      </c>
    </row>
    <row r="8734" spans="1:2">
      <c r="A8734" s="1" t="s">
        <v>9500</v>
      </c>
      <c r="B8734" t="s">
        <v>637</v>
      </c>
    </row>
    <row r="8735" spans="1:2">
      <c r="A8735" s="1" t="s">
        <v>9501</v>
      </c>
      <c r="B8735" t="s">
        <v>637</v>
      </c>
    </row>
    <row r="8736" spans="1:2">
      <c r="A8736" s="1" t="s">
        <v>9502</v>
      </c>
      <c r="B8736" t="s">
        <v>637</v>
      </c>
    </row>
    <row r="8737" spans="1:2">
      <c r="A8737" s="1" t="s">
        <v>9503</v>
      </c>
      <c r="B8737" t="s">
        <v>637</v>
      </c>
    </row>
    <row r="8738" spans="1:2">
      <c r="A8738" s="1" t="s">
        <v>9504</v>
      </c>
      <c r="B8738" t="s">
        <v>637</v>
      </c>
    </row>
    <row r="8739" spans="1:2">
      <c r="A8739" s="1" t="s">
        <v>9505</v>
      </c>
      <c r="B8739" t="s">
        <v>637</v>
      </c>
    </row>
    <row r="8740" spans="1:2">
      <c r="A8740" s="1" t="s">
        <v>9506</v>
      </c>
      <c r="B8740" t="s">
        <v>637</v>
      </c>
    </row>
    <row r="8741" spans="1:2">
      <c r="A8741" s="1" t="s">
        <v>9507</v>
      </c>
      <c r="B8741" t="s">
        <v>637</v>
      </c>
    </row>
    <row r="8742" spans="1:2">
      <c r="A8742" s="1" t="s">
        <v>9508</v>
      </c>
      <c r="B8742" t="s">
        <v>637</v>
      </c>
    </row>
    <row r="8743" spans="1:2">
      <c r="A8743" s="1" t="s">
        <v>9509</v>
      </c>
      <c r="B8743" t="s">
        <v>637</v>
      </c>
    </row>
    <row r="8744" spans="1:2">
      <c r="A8744" s="1" t="s">
        <v>9510</v>
      </c>
      <c r="B8744" t="s">
        <v>637</v>
      </c>
    </row>
    <row r="8745" spans="1:2">
      <c r="A8745" s="1" t="s">
        <v>9511</v>
      </c>
      <c r="B8745" t="s">
        <v>637</v>
      </c>
    </row>
    <row r="8746" spans="1:2">
      <c r="A8746" s="1" t="s">
        <v>9512</v>
      </c>
      <c r="B8746" t="s">
        <v>637</v>
      </c>
    </row>
    <row r="8747" spans="1:2">
      <c r="A8747" s="1" t="s">
        <v>9513</v>
      </c>
      <c r="B8747" t="s">
        <v>637</v>
      </c>
    </row>
    <row r="8748" spans="1:2">
      <c r="A8748" s="1" t="s">
        <v>9514</v>
      </c>
      <c r="B8748" t="s">
        <v>637</v>
      </c>
    </row>
    <row r="8749" spans="1:2">
      <c r="A8749" s="1" t="s">
        <v>9515</v>
      </c>
      <c r="B8749" t="s">
        <v>637</v>
      </c>
    </row>
    <row r="8750" spans="1:2">
      <c r="A8750" s="1" t="s">
        <v>9516</v>
      </c>
      <c r="B8750" t="s">
        <v>637</v>
      </c>
    </row>
    <row r="8751" spans="1:2">
      <c r="A8751" s="1" t="s">
        <v>9517</v>
      </c>
      <c r="B8751" t="s">
        <v>637</v>
      </c>
    </row>
    <row r="8752" spans="1:2">
      <c r="A8752" s="1" t="s">
        <v>9518</v>
      </c>
      <c r="B8752" t="s">
        <v>637</v>
      </c>
    </row>
    <row r="8753" spans="1:2">
      <c r="A8753" s="1" t="s">
        <v>9519</v>
      </c>
      <c r="B8753" t="s">
        <v>637</v>
      </c>
    </row>
    <row r="8754" spans="1:2">
      <c r="A8754" s="1" t="s">
        <v>9520</v>
      </c>
      <c r="B8754" t="s">
        <v>637</v>
      </c>
    </row>
    <row r="8755" spans="1:2">
      <c r="A8755" s="1" t="s">
        <v>9521</v>
      </c>
      <c r="B8755" t="s">
        <v>637</v>
      </c>
    </row>
    <row r="8756" spans="1:2">
      <c r="A8756" s="1" t="s">
        <v>9522</v>
      </c>
      <c r="B8756" t="s">
        <v>637</v>
      </c>
    </row>
    <row r="8757" spans="1:2">
      <c r="A8757" s="1" t="s">
        <v>9523</v>
      </c>
      <c r="B8757" t="s">
        <v>637</v>
      </c>
    </row>
    <row r="8758" spans="1:2">
      <c r="A8758" s="1" t="s">
        <v>9524</v>
      </c>
      <c r="B8758" t="s">
        <v>637</v>
      </c>
    </row>
    <row r="8759" spans="1:2">
      <c r="A8759" s="1" t="s">
        <v>9525</v>
      </c>
      <c r="B8759" t="s">
        <v>637</v>
      </c>
    </row>
    <row r="8760" spans="1:2">
      <c r="A8760" s="1" t="s">
        <v>9526</v>
      </c>
      <c r="B8760" t="s">
        <v>637</v>
      </c>
    </row>
    <row r="8761" spans="1:2">
      <c r="A8761" s="1" t="s">
        <v>9527</v>
      </c>
      <c r="B8761" t="s">
        <v>637</v>
      </c>
    </row>
    <row r="8762" spans="1:2">
      <c r="A8762" s="1" t="s">
        <v>9528</v>
      </c>
      <c r="B8762" t="s">
        <v>637</v>
      </c>
    </row>
    <row r="8763" spans="1:2">
      <c r="A8763" s="1" t="s">
        <v>9529</v>
      </c>
      <c r="B8763" t="s">
        <v>637</v>
      </c>
    </row>
    <row r="8764" spans="1:2">
      <c r="A8764" s="1" t="s">
        <v>9530</v>
      </c>
      <c r="B8764" t="s">
        <v>637</v>
      </c>
    </row>
    <row r="8765" spans="1:2">
      <c r="A8765" s="1" t="s">
        <v>9531</v>
      </c>
      <c r="B8765" t="s">
        <v>637</v>
      </c>
    </row>
    <row r="8766" spans="1:2">
      <c r="A8766" s="1" t="s">
        <v>9532</v>
      </c>
      <c r="B8766" t="s">
        <v>637</v>
      </c>
    </row>
    <row r="8767" spans="1:2">
      <c r="A8767" s="1" t="s">
        <v>9533</v>
      </c>
      <c r="B8767" t="s">
        <v>637</v>
      </c>
    </row>
    <row r="8768" spans="1:2">
      <c r="A8768" s="1" t="s">
        <v>9534</v>
      </c>
      <c r="B8768" t="s">
        <v>637</v>
      </c>
    </row>
    <row r="8769" spans="1:2">
      <c r="A8769" s="1" t="s">
        <v>9535</v>
      </c>
      <c r="B8769" t="s">
        <v>637</v>
      </c>
    </row>
    <row r="8770" spans="1:2">
      <c r="A8770" s="1" t="s">
        <v>9536</v>
      </c>
      <c r="B8770" t="s">
        <v>637</v>
      </c>
    </row>
    <row r="8771" spans="1:2">
      <c r="A8771" s="1" t="s">
        <v>9537</v>
      </c>
      <c r="B8771" t="s">
        <v>637</v>
      </c>
    </row>
    <row r="8772" spans="1:2">
      <c r="A8772" s="1" t="s">
        <v>9538</v>
      </c>
      <c r="B8772" t="s">
        <v>637</v>
      </c>
    </row>
    <row r="8773" spans="1:2">
      <c r="A8773" s="1" t="s">
        <v>9539</v>
      </c>
      <c r="B8773" t="s">
        <v>637</v>
      </c>
    </row>
    <row r="8774" spans="1:2">
      <c r="A8774" s="1" t="s">
        <v>9540</v>
      </c>
      <c r="B8774" t="s">
        <v>637</v>
      </c>
    </row>
    <row r="8775" spans="1:2">
      <c r="A8775" s="1" t="s">
        <v>9541</v>
      </c>
      <c r="B8775" t="s">
        <v>637</v>
      </c>
    </row>
    <row r="8776" spans="1:2">
      <c r="A8776" s="1" t="s">
        <v>9542</v>
      </c>
      <c r="B8776" t="s">
        <v>637</v>
      </c>
    </row>
    <row r="8777" spans="1:2">
      <c r="A8777" s="1" t="s">
        <v>9543</v>
      </c>
      <c r="B8777" t="s">
        <v>637</v>
      </c>
    </row>
    <row r="8778" spans="1:2">
      <c r="A8778" s="1" t="s">
        <v>9544</v>
      </c>
      <c r="B8778" t="s">
        <v>637</v>
      </c>
    </row>
    <row r="8779" spans="1:2">
      <c r="A8779" s="1" t="s">
        <v>9545</v>
      </c>
      <c r="B8779" t="s">
        <v>637</v>
      </c>
    </row>
    <row r="8780" spans="1:2">
      <c r="A8780" s="1" t="s">
        <v>9546</v>
      </c>
      <c r="B8780" t="s">
        <v>637</v>
      </c>
    </row>
    <row r="8781" spans="1:2">
      <c r="A8781" s="1" t="s">
        <v>9547</v>
      </c>
      <c r="B8781" t="s">
        <v>637</v>
      </c>
    </row>
    <row r="8782" spans="1:2">
      <c r="A8782" s="1" t="s">
        <v>9548</v>
      </c>
      <c r="B8782" t="s">
        <v>637</v>
      </c>
    </row>
    <row r="8783" spans="1:2">
      <c r="A8783" s="1" t="s">
        <v>9549</v>
      </c>
      <c r="B8783" t="s">
        <v>637</v>
      </c>
    </row>
    <row r="8784" spans="1:2">
      <c r="A8784" s="1" t="s">
        <v>9550</v>
      </c>
      <c r="B8784" t="s">
        <v>637</v>
      </c>
    </row>
    <row r="8785" spans="1:2">
      <c r="A8785" s="1" t="s">
        <v>9551</v>
      </c>
      <c r="B8785" t="s">
        <v>637</v>
      </c>
    </row>
    <row r="8786" spans="1:2">
      <c r="A8786" s="1" t="s">
        <v>9552</v>
      </c>
      <c r="B8786" t="s">
        <v>637</v>
      </c>
    </row>
    <row r="8787" spans="1:2">
      <c r="A8787" s="1" t="s">
        <v>9553</v>
      </c>
      <c r="B8787" t="s">
        <v>637</v>
      </c>
    </row>
    <row r="8788" spans="1:2">
      <c r="A8788" s="1" t="s">
        <v>9554</v>
      </c>
      <c r="B8788" t="s">
        <v>637</v>
      </c>
    </row>
    <row r="8789" spans="1:2">
      <c r="A8789" s="1" t="s">
        <v>9555</v>
      </c>
      <c r="B8789" t="s">
        <v>637</v>
      </c>
    </row>
    <row r="8790" spans="1:2">
      <c r="A8790" s="1" t="s">
        <v>9556</v>
      </c>
      <c r="B8790" t="s">
        <v>637</v>
      </c>
    </row>
    <row r="8791" spans="1:2">
      <c r="A8791" s="1" t="s">
        <v>9557</v>
      </c>
      <c r="B8791" t="s">
        <v>637</v>
      </c>
    </row>
    <row r="8792" spans="1:2">
      <c r="A8792" s="1" t="s">
        <v>9558</v>
      </c>
      <c r="B8792" t="s">
        <v>637</v>
      </c>
    </row>
    <row r="8793" spans="1:2">
      <c r="A8793" s="1" t="s">
        <v>9559</v>
      </c>
      <c r="B8793" t="s">
        <v>637</v>
      </c>
    </row>
    <row r="8794" spans="1:2">
      <c r="A8794" s="1" t="s">
        <v>9560</v>
      </c>
      <c r="B8794" t="s">
        <v>637</v>
      </c>
    </row>
    <row r="8795" spans="1:2">
      <c r="A8795" s="1" t="s">
        <v>9561</v>
      </c>
      <c r="B8795" t="s">
        <v>637</v>
      </c>
    </row>
    <row r="8796" spans="1:2">
      <c r="A8796" s="1" t="s">
        <v>9562</v>
      </c>
      <c r="B8796" t="s">
        <v>637</v>
      </c>
    </row>
    <row r="8797" spans="1:2">
      <c r="A8797" s="1" t="s">
        <v>9563</v>
      </c>
      <c r="B8797" t="s">
        <v>637</v>
      </c>
    </row>
    <row r="8798" spans="1:2">
      <c r="A8798" s="1" t="s">
        <v>9564</v>
      </c>
      <c r="B8798" t="s">
        <v>637</v>
      </c>
    </row>
    <row r="8799" spans="1:2">
      <c r="A8799" s="1" t="s">
        <v>9565</v>
      </c>
      <c r="B8799" t="s">
        <v>637</v>
      </c>
    </row>
    <row r="8800" spans="1:2">
      <c r="A8800" s="1" t="s">
        <v>9566</v>
      </c>
      <c r="B8800" t="s">
        <v>637</v>
      </c>
    </row>
    <row r="8801" spans="1:2">
      <c r="A8801" s="1" t="s">
        <v>9567</v>
      </c>
      <c r="B8801" t="s">
        <v>637</v>
      </c>
    </row>
    <row r="8802" spans="1:2">
      <c r="A8802" s="1" t="s">
        <v>9568</v>
      </c>
      <c r="B8802" t="s">
        <v>637</v>
      </c>
    </row>
    <row r="8803" spans="1:2">
      <c r="A8803" s="1" t="s">
        <v>9569</v>
      </c>
      <c r="B8803" t="s">
        <v>637</v>
      </c>
    </row>
    <row r="8804" spans="1:2">
      <c r="A8804" s="1" t="s">
        <v>9570</v>
      </c>
      <c r="B8804" t="s">
        <v>637</v>
      </c>
    </row>
    <row r="8805" spans="1:2">
      <c r="A8805" s="1" t="s">
        <v>9571</v>
      </c>
      <c r="B8805" t="s">
        <v>637</v>
      </c>
    </row>
    <row r="8806" spans="1:2">
      <c r="A8806" s="1" t="s">
        <v>9572</v>
      </c>
      <c r="B8806" t="s">
        <v>637</v>
      </c>
    </row>
    <row r="8807" spans="1:2">
      <c r="A8807" s="1" t="s">
        <v>9573</v>
      </c>
      <c r="B8807" t="s">
        <v>637</v>
      </c>
    </row>
    <row r="8808" spans="1:2">
      <c r="A8808" s="1" t="s">
        <v>9574</v>
      </c>
      <c r="B8808" t="s">
        <v>637</v>
      </c>
    </row>
    <row r="8809" spans="1:2">
      <c r="A8809" s="1" t="s">
        <v>9575</v>
      </c>
      <c r="B8809" t="s">
        <v>637</v>
      </c>
    </row>
    <row r="8810" spans="1:2">
      <c r="A8810" s="1" t="s">
        <v>9576</v>
      </c>
      <c r="B8810" t="s">
        <v>637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637</v>
      </c>
    </row>
    <row r="8813" spans="1:2">
      <c r="A8813" s="1" t="s">
        <v>9579</v>
      </c>
      <c r="B8813" t="s">
        <v>637</v>
      </c>
    </row>
    <row r="8814" spans="1:2">
      <c r="A8814" s="1" t="s">
        <v>9580</v>
      </c>
      <c r="B8814" t="s">
        <v>637</v>
      </c>
    </row>
    <row r="8815" spans="1:2">
      <c r="A8815" s="1" t="s">
        <v>9581</v>
      </c>
      <c r="B8815" t="s">
        <v>637</v>
      </c>
    </row>
    <row r="8816" spans="1:2">
      <c r="A8816" s="1" t="s">
        <v>9582</v>
      </c>
      <c r="B8816" t="s">
        <v>637</v>
      </c>
    </row>
    <row r="8817" spans="1:2">
      <c r="A8817" s="1" t="s">
        <v>9583</v>
      </c>
      <c r="B8817" t="s">
        <v>637</v>
      </c>
    </row>
    <row r="8818" spans="1:2">
      <c r="A8818" s="1" t="s">
        <v>9584</v>
      </c>
      <c r="B8818" t="s">
        <v>637</v>
      </c>
    </row>
    <row r="8819" spans="1:2">
      <c r="A8819" s="1" t="s">
        <v>9585</v>
      </c>
      <c r="B8819" t="s">
        <v>637</v>
      </c>
    </row>
    <row r="8820" spans="1:2">
      <c r="A8820" s="1" t="s">
        <v>9586</v>
      </c>
      <c r="B8820" t="s">
        <v>637</v>
      </c>
    </row>
    <row r="8821" spans="1:2">
      <c r="A8821" s="1" t="s">
        <v>9587</v>
      </c>
      <c r="B8821" t="s">
        <v>637</v>
      </c>
    </row>
    <row r="8822" spans="1:2">
      <c r="A8822" s="1" t="s">
        <v>9588</v>
      </c>
      <c r="B8822" t="s">
        <v>637</v>
      </c>
    </row>
    <row r="8823" spans="1:2">
      <c r="A8823" s="1" t="s">
        <v>9589</v>
      </c>
      <c r="B8823" t="s">
        <v>637</v>
      </c>
    </row>
    <row r="8824" spans="1:2">
      <c r="A8824" s="1" t="s">
        <v>9590</v>
      </c>
      <c r="B8824" t="s">
        <v>637</v>
      </c>
    </row>
    <row r="8825" spans="1:2">
      <c r="A8825" s="1" t="s">
        <v>9591</v>
      </c>
      <c r="B8825" t="s">
        <v>637</v>
      </c>
    </row>
    <row r="8826" spans="1:2">
      <c r="A8826" s="1" t="s">
        <v>9592</v>
      </c>
      <c r="B8826" t="s">
        <v>637</v>
      </c>
    </row>
    <row r="8827" spans="1:2">
      <c r="A8827" s="1" t="s">
        <v>9593</v>
      </c>
      <c r="B8827" t="s">
        <v>637</v>
      </c>
    </row>
    <row r="8828" spans="1:2">
      <c r="A8828" s="1" t="s">
        <v>9594</v>
      </c>
      <c r="B8828" t="s">
        <v>637</v>
      </c>
    </row>
    <row r="8829" spans="1:2">
      <c r="A8829" s="1" t="s">
        <v>9595</v>
      </c>
      <c r="B8829" t="s">
        <v>637</v>
      </c>
    </row>
    <row r="8830" spans="1:2">
      <c r="A8830" s="1" t="s">
        <v>9596</v>
      </c>
      <c r="B8830" t="s">
        <v>637</v>
      </c>
    </row>
    <row r="8831" spans="1:2">
      <c r="A8831" s="1" t="s">
        <v>9597</v>
      </c>
      <c r="B8831" t="s">
        <v>637</v>
      </c>
    </row>
    <row r="8832" spans="1:2">
      <c r="A8832" s="1" t="s">
        <v>9598</v>
      </c>
      <c r="B8832" t="s">
        <v>637</v>
      </c>
    </row>
    <row r="8833" spans="1:2">
      <c r="A8833" s="1" t="s">
        <v>9599</v>
      </c>
      <c r="B8833" t="s">
        <v>637</v>
      </c>
    </row>
    <row r="8834" spans="1:2">
      <c r="A8834" s="1" t="s">
        <v>9600</v>
      </c>
      <c r="B8834" t="s">
        <v>637</v>
      </c>
    </row>
    <row r="8835" spans="1:2">
      <c r="A8835" s="1" t="s">
        <v>9601</v>
      </c>
      <c r="B8835" t="s">
        <v>637</v>
      </c>
    </row>
    <row r="8836" spans="1:2">
      <c r="A8836" s="1" t="s">
        <v>9602</v>
      </c>
      <c r="B8836" t="s">
        <v>637</v>
      </c>
    </row>
    <row r="8837" spans="1:2">
      <c r="A8837" s="1" t="s">
        <v>9603</v>
      </c>
      <c r="B8837" t="s">
        <v>637</v>
      </c>
    </row>
    <row r="8838" spans="1:2">
      <c r="A8838" s="1" t="s">
        <v>9604</v>
      </c>
      <c r="B8838" t="s">
        <v>637</v>
      </c>
    </row>
    <row r="8839" spans="1:2">
      <c r="A8839" s="1" t="s">
        <v>9605</v>
      </c>
      <c r="B8839" t="s">
        <v>637</v>
      </c>
    </row>
    <row r="8840" spans="1:2">
      <c r="A8840" s="1" t="s">
        <v>9606</v>
      </c>
      <c r="B8840" t="s">
        <v>637</v>
      </c>
    </row>
    <row r="8841" spans="1:2">
      <c r="A8841" s="1" t="s">
        <v>9607</v>
      </c>
      <c r="B8841" t="s">
        <v>637</v>
      </c>
    </row>
    <row r="8842" spans="1:2">
      <c r="A8842" s="1" t="s">
        <v>9608</v>
      </c>
      <c r="B8842" t="s">
        <v>637</v>
      </c>
    </row>
    <row r="8843" spans="1:2">
      <c r="A8843" s="1" t="s">
        <v>9609</v>
      </c>
      <c r="B8843" t="s">
        <v>637</v>
      </c>
    </row>
    <row r="8844" spans="1:2">
      <c r="A8844" s="1" t="s">
        <v>9610</v>
      </c>
      <c r="B8844" t="s">
        <v>637</v>
      </c>
    </row>
    <row r="8845" spans="1:2">
      <c r="A8845" s="1" t="s">
        <v>9611</v>
      </c>
      <c r="B8845" t="s">
        <v>637</v>
      </c>
    </row>
    <row r="8846" spans="1:2">
      <c r="A8846" s="1" t="s">
        <v>9612</v>
      </c>
      <c r="B8846" t="s">
        <v>637</v>
      </c>
    </row>
    <row r="8847" spans="1:2">
      <c r="A8847" s="1" t="s">
        <v>9613</v>
      </c>
      <c r="B8847" t="s">
        <v>637</v>
      </c>
    </row>
    <row r="8848" spans="1:2">
      <c r="A8848" s="1" t="s">
        <v>9614</v>
      </c>
      <c r="B8848" t="s">
        <v>637</v>
      </c>
    </row>
    <row r="8849" spans="1:2">
      <c r="A8849" s="1" t="s">
        <v>9615</v>
      </c>
      <c r="B8849" t="s">
        <v>637</v>
      </c>
    </row>
    <row r="8850" spans="1:2">
      <c r="A8850" s="1" t="s">
        <v>9616</v>
      </c>
      <c r="B8850" t="s">
        <v>637</v>
      </c>
    </row>
    <row r="8851" spans="1:2">
      <c r="A8851" s="1" t="s">
        <v>9617</v>
      </c>
      <c r="B8851" t="s">
        <v>637</v>
      </c>
    </row>
    <row r="8852" spans="1:2">
      <c r="A8852" s="1" t="s">
        <v>9618</v>
      </c>
      <c r="B8852" t="s">
        <v>637</v>
      </c>
    </row>
    <row r="8853" spans="1:2">
      <c r="A8853" s="1" t="s">
        <v>9619</v>
      </c>
      <c r="B8853" t="s">
        <v>637</v>
      </c>
    </row>
    <row r="8854" spans="1:2">
      <c r="A8854" s="1" t="s">
        <v>9620</v>
      </c>
      <c r="B8854" t="s">
        <v>637</v>
      </c>
    </row>
    <row r="8855" spans="1:2">
      <c r="A8855" s="1" t="s">
        <v>9621</v>
      </c>
      <c r="B8855" t="s">
        <v>637</v>
      </c>
    </row>
    <row r="8856" spans="1:2">
      <c r="A8856" s="1" t="s">
        <v>9622</v>
      </c>
      <c r="B8856" t="s">
        <v>637</v>
      </c>
    </row>
    <row r="8857" spans="1:2">
      <c r="A8857" s="1" t="s">
        <v>9623</v>
      </c>
      <c r="B8857" t="s">
        <v>637</v>
      </c>
    </row>
    <row r="8858" spans="1:2">
      <c r="A8858" s="1" t="s">
        <v>9624</v>
      </c>
      <c r="B8858" t="s">
        <v>637</v>
      </c>
    </row>
    <row r="8859" spans="1:2">
      <c r="A8859" s="1" t="s">
        <v>9625</v>
      </c>
      <c r="B8859" t="s">
        <v>637</v>
      </c>
    </row>
    <row r="8860" spans="1:2">
      <c r="A8860" s="1" t="s">
        <v>9626</v>
      </c>
      <c r="B8860" t="s">
        <v>637</v>
      </c>
    </row>
    <row r="8861" spans="1:2">
      <c r="A8861" s="1" t="s">
        <v>9627</v>
      </c>
      <c r="B8861" t="s">
        <v>637</v>
      </c>
    </row>
    <row r="8862" spans="1:2">
      <c r="A8862" s="1" t="s">
        <v>9628</v>
      </c>
      <c r="B8862" t="s">
        <v>637</v>
      </c>
    </row>
    <row r="8863" spans="1:2">
      <c r="A8863" s="1" t="s">
        <v>9629</v>
      </c>
      <c r="B8863" t="s">
        <v>637</v>
      </c>
    </row>
    <row r="8864" spans="1:2">
      <c r="A8864" s="1" t="s">
        <v>9630</v>
      </c>
      <c r="B8864" t="s">
        <v>637</v>
      </c>
    </row>
    <row r="8865" spans="1:2">
      <c r="A8865" s="1" t="s">
        <v>9631</v>
      </c>
      <c r="B8865" t="s">
        <v>637</v>
      </c>
    </row>
    <row r="8866" spans="1:2">
      <c r="A8866" s="1" t="s">
        <v>9632</v>
      </c>
      <c r="B8866" t="s">
        <v>637</v>
      </c>
    </row>
    <row r="8867" spans="1:2">
      <c r="A8867" s="1" t="s">
        <v>9633</v>
      </c>
      <c r="B8867" t="s">
        <v>637</v>
      </c>
    </row>
    <row r="8868" spans="1:2">
      <c r="A8868" s="1" t="s">
        <v>9634</v>
      </c>
      <c r="B8868" t="s">
        <v>637</v>
      </c>
    </row>
    <row r="8869" spans="1:2">
      <c r="A8869" s="1" t="s">
        <v>9635</v>
      </c>
      <c r="B8869" t="s">
        <v>637</v>
      </c>
    </row>
    <row r="8870" spans="1:2">
      <c r="A8870" s="1" t="s">
        <v>9636</v>
      </c>
      <c r="B8870" t="s">
        <v>637</v>
      </c>
    </row>
    <row r="8871" spans="1:2">
      <c r="A8871" s="1" t="s">
        <v>9637</v>
      </c>
      <c r="B8871" t="s">
        <v>637</v>
      </c>
    </row>
    <row r="8872" spans="1:2">
      <c r="A8872" s="1" t="s">
        <v>9638</v>
      </c>
      <c r="B8872" t="s">
        <v>637</v>
      </c>
    </row>
    <row r="8873" spans="1:2">
      <c r="A8873" s="1" t="s">
        <v>9639</v>
      </c>
      <c r="B8873" t="s">
        <v>637</v>
      </c>
    </row>
    <row r="8874" spans="1:2">
      <c r="A8874" s="1" t="s">
        <v>9640</v>
      </c>
      <c r="B8874" t="s">
        <v>637</v>
      </c>
    </row>
    <row r="8875" spans="1:2">
      <c r="A8875" s="1" t="s">
        <v>9641</v>
      </c>
      <c r="B8875" t="s">
        <v>637</v>
      </c>
    </row>
    <row r="8876" spans="1:2">
      <c r="A8876" s="1" t="s">
        <v>9642</v>
      </c>
      <c r="B8876" t="s">
        <v>637</v>
      </c>
    </row>
    <row r="8877" spans="1:2">
      <c r="A8877" s="1" t="s">
        <v>9643</v>
      </c>
      <c r="B8877" t="s">
        <v>637</v>
      </c>
    </row>
    <row r="8878" spans="1:2">
      <c r="A8878" s="1" t="s">
        <v>9644</v>
      </c>
      <c r="B8878" t="s">
        <v>637</v>
      </c>
    </row>
    <row r="8879" spans="1:2">
      <c r="A8879" s="1" t="s">
        <v>9645</v>
      </c>
      <c r="B8879" t="s">
        <v>637</v>
      </c>
    </row>
    <row r="8880" spans="1:2">
      <c r="A8880" s="1" t="s">
        <v>9646</v>
      </c>
      <c r="B8880" t="s">
        <v>637</v>
      </c>
    </row>
    <row r="8881" spans="1:2">
      <c r="A8881" s="1" t="s">
        <v>9647</v>
      </c>
      <c r="B8881" t="s">
        <v>637</v>
      </c>
    </row>
    <row r="8882" spans="1:2">
      <c r="A8882" s="1" t="s">
        <v>9648</v>
      </c>
      <c r="B8882" t="s">
        <v>637</v>
      </c>
    </row>
    <row r="8883" spans="1:2">
      <c r="A8883" s="1" t="s">
        <v>9649</v>
      </c>
      <c r="B8883" t="s">
        <v>637</v>
      </c>
    </row>
    <row r="8884" spans="1:2">
      <c r="A8884" s="1" t="s">
        <v>9650</v>
      </c>
      <c r="B8884" t="s">
        <v>637</v>
      </c>
    </row>
    <row r="8885" spans="1:2">
      <c r="A8885" s="1" t="s">
        <v>9651</v>
      </c>
      <c r="B8885" t="s">
        <v>637</v>
      </c>
    </row>
    <row r="8886" spans="1:2">
      <c r="A8886" s="1" t="s">
        <v>9652</v>
      </c>
      <c r="B8886" t="s">
        <v>637</v>
      </c>
    </row>
    <row r="8887" spans="1:2">
      <c r="A8887" s="1" t="s">
        <v>9653</v>
      </c>
      <c r="B8887" t="s">
        <v>637</v>
      </c>
    </row>
    <row r="8888" spans="1:2">
      <c r="A8888" s="1" t="s">
        <v>9654</v>
      </c>
      <c r="B8888" t="s">
        <v>637</v>
      </c>
    </row>
    <row r="8889" spans="1:2">
      <c r="A8889" s="1" t="s">
        <v>9655</v>
      </c>
      <c r="B8889" t="s">
        <v>637</v>
      </c>
    </row>
    <row r="8890" spans="1:2">
      <c r="A8890" s="1" t="s">
        <v>9656</v>
      </c>
      <c r="B8890" t="s">
        <v>637</v>
      </c>
    </row>
    <row r="8891" spans="1:2">
      <c r="A8891" s="1" t="s">
        <v>9657</v>
      </c>
      <c r="B8891" t="s">
        <v>637</v>
      </c>
    </row>
    <row r="8892" spans="1:2">
      <c r="A8892" s="1" t="s">
        <v>9658</v>
      </c>
      <c r="B8892" t="s">
        <v>637</v>
      </c>
    </row>
    <row r="8893" spans="1:2">
      <c r="A8893" s="1" t="s">
        <v>9659</v>
      </c>
      <c r="B8893" t="s">
        <v>637</v>
      </c>
    </row>
    <row r="8894" spans="1:2">
      <c r="A8894" s="1" t="s">
        <v>9660</v>
      </c>
      <c r="B8894" t="s">
        <v>637</v>
      </c>
    </row>
    <row r="8895" spans="1:2">
      <c r="A8895" s="1" t="s">
        <v>9661</v>
      </c>
      <c r="B8895" t="s">
        <v>637</v>
      </c>
    </row>
    <row r="8896" spans="1:2">
      <c r="A8896" s="1" t="s">
        <v>9662</v>
      </c>
      <c r="B8896" t="s">
        <v>637</v>
      </c>
    </row>
    <row r="8897" spans="1:2">
      <c r="A8897" s="1" t="s">
        <v>9663</v>
      </c>
      <c r="B8897" t="s">
        <v>637</v>
      </c>
    </row>
    <row r="8898" spans="1:2">
      <c r="A8898" s="1" t="s">
        <v>9664</v>
      </c>
      <c r="B8898" t="s">
        <v>637</v>
      </c>
    </row>
    <row r="8899" spans="1:2">
      <c r="A8899" s="1" t="s">
        <v>9665</v>
      </c>
      <c r="B8899" t="s">
        <v>637</v>
      </c>
    </row>
    <row r="8900" spans="1:2">
      <c r="A8900" s="1" t="s">
        <v>9666</v>
      </c>
      <c r="B8900" t="s">
        <v>637</v>
      </c>
    </row>
    <row r="8901" spans="1:2">
      <c r="A8901" s="1" t="s">
        <v>9667</v>
      </c>
      <c r="B8901" t="s">
        <v>637</v>
      </c>
    </row>
    <row r="8902" spans="1:2">
      <c r="A8902" s="1" t="s">
        <v>9668</v>
      </c>
      <c r="B8902" t="s">
        <v>637</v>
      </c>
    </row>
    <row r="8903" spans="1:2">
      <c r="A8903" s="1" t="s">
        <v>9669</v>
      </c>
      <c r="B8903" t="s">
        <v>637</v>
      </c>
    </row>
    <row r="8904" spans="1:2">
      <c r="A8904" s="1" t="s">
        <v>9670</v>
      </c>
      <c r="B8904" t="s">
        <v>637</v>
      </c>
    </row>
    <row r="8905" spans="1:2">
      <c r="A8905" s="1" t="s">
        <v>9671</v>
      </c>
      <c r="B8905" t="s">
        <v>637</v>
      </c>
    </row>
    <row r="8906" spans="1:2">
      <c r="A8906" s="1" t="s">
        <v>9672</v>
      </c>
      <c r="B8906" t="s">
        <v>637</v>
      </c>
    </row>
    <row r="8907" spans="1:2">
      <c r="A8907" s="1" t="s">
        <v>9673</v>
      </c>
      <c r="B8907" t="s">
        <v>637</v>
      </c>
    </row>
    <row r="8908" spans="1:2">
      <c r="A8908" s="1" t="s">
        <v>9674</v>
      </c>
      <c r="B8908" t="s">
        <v>637</v>
      </c>
    </row>
    <row r="8909" spans="1:2">
      <c r="A8909" s="1" t="s">
        <v>9675</v>
      </c>
      <c r="B8909" t="s">
        <v>637</v>
      </c>
    </row>
    <row r="8910" spans="1:2">
      <c r="A8910" s="1" t="s">
        <v>9676</v>
      </c>
      <c r="B8910" t="s">
        <v>637</v>
      </c>
    </row>
    <row r="8911" spans="1:2">
      <c r="A8911" s="1" t="s">
        <v>9677</v>
      </c>
      <c r="B8911" t="s">
        <v>637</v>
      </c>
    </row>
    <row r="8912" spans="1:2">
      <c r="A8912" s="1" t="s">
        <v>9678</v>
      </c>
      <c r="B8912" t="s">
        <v>637</v>
      </c>
    </row>
    <row r="8913" spans="1:2">
      <c r="A8913" s="1" t="s">
        <v>9679</v>
      </c>
      <c r="B8913" t="s">
        <v>637</v>
      </c>
    </row>
    <row r="8914" spans="1:2">
      <c r="A8914" s="1" t="s">
        <v>9680</v>
      </c>
      <c r="B8914" t="s">
        <v>637</v>
      </c>
    </row>
    <row r="8915" spans="1:2">
      <c r="A8915" s="1" t="s">
        <v>9681</v>
      </c>
      <c r="B8915" t="s">
        <v>637</v>
      </c>
    </row>
    <row r="8916" spans="1:2">
      <c r="A8916" s="1" t="s">
        <v>9682</v>
      </c>
      <c r="B8916" t="s">
        <v>637</v>
      </c>
    </row>
    <row r="8917" spans="1:2">
      <c r="A8917" s="1" t="s">
        <v>9683</v>
      </c>
      <c r="B8917" t="s">
        <v>637</v>
      </c>
    </row>
    <row r="8918" spans="1:2">
      <c r="A8918" s="1" t="s">
        <v>9684</v>
      </c>
      <c r="B8918" t="s">
        <v>637</v>
      </c>
    </row>
    <row r="8919" spans="1:2">
      <c r="A8919" s="1" t="s">
        <v>9685</v>
      </c>
      <c r="B8919" t="s">
        <v>637</v>
      </c>
    </row>
    <row r="8920" spans="1:2">
      <c r="A8920" s="1" t="s">
        <v>9686</v>
      </c>
      <c r="B8920" t="s">
        <v>637</v>
      </c>
    </row>
    <row r="8921" spans="1:2">
      <c r="A8921" s="1" t="s">
        <v>9687</v>
      </c>
      <c r="B8921" t="s">
        <v>637</v>
      </c>
    </row>
    <row r="8922" spans="1:2">
      <c r="A8922" s="1" t="s">
        <v>9688</v>
      </c>
      <c r="B8922" t="s">
        <v>637</v>
      </c>
    </row>
    <row r="8923" spans="1:2">
      <c r="A8923" s="1" t="s">
        <v>9689</v>
      </c>
      <c r="B8923" t="s">
        <v>637</v>
      </c>
    </row>
    <row r="8924" spans="1:2">
      <c r="A8924" s="1" t="s">
        <v>9690</v>
      </c>
      <c r="B8924" t="s">
        <v>637</v>
      </c>
    </row>
    <row r="8925" spans="1:2">
      <c r="A8925" s="1" t="s">
        <v>9691</v>
      </c>
      <c r="B8925" t="s">
        <v>637</v>
      </c>
    </row>
    <row r="8926" spans="1:2">
      <c r="A8926" s="1" t="s">
        <v>9692</v>
      </c>
      <c r="B8926" t="s">
        <v>637</v>
      </c>
    </row>
    <row r="8927" spans="1:2">
      <c r="A8927" s="1" t="s">
        <v>9693</v>
      </c>
      <c r="B8927" t="s">
        <v>637</v>
      </c>
    </row>
    <row r="8928" spans="1:2">
      <c r="A8928" s="1" t="s">
        <v>9694</v>
      </c>
      <c r="B8928" t="s">
        <v>637</v>
      </c>
    </row>
    <row r="8929" spans="1:2">
      <c r="A8929" s="1" t="s">
        <v>9695</v>
      </c>
      <c r="B8929" t="s">
        <v>637</v>
      </c>
    </row>
    <row r="8930" spans="1:2">
      <c r="A8930" s="1" t="s">
        <v>9696</v>
      </c>
      <c r="B8930" t="s">
        <v>637</v>
      </c>
    </row>
    <row r="8931" spans="1:2">
      <c r="A8931" s="1" t="s">
        <v>9697</v>
      </c>
      <c r="B8931" t="s">
        <v>637</v>
      </c>
    </row>
    <row r="8932" spans="1:2">
      <c r="A8932" s="1" t="s">
        <v>9698</v>
      </c>
      <c r="B8932" t="s">
        <v>637</v>
      </c>
    </row>
    <row r="8933" spans="1:2">
      <c r="A8933" s="1" t="s">
        <v>9699</v>
      </c>
      <c r="B8933" t="s">
        <v>637</v>
      </c>
    </row>
    <row r="8934" spans="1:2">
      <c r="A8934" s="1" t="s">
        <v>9700</v>
      </c>
      <c r="B8934" t="s">
        <v>637</v>
      </c>
    </row>
    <row r="8935" spans="1:2">
      <c r="A8935" s="1" t="s">
        <v>9701</v>
      </c>
      <c r="B8935" t="s">
        <v>637</v>
      </c>
    </row>
    <row r="8936" spans="1:2">
      <c r="A8936" s="1" t="s">
        <v>9702</v>
      </c>
      <c r="B8936" t="s">
        <v>637</v>
      </c>
    </row>
    <row r="8937" spans="1:2">
      <c r="A8937" s="1" t="s">
        <v>9703</v>
      </c>
      <c r="B8937" t="s">
        <v>637</v>
      </c>
    </row>
    <row r="8938" spans="1:2">
      <c r="A8938" s="1" t="s">
        <v>9704</v>
      </c>
      <c r="B8938" t="s">
        <v>637</v>
      </c>
    </row>
    <row r="8939" spans="1:2">
      <c r="A8939" s="1" t="s">
        <v>9705</v>
      </c>
      <c r="B8939" t="s">
        <v>637</v>
      </c>
    </row>
    <row r="8940" spans="1:2">
      <c r="A8940" s="1" t="s">
        <v>9706</v>
      </c>
      <c r="B8940" t="s">
        <v>637</v>
      </c>
    </row>
    <row r="8941" spans="1:2">
      <c r="A8941" s="1" t="s">
        <v>9707</v>
      </c>
      <c r="B8941" t="s">
        <v>637</v>
      </c>
    </row>
    <row r="8942" spans="1:2">
      <c r="A8942" s="1" t="s">
        <v>9708</v>
      </c>
      <c r="B8942" t="s">
        <v>637</v>
      </c>
    </row>
    <row r="8943" spans="1:2">
      <c r="A8943" s="1" t="s">
        <v>9709</v>
      </c>
      <c r="B8943" t="s">
        <v>637</v>
      </c>
    </row>
    <row r="8944" spans="1:2">
      <c r="A8944" s="1" t="s">
        <v>9710</v>
      </c>
      <c r="B8944" t="s">
        <v>637</v>
      </c>
    </row>
    <row r="8945" spans="1:2">
      <c r="A8945" s="1" t="s">
        <v>9711</v>
      </c>
      <c r="B8945" t="s">
        <v>637</v>
      </c>
    </row>
    <row r="8946" spans="1:2">
      <c r="A8946" s="1" t="s">
        <v>9712</v>
      </c>
      <c r="B8946" t="s">
        <v>637</v>
      </c>
    </row>
    <row r="8947" spans="1:2">
      <c r="A8947" s="1" t="s">
        <v>9713</v>
      </c>
      <c r="B8947" t="s">
        <v>637</v>
      </c>
    </row>
    <row r="8948" spans="1:2">
      <c r="A8948" s="1" t="s">
        <v>9714</v>
      </c>
      <c r="B8948" t="s">
        <v>637</v>
      </c>
    </row>
    <row r="8949" spans="1:2">
      <c r="A8949" s="1" t="s">
        <v>9715</v>
      </c>
      <c r="B8949" t="s">
        <v>637</v>
      </c>
    </row>
    <row r="8950" spans="1:2">
      <c r="A8950" s="1" t="s">
        <v>9716</v>
      </c>
      <c r="B8950" t="s">
        <v>637</v>
      </c>
    </row>
    <row r="8951" spans="1:2">
      <c r="A8951" s="1" t="s">
        <v>9717</v>
      </c>
      <c r="B8951" t="s">
        <v>637</v>
      </c>
    </row>
    <row r="8952" spans="1:2">
      <c r="A8952" s="1" t="s">
        <v>9718</v>
      </c>
      <c r="B8952" t="s">
        <v>637</v>
      </c>
    </row>
    <row r="8953" spans="1:2">
      <c r="A8953" s="1" t="s">
        <v>9719</v>
      </c>
      <c r="B8953" t="s">
        <v>637</v>
      </c>
    </row>
    <row r="8954" spans="1:2">
      <c r="A8954" s="1" t="s">
        <v>9720</v>
      </c>
      <c r="B8954" t="s">
        <v>637</v>
      </c>
    </row>
    <row r="8955" spans="1:2">
      <c r="A8955" s="1" t="s">
        <v>9721</v>
      </c>
      <c r="B8955" t="s">
        <v>637</v>
      </c>
    </row>
    <row r="8956" spans="1:2">
      <c r="A8956" s="1" t="s">
        <v>9722</v>
      </c>
      <c r="B8956" t="s">
        <v>637</v>
      </c>
    </row>
    <row r="8957" spans="1:2">
      <c r="A8957" s="1" t="s">
        <v>9723</v>
      </c>
      <c r="B8957" t="s">
        <v>637</v>
      </c>
    </row>
    <row r="8958" spans="1:2">
      <c r="A8958" s="1" t="s">
        <v>9724</v>
      </c>
      <c r="B8958" t="s">
        <v>637</v>
      </c>
    </row>
    <row r="8959" spans="1:2">
      <c r="A8959" s="1" t="s">
        <v>9725</v>
      </c>
      <c r="B8959" t="s">
        <v>637</v>
      </c>
    </row>
    <row r="8960" spans="1:2">
      <c r="A8960" s="1" t="s">
        <v>9726</v>
      </c>
      <c r="B8960" t="s">
        <v>637</v>
      </c>
    </row>
    <row r="8961" spans="1:2">
      <c r="A8961" s="1" t="s">
        <v>9727</v>
      </c>
      <c r="B8961" t="s">
        <v>637</v>
      </c>
    </row>
    <row r="8962" spans="1:2">
      <c r="A8962" s="1" t="s">
        <v>9728</v>
      </c>
      <c r="B8962" t="s">
        <v>637</v>
      </c>
    </row>
    <row r="8963" spans="1:2">
      <c r="A8963" s="1" t="s">
        <v>9729</v>
      </c>
      <c r="B8963" t="s">
        <v>637</v>
      </c>
    </row>
    <row r="8964" spans="1:2">
      <c r="A8964" s="1" t="s">
        <v>9730</v>
      </c>
      <c r="B8964" t="s">
        <v>637</v>
      </c>
    </row>
    <row r="8965" spans="1:2">
      <c r="A8965" s="1" t="s">
        <v>9731</v>
      </c>
      <c r="B8965" t="s">
        <v>637</v>
      </c>
    </row>
    <row r="8966" spans="1:2">
      <c r="A8966" s="1" t="s">
        <v>9732</v>
      </c>
      <c r="B8966" t="s">
        <v>637</v>
      </c>
    </row>
    <row r="8967" spans="1:2">
      <c r="A8967" s="1" t="s">
        <v>9733</v>
      </c>
      <c r="B8967" t="s">
        <v>637</v>
      </c>
    </row>
    <row r="8968" spans="1:2">
      <c r="A8968" s="1" t="s">
        <v>9734</v>
      </c>
      <c r="B8968" t="s">
        <v>637</v>
      </c>
    </row>
    <row r="8969" spans="1:2">
      <c r="A8969" s="1" t="s">
        <v>9735</v>
      </c>
      <c r="B8969" t="s">
        <v>637</v>
      </c>
    </row>
    <row r="8970" spans="1:2">
      <c r="A8970" s="1" t="s">
        <v>9736</v>
      </c>
      <c r="B8970" t="s">
        <v>637</v>
      </c>
    </row>
    <row r="8971" spans="1:2">
      <c r="A8971" s="1" t="s">
        <v>9737</v>
      </c>
      <c r="B8971" t="s">
        <v>637</v>
      </c>
    </row>
    <row r="8972" spans="1:2">
      <c r="A8972" s="1" t="s">
        <v>9738</v>
      </c>
      <c r="B8972" t="s">
        <v>637</v>
      </c>
    </row>
    <row r="8973" spans="1:2">
      <c r="A8973" s="1" t="s">
        <v>9739</v>
      </c>
      <c r="B8973" t="s">
        <v>637</v>
      </c>
    </row>
    <row r="8974" spans="1:2">
      <c r="A8974" s="1" t="s">
        <v>9740</v>
      </c>
      <c r="B8974" t="s">
        <v>637</v>
      </c>
    </row>
    <row r="8975" spans="1:2">
      <c r="A8975" s="1" t="s">
        <v>9741</v>
      </c>
      <c r="B8975" t="s">
        <v>637</v>
      </c>
    </row>
    <row r="8976" spans="1:2">
      <c r="A8976" s="1" t="s">
        <v>9742</v>
      </c>
      <c r="B8976" t="s">
        <v>637</v>
      </c>
    </row>
    <row r="8977" spans="1:2">
      <c r="A8977" s="1" t="s">
        <v>9743</v>
      </c>
      <c r="B8977" t="s">
        <v>637</v>
      </c>
    </row>
    <row r="8978" spans="1:2">
      <c r="A8978" s="1" t="s">
        <v>9744</v>
      </c>
      <c r="B8978" t="s">
        <v>637</v>
      </c>
    </row>
    <row r="8979" spans="1:2">
      <c r="A8979" s="1" t="s">
        <v>9745</v>
      </c>
      <c r="B8979" t="s">
        <v>637</v>
      </c>
    </row>
    <row r="8980" spans="1:2">
      <c r="A8980" s="1" t="s">
        <v>9746</v>
      </c>
      <c r="B8980" t="s">
        <v>637</v>
      </c>
    </row>
    <row r="8981" spans="1:2">
      <c r="A8981" s="1" t="s">
        <v>9747</v>
      </c>
      <c r="B8981" t="s">
        <v>637</v>
      </c>
    </row>
    <row r="8982" spans="1:2">
      <c r="A8982" s="1" t="s">
        <v>9748</v>
      </c>
      <c r="B8982" t="s">
        <v>637</v>
      </c>
    </row>
    <row r="8983" spans="1:2">
      <c r="A8983" s="1" t="s">
        <v>9749</v>
      </c>
      <c r="B8983" t="s">
        <v>637</v>
      </c>
    </row>
    <row r="8984" spans="1:2">
      <c r="A8984" s="1" t="s">
        <v>9750</v>
      </c>
      <c r="B8984" t="s">
        <v>637</v>
      </c>
    </row>
    <row r="8985" spans="1:2">
      <c r="A8985" s="1" t="s">
        <v>9751</v>
      </c>
      <c r="B8985" t="s">
        <v>637</v>
      </c>
    </row>
    <row r="8986" spans="1:2">
      <c r="A8986" s="1" t="s">
        <v>9752</v>
      </c>
      <c r="B8986" t="s">
        <v>637</v>
      </c>
    </row>
    <row r="8987" spans="1:2">
      <c r="A8987" s="1" t="s">
        <v>9753</v>
      </c>
      <c r="B8987" t="s">
        <v>637</v>
      </c>
    </row>
    <row r="8988" spans="1:2">
      <c r="A8988" s="1" t="s">
        <v>9754</v>
      </c>
      <c r="B8988" t="s">
        <v>637</v>
      </c>
    </row>
    <row r="8989" spans="1:2">
      <c r="A8989" s="1" t="s">
        <v>9755</v>
      </c>
      <c r="B8989" t="s">
        <v>637</v>
      </c>
    </row>
    <row r="8990" spans="1:2">
      <c r="A8990" s="1" t="s">
        <v>9756</v>
      </c>
      <c r="B8990" t="s">
        <v>637</v>
      </c>
    </row>
    <row r="8991" spans="1:2">
      <c r="A8991" s="1" t="s">
        <v>9757</v>
      </c>
      <c r="B8991" t="s">
        <v>637</v>
      </c>
    </row>
    <row r="8992" spans="1:2">
      <c r="A8992" s="1" t="s">
        <v>9758</v>
      </c>
      <c r="B8992" t="s">
        <v>637</v>
      </c>
    </row>
    <row r="8993" spans="1:2">
      <c r="A8993" s="1" t="s">
        <v>9759</v>
      </c>
      <c r="B8993" t="s">
        <v>637</v>
      </c>
    </row>
    <row r="8994" spans="1:2">
      <c r="A8994" s="1" t="s">
        <v>9760</v>
      </c>
      <c r="B8994" t="s">
        <v>637</v>
      </c>
    </row>
    <row r="8995" spans="1:2">
      <c r="A8995" s="1" t="s">
        <v>9761</v>
      </c>
      <c r="B8995" t="s">
        <v>637</v>
      </c>
    </row>
    <row r="8996" spans="1:2">
      <c r="A8996" s="1" t="s">
        <v>9762</v>
      </c>
      <c r="B8996" t="s">
        <v>637</v>
      </c>
    </row>
    <row r="8997" spans="1:2">
      <c r="A8997" s="1" t="s">
        <v>9763</v>
      </c>
      <c r="B8997" t="s">
        <v>637</v>
      </c>
    </row>
    <row r="8998" spans="1:2">
      <c r="A8998" s="1" t="s">
        <v>9764</v>
      </c>
      <c r="B8998" t="s">
        <v>637</v>
      </c>
    </row>
    <row r="8999" spans="1:2">
      <c r="A8999" s="1" t="s">
        <v>9765</v>
      </c>
      <c r="B8999" t="s">
        <v>637</v>
      </c>
    </row>
    <row r="9000" spans="1:2">
      <c r="A9000" s="1" t="s">
        <v>9766</v>
      </c>
      <c r="B9000" t="s">
        <v>637</v>
      </c>
    </row>
    <row r="9001" spans="1:2">
      <c r="A9001" s="1" t="s">
        <v>9767</v>
      </c>
      <c r="B9001" t="s">
        <v>637</v>
      </c>
    </row>
    <row r="9002" spans="1:2">
      <c r="A9002" s="1" t="s">
        <v>9768</v>
      </c>
      <c r="B9002" t="s">
        <v>637</v>
      </c>
    </row>
    <row r="9003" spans="1:2">
      <c r="A9003" s="1" t="s">
        <v>9769</v>
      </c>
      <c r="B9003" t="s">
        <v>637</v>
      </c>
    </row>
    <row r="9004" spans="1:2">
      <c r="A9004" s="1" t="s">
        <v>9770</v>
      </c>
      <c r="B9004" t="s">
        <v>637</v>
      </c>
    </row>
    <row r="9005" spans="1:2">
      <c r="A9005" s="1" t="s">
        <v>9771</v>
      </c>
      <c r="B9005" t="s">
        <v>637</v>
      </c>
    </row>
    <row r="9006" spans="1:2">
      <c r="A9006" s="1" t="s">
        <v>9772</v>
      </c>
      <c r="B9006" t="s">
        <v>637</v>
      </c>
    </row>
    <row r="9007" spans="1:2">
      <c r="A9007" s="1" t="s">
        <v>9773</v>
      </c>
      <c r="B9007" t="s">
        <v>637</v>
      </c>
    </row>
    <row r="9008" spans="1:2">
      <c r="A9008" s="1" t="s">
        <v>9774</v>
      </c>
      <c r="B9008" t="s">
        <v>637</v>
      </c>
    </row>
    <row r="9009" spans="1:2">
      <c r="A9009" s="1" t="s">
        <v>9775</v>
      </c>
      <c r="B9009" t="s">
        <v>637</v>
      </c>
    </row>
    <row r="9010" spans="1:2">
      <c r="A9010" s="1" t="s">
        <v>9776</v>
      </c>
      <c r="B9010" t="s">
        <v>637</v>
      </c>
    </row>
    <row r="9011" spans="1:2">
      <c r="A9011" s="1" t="s">
        <v>9777</v>
      </c>
      <c r="B9011" t="s">
        <v>637</v>
      </c>
    </row>
    <row r="9012" spans="1:2">
      <c r="A9012" s="1" t="s">
        <v>9778</v>
      </c>
      <c r="B9012" t="s">
        <v>637</v>
      </c>
    </row>
    <row r="9013" spans="1:2">
      <c r="A9013" s="1" t="s">
        <v>9779</v>
      </c>
      <c r="B9013" t="s">
        <v>637</v>
      </c>
    </row>
    <row r="9014" spans="1:2">
      <c r="A9014" s="1" t="s">
        <v>9780</v>
      </c>
      <c r="B9014" t="s">
        <v>637</v>
      </c>
    </row>
    <row r="9015" spans="1:2">
      <c r="A9015" s="1" t="s">
        <v>9781</v>
      </c>
      <c r="B9015" t="s">
        <v>637</v>
      </c>
    </row>
    <row r="9016" spans="1:2">
      <c r="A9016" s="1" t="s">
        <v>9782</v>
      </c>
      <c r="B9016" t="s">
        <v>637</v>
      </c>
    </row>
    <row r="9017" spans="1:2">
      <c r="A9017" s="1" t="s">
        <v>9783</v>
      </c>
      <c r="B9017" t="s">
        <v>637</v>
      </c>
    </row>
    <row r="9018" spans="1:2">
      <c r="A9018" s="1" t="s">
        <v>9784</v>
      </c>
      <c r="B9018" t="s">
        <v>637</v>
      </c>
    </row>
    <row r="9019" spans="1:2">
      <c r="A9019" s="1" t="s">
        <v>9785</v>
      </c>
      <c r="B9019" t="s">
        <v>637</v>
      </c>
    </row>
    <row r="9020" spans="1:2">
      <c r="A9020" s="1" t="s">
        <v>9786</v>
      </c>
      <c r="B9020" t="s">
        <v>637</v>
      </c>
    </row>
    <row r="9021" spans="1:2">
      <c r="A9021" s="1" t="s">
        <v>9787</v>
      </c>
      <c r="B9021" t="s">
        <v>637</v>
      </c>
    </row>
    <row r="9022" spans="1:2">
      <c r="A9022" s="1" t="s">
        <v>9788</v>
      </c>
      <c r="B9022" t="s">
        <v>637</v>
      </c>
    </row>
    <row r="9023" spans="1:2">
      <c r="A9023" s="1" t="s">
        <v>9789</v>
      </c>
      <c r="B9023" t="s">
        <v>637</v>
      </c>
    </row>
    <row r="9024" spans="1:2">
      <c r="A9024" s="1" t="s">
        <v>9790</v>
      </c>
      <c r="B9024" t="s">
        <v>637</v>
      </c>
    </row>
    <row r="9025" spans="1:2">
      <c r="A9025" s="1" t="s">
        <v>9791</v>
      </c>
      <c r="B9025" t="s">
        <v>637</v>
      </c>
    </row>
    <row r="9026" spans="1:2">
      <c r="A9026" s="1" t="s">
        <v>9792</v>
      </c>
      <c r="B9026" t="s">
        <v>637</v>
      </c>
    </row>
    <row r="9027" spans="1:2">
      <c r="A9027" s="1" t="s">
        <v>9793</v>
      </c>
      <c r="B9027" t="s">
        <v>637</v>
      </c>
    </row>
    <row r="9028" spans="1:2">
      <c r="A9028" s="1" t="s">
        <v>9794</v>
      </c>
      <c r="B9028" t="s">
        <v>637</v>
      </c>
    </row>
    <row r="9029" spans="1:2">
      <c r="A9029" s="1" t="s">
        <v>9795</v>
      </c>
      <c r="B9029" t="s">
        <v>637</v>
      </c>
    </row>
    <row r="9030" spans="1:2">
      <c r="A9030" s="1" t="s">
        <v>9796</v>
      </c>
      <c r="B9030" t="s">
        <v>637</v>
      </c>
    </row>
    <row r="9031" spans="1:2">
      <c r="A9031" s="1" t="s">
        <v>9797</v>
      </c>
      <c r="B9031" t="s">
        <v>637</v>
      </c>
    </row>
    <row r="9032" spans="1:2">
      <c r="A9032" s="1" t="s">
        <v>9798</v>
      </c>
      <c r="B9032" t="s">
        <v>637</v>
      </c>
    </row>
    <row r="9033" spans="1:2">
      <c r="A9033" s="1" t="s">
        <v>9799</v>
      </c>
      <c r="B9033" t="s">
        <v>637</v>
      </c>
    </row>
    <row r="9034" spans="1:2">
      <c r="A9034" s="1" t="s">
        <v>9800</v>
      </c>
      <c r="B9034" t="s">
        <v>637</v>
      </c>
    </row>
    <row r="9035" spans="1:2">
      <c r="A9035" s="1" t="s">
        <v>9801</v>
      </c>
      <c r="B9035" t="s">
        <v>637</v>
      </c>
    </row>
    <row r="9036" spans="1:2">
      <c r="A9036" s="1" t="s">
        <v>9802</v>
      </c>
      <c r="B9036" t="s">
        <v>637</v>
      </c>
    </row>
    <row r="9037" spans="1:2">
      <c r="A9037" s="1" t="s">
        <v>9803</v>
      </c>
      <c r="B9037" t="s">
        <v>637</v>
      </c>
    </row>
    <row r="9038" spans="1:2">
      <c r="A9038" s="1" t="s">
        <v>9804</v>
      </c>
      <c r="B9038" t="s">
        <v>637</v>
      </c>
    </row>
    <row r="9039" spans="1:2">
      <c r="A9039" s="1" t="s">
        <v>9805</v>
      </c>
      <c r="B9039" t="s">
        <v>637</v>
      </c>
    </row>
    <row r="9040" spans="1:2">
      <c r="A9040" s="1" t="s">
        <v>9806</v>
      </c>
      <c r="B9040" t="s">
        <v>637</v>
      </c>
    </row>
    <row r="9041" spans="1:2">
      <c r="A9041" s="1" t="s">
        <v>9807</v>
      </c>
      <c r="B9041" t="s">
        <v>637</v>
      </c>
    </row>
    <row r="9042" spans="1:2">
      <c r="A9042" s="1" t="s">
        <v>9808</v>
      </c>
      <c r="B9042" t="s">
        <v>637</v>
      </c>
    </row>
    <row r="9043" spans="1:2">
      <c r="A9043" s="1" t="s">
        <v>9809</v>
      </c>
      <c r="B9043" t="s">
        <v>637</v>
      </c>
    </row>
    <row r="9044" spans="1:2">
      <c r="A9044" s="1" t="s">
        <v>9810</v>
      </c>
      <c r="B9044" t="s">
        <v>637</v>
      </c>
    </row>
    <row r="9045" spans="1:2">
      <c r="A9045" s="1" t="s">
        <v>9811</v>
      </c>
      <c r="B9045" t="s">
        <v>637</v>
      </c>
    </row>
    <row r="9046" spans="1:2">
      <c r="A9046" s="1" t="s">
        <v>9812</v>
      </c>
      <c r="B9046" t="s">
        <v>637</v>
      </c>
    </row>
    <row r="9047" spans="1:2">
      <c r="A9047" s="1" t="s">
        <v>9813</v>
      </c>
      <c r="B9047" t="s">
        <v>637</v>
      </c>
    </row>
    <row r="9048" spans="1:2">
      <c r="A9048" s="1" t="s">
        <v>9814</v>
      </c>
      <c r="B9048" t="s">
        <v>637</v>
      </c>
    </row>
    <row r="9049" spans="1:2">
      <c r="A9049" s="1" t="s">
        <v>9815</v>
      </c>
      <c r="B9049" t="s">
        <v>637</v>
      </c>
    </row>
    <row r="9050" spans="1:2">
      <c r="A9050" s="1" t="s">
        <v>9816</v>
      </c>
      <c r="B9050" t="s">
        <v>637</v>
      </c>
    </row>
    <row r="9051" spans="1:2">
      <c r="A9051" s="1" t="s">
        <v>9817</v>
      </c>
      <c r="B9051" t="s">
        <v>637</v>
      </c>
    </row>
    <row r="9052" spans="1:2">
      <c r="A9052" s="1" t="s">
        <v>9818</v>
      </c>
      <c r="B9052" t="s">
        <v>637</v>
      </c>
    </row>
    <row r="9053" spans="1:2">
      <c r="A9053" s="1" t="s">
        <v>9819</v>
      </c>
      <c r="B9053" t="s">
        <v>637</v>
      </c>
    </row>
    <row r="9054" spans="1:2">
      <c r="A9054" s="1" t="s">
        <v>9820</v>
      </c>
      <c r="B9054" t="s">
        <v>637</v>
      </c>
    </row>
    <row r="9055" spans="1:2">
      <c r="A9055" s="1" t="s">
        <v>9821</v>
      </c>
      <c r="B9055" t="s">
        <v>637</v>
      </c>
    </row>
    <row r="9056" spans="1:2">
      <c r="A9056" s="1" t="s">
        <v>9822</v>
      </c>
      <c r="B9056" t="s">
        <v>637</v>
      </c>
    </row>
    <row r="9057" spans="1:2">
      <c r="A9057" s="1" t="s">
        <v>9823</v>
      </c>
      <c r="B9057" t="s">
        <v>637</v>
      </c>
    </row>
    <row r="9058" spans="1:2">
      <c r="A9058" s="1" t="s">
        <v>9824</v>
      </c>
      <c r="B9058" t="s">
        <v>637</v>
      </c>
    </row>
    <row r="9059" spans="1:2">
      <c r="A9059" s="1" t="s">
        <v>9825</v>
      </c>
      <c r="B9059" t="s">
        <v>637</v>
      </c>
    </row>
    <row r="9060" spans="1:2">
      <c r="A9060" s="1" t="s">
        <v>9826</v>
      </c>
      <c r="B9060" t="s">
        <v>637</v>
      </c>
    </row>
    <row r="9061" spans="1:2">
      <c r="A9061" s="1" t="s">
        <v>9827</v>
      </c>
      <c r="B9061" t="s">
        <v>637</v>
      </c>
    </row>
    <row r="9062" spans="1:2">
      <c r="A9062" s="1" t="s">
        <v>9828</v>
      </c>
      <c r="B9062" t="s">
        <v>637</v>
      </c>
    </row>
    <row r="9063" spans="1:2">
      <c r="A9063" s="1" t="s">
        <v>9829</v>
      </c>
      <c r="B9063" t="s">
        <v>637</v>
      </c>
    </row>
    <row r="9064" spans="1:2">
      <c r="A9064" s="1" t="s">
        <v>9830</v>
      </c>
      <c r="B9064" t="s">
        <v>637</v>
      </c>
    </row>
    <row r="9065" spans="1:2">
      <c r="A9065" s="1" t="s">
        <v>9831</v>
      </c>
      <c r="B9065" t="s">
        <v>637</v>
      </c>
    </row>
    <row r="9066" spans="1:2">
      <c r="A9066" s="1" t="s">
        <v>9832</v>
      </c>
      <c r="B9066" t="s">
        <v>637</v>
      </c>
    </row>
    <row r="9067" spans="1:2">
      <c r="A9067" s="1" t="s">
        <v>9833</v>
      </c>
      <c r="B9067" t="s">
        <v>637</v>
      </c>
    </row>
    <row r="9068" spans="1:2">
      <c r="A9068" s="1" t="s">
        <v>9834</v>
      </c>
      <c r="B9068" t="s">
        <v>637</v>
      </c>
    </row>
    <row r="9069" spans="1:2">
      <c r="A9069" s="1" t="s">
        <v>9835</v>
      </c>
      <c r="B9069" t="s">
        <v>637</v>
      </c>
    </row>
    <row r="9070" spans="1:2">
      <c r="A9070" s="1" t="s">
        <v>9836</v>
      </c>
      <c r="B9070" t="s">
        <v>637</v>
      </c>
    </row>
    <row r="9071" spans="1:2">
      <c r="A9071" s="1" t="s">
        <v>9837</v>
      </c>
      <c r="B9071" t="s">
        <v>637</v>
      </c>
    </row>
    <row r="9072" spans="1:2">
      <c r="A9072" s="1" t="s">
        <v>9838</v>
      </c>
      <c r="B9072" t="s">
        <v>637</v>
      </c>
    </row>
    <row r="9073" spans="1:2">
      <c r="A9073" s="1" t="s">
        <v>9839</v>
      </c>
      <c r="B9073" t="s">
        <v>637</v>
      </c>
    </row>
    <row r="9074" spans="1:2">
      <c r="A9074" s="1" t="s">
        <v>9840</v>
      </c>
      <c r="B9074" t="s">
        <v>637</v>
      </c>
    </row>
    <row r="9075" spans="1:2">
      <c r="A9075" s="1" t="s">
        <v>9841</v>
      </c>
      <c r="B9075" t="s">
        <v>637</v>
      </c>
    </row>
    <row r="9076" spans="1:2">
      <c r="A9076" s="1" t="s">
        <v>9842</v>
      </c>
      <c r="B9076" t="s">
        <v>637</v>
      </c>
    </row>
    <row r="9077" spans="1:2">
      <c r="A9077" s="1" t="s">
        <v>9843</v>
      </c>
      <c r="B9077" t="s">
        <v>637</v>
      </c>
    </row>
    <row r="9078" spans="1:2">
      <c r="A9078" s="1" t="s">
        <v>9844</v>
      </c>
      <c r="B9078" t="s">
        <v>637</v>
      </c>
    </row>
    <row r="9079" spans="1:2">
      <c r="A9079" s="1" t="s">
        <v>9845</v>
      </c>
      <c r="B9079" t="s">
        <v>637</v>
      </c>
    </row>
    <row r="9080" spans="1:2">
      <c r="A9080" s="1" t="s">
        <v>9846</v>
      </c>
      <c r="B9080" t="s">
        <v>637</v>
      </c>
    </row>
    <row r="9081" spans="1:2">
      <c r="A9081" s="1" t="s">
        <v>9847</v>
      </c>
      <c r="B9081" t="s">
        <v>637</v>
      </c>
    </row>
    <row r="9082" spans="1:2">
      <c r="A9082" s="1" t="s">
        <v>9848</v>
      </c>
      <c r="B9082" t="s">
        <v>637</v>
      </c>
    </row>
    <row r="9083" spans="1:2">
      <c r="A9083" s="1" t="s">
        <v>9849</v>
      </c>
      <c r="B9083" t="s">
        <v>637</v>
      </c>
    </row>
    <row r="9084" spans="1:2">
      <c r="A9084" s="1" t="s">
        <v>9850</v>
      </c>
      <c r="B9084" t="s">
        <v>637</v>
      </c>
    </row>
    <row r="9085" spans="1:2">
      <c r="A9085" s="1" t="s">
        <v>9851</v>
      </c>
      <c r="B9085" t="s">
        <v>637</v>
      </c>
    </row>
    <row r="9086" spans="1:2">
      <c r="A9086" s="1" t="s">
        <v>9852</v>
      </c>
      <c r="B9086" t="s">
        <v>637</v>
      </c>
    </row>
    <row r="9087" spans="1:2">
      <c r="A9087" s="1" t="s">
        <v>9853</v>
      </c>
      <c r="B9087" t="s">
        <v>637</v>
      </c>
    </row>
    <row r="9088" spans="1:2">
      <c r="A9088" s="1" t="s">
        <v>9854</v>
      </c>
      <c r="B9088" t="s">
        <v>637</v>
      </c>
    </row>
    <row r="9089" spans="1:2">
      <c r="A9089" s="1" t="s">
        <v>9855</v>
      </c>
      <c r="B9089" t="s">
        <v>637</v>
      </c>
    </row>
    <row r="9090" spans="1:2">
      <c r="A9090" s="1" t="s">
        <v>9856</v>
      </c>
      <c r="B9090" t="s">
        <v>637</v>
      </c>
    </row>
    <row r="9091" spans="1:2">
      <c r="A9091" s="1" t="s">
        <v>9857</v>
      </c>
      <c r="B9091" t="s">
        <v>637</v>
      </c>
    </row>
    <row r="9092" spans="1:2">
      <c r="A9092" s="1" t="s">
        <v>9858</v>
      </c>
      <c r="B9092" t="s">
        <v>637</v>
      </c>
    </row>
    <row r="9093" spans="1:2">
      <c r="A9093" s="1" t="s">
        <v>9859</v>
      </c>
      <c r="B9093" t="s">
        <v>637</v>
      </c>
    </row>
    <row r="9094" spans="1:2">
      <c r="A9094" s="1" t="s">
        <v>9860</v>
      </c>
      <c r="B9094" t="s">
        <v>637</v>
      </c>
    </row>
    <row r="9095" spans="1:2">
      <c r="A9095" s="1" t="s">
        <v>9861</v>
      </c>
      <c r="B9095" t="s">
        <v>637</v>
      </c>
    </row>
    <row r="9096" spans="1:2">
      <c r="A9096" s="1" t="s">
        <v>9862</v>
      </c>
      <c r="B9096" t="s">
        <v>637</v>
      </c>
    </row>
    <row r="9097" spans="1:2">
      <c r="A9097" s="1" t="s">
        <v>9863</v>
      </c>
      <c r="B9097" t="s">
        <v>637</v>
      </c>
    </row>
    <row r="9098" spans="1:2">
      <c r="A9098" s="1" t="s">
        <v>9864</v>
      </c>
      <c r="B9098" t="s">
        <v>637</v>
      </c>
    </row>
    <row r="9099" spans="1:2">
      <c r="A9099" s="1" t="s">
        <v>9865</v>
      </c>
      <c r="B9099" t="s">
        <v>637</v>
      </c>
    </row>
    <row r="9100" spans="1:2">
      <c r="A9100" s="1" t="s">
        <v>9866</v>
      </c>
      <c r="B9100" t="s">
        <v>637</v>
      </c>
    </row>
    <row r="9101" spans="1:2">
      <c r="A9101" s="1" t="s">
        <v>9867</v>
      </c>
      <c r="B9101" t="s">
        <v>637</v>
      </c>
    </row>
    <row r="9102" spans="1:2">
      <c r="A9102" s="1" t="s">
        <v>9868</v>
      </c>
      <c r="B9102" t="s">
        <v>637</v>
      </c>
    </row>
    <row r="9103" spans="1:2">
      <c r="A9103" s="1" t="s">
        <v>9869</v>
      </c>
      <c r="B9103" t="s">
        <v>637</v>
      </c>
    </row>
    <row r="9104" spans="1:2">
      <c r="A9104" s="1" t="s">
        <v>9870</v>
      </c>
      <c r="B9104" t="s">
        <v>637</v>
      </c>
    </row>
    <row r="9105" spans="1:2">
      <c r="A9105" s="1" t="s">
        <v>9871</v>
      </c>
      <c r="B9105" t="s">
        <v>637</v>
      </c>
    </row>
    <row r="9106" spans="1:2">
      <c r="A9106" s="1" t="s">
        <v>9872</v>
      </c>
      <c r="B9106" t="s">
        <v>637</v>
      </c>
    </row>
    <row r="9107" spans="1:2">
      <c r="A9107" s="1" t="s">
        <v>9873</v>
      </c>
      <c r="B9107" t="s">
        <v>637</v>
      </c>
    </row>
    <row r="9108" spans="1:2">
      <c r="A9108" s="1" t="s">
        <v>9874</v>
      </c>
      <c r="B9108" t="s">
        <v>637</v>
      </c>
    </row>
    <row r="9109" spans="1:2">
      <c r="A9109" s="1" t="s">
        <v>9875</v>
      </c>
      <c r="B9109" t="s">
        <v>637</v>
      </c>
    </row>
    <row r="9110" spans="1:2">
      <c r="A9110" s="1" t="s">
        <v>9876</v>
      </c>
      <c r="B9110" t="s">
        <v>637</v>
      </c>
    </row>
    <row r="9111" spans="1:2">
      <c r="A9111" s="1" t="s">
        <v>9877</v>
      </c>
      <c r="B9111" t="s">
        <v>637</v>
      </c>
    </row>
    <row r="9112" spans="1:2">
      <c r="A9112" s="1" t="s">
        <v>9878</v>
      </c>
      <c r="B9112" t="s">
        <v>637</v>
      </c>
    </row>
    <row r="9113" spans="1:2">
      <c r="A9113" s="1" t="s">
        <v>9879</v>
      </c>
      <c r="B9113" t="s">
        <v>637</v>
      </c>
    </row>
    <row r="9114" spans="1:2">
      <c r="A9114" s="1" t="s">
        <v>9880</v>
      </c>
      <c r="B9114" t="s">
        <v>637</v>
      </c>
    </row>
    <row r="9115" spans="1:2">
      <c r="A9115" s="1" t="s">
        <v>9881</v>
      </c>
      <c r="B9115" t="s">
        <v>637</v>
      </c>
    </row>
    <row r="9116" spans="1:2">
      <c r="A9116" s="1" t="s">
        <v>9882</v>
      </c>
      <c r="B9116" t="s">
        <v>637</v>
      </c>
    </row>
    <row r="9117" spans="1:2">
      <c r="A9117" s="1" t="s">
        <v>9883</v>
      </c>
      <c r="B9117" t="s">
        <v>637</v>
      </c>
    </row>
    <row r="9118" spans="1:2">
      <c r="A9118" s="1" t="s">
        <v>9884</v>
      </c>
      <c r="B9118" t="s">
        <v>637</v>
      </c>
    </row>
    <row r="9119" spans="1:2">
      <c r="A9119" s="1" t="s">
        <v>9885</v>
      </c>
      <c r="B9119" t="s">
        <v>637</v>
      </c>
    </row>
    <row r="9120" spans="1:2">
      <c r="A9120" s="1" t="s">
        <v>9886</v>
      </c>
      <c r="B9120" t="s">
        <v>637</v>
      </c>
    </row>
    <row r="9121" spans="1:2">
      <c r="A9121" s="1" t="s">
        <v>9887</v>
      </c>
      <c r="B9121" t="s">
        <v>637</v>
      </c>
    </row>
    <row r="9122" spans="1:2">
      <c r="A9122" s="1" t="s">
        <v>9888</v>
      </c>
      <c r="B9122" t="s">
        <v>637</v>
      </c>
    </row>
    <row r="9123" spans="1:2">
      <c r="A9123" s="1" t="s">
        <v>9889</v>
      </c>
      <c r="B9123" t="s">
        <v>637</v>
      </c>
    </row>
    <row r="9124" spans="1:2">
      <c r="A9124" s="1" t="s">
        <v>9890</v>
      </c>
      <c r="B9124" t="s">
        <v>637</v>
      </c>
    </row>
    <row r="9125" spans="1:2">
      <c r="A9125" s="1" t="s">
        <v>9891</v>
      </c>
      <c r="B9125" t="s">
        <v>637</v>
      </c>
    </row>
    <row r="9126" spans="1:2">
      <c r="A9126" s="1" t="s">
        <v>9892</v>
      </c>
      <c r="B9126" t="s">
        <v>637</v>
      </c>
    </row>
    <row r="9127" spans="1:2">
      <c r="A9127" s="1" t="s">
        <v>9893</v>
      </c>
      <c r="B9127" t="s">
        <v>637</v>
      </c>
    </row>
    <row r="9128" spans="1:2">
      <c r="A9128" s="1" t="s">
        <v>9894</v>
      </c>
      <c r="B9128" t="s">
        <v>637</v>
      </c>
    </row>
    <row r="9129" spans="1:2">
      <c r="A9129" s="1" t="s">
        <v>9895</v>
      </c>
      <c r="B9129" t="s">
        <v>637</v>
      </c>
    </row>
    <row r="9130" spans="1:2">
      <c r="A9130" s="1" t="s">
        <v>9896</v>
      </c>
      <c r="B9130" t="s">
        <v>637</v>
      </c>
    </row>
    <row r="9131" spans="1:2">
      <c r="A9131" s="1" t="s">
        <v>9897</v>
      </c>
      <c r="B9131" t="s">
        <v>637</v>
      </c>
    </row>
    <row r="9132" spans="1:2">
      <c r="A9132" s="1" t="s">
        <v>9898</v>
      </c>
      <c r="B9132" t="s">
        <v>637</v>
      </c>
    </row>
    <row r="9133" spans="1:2">
      <c r="A9133" s="1" t="s">
        <v>9899</v>
      </c>
      <c r="B9133" t="s">
        <v>637</v>
      </c>
    </row>
    <row r="9134" spans="1:2">
      <c r="A9134" s="1" t="s">
        <v>9900</v>
      </c>
      <c r="B9134" t="s">
        <v>637</v>
      </c>
    </row>
    <row r="9135" spans="1:2">
      <c r="A9135" s="1" t="s">
        <v>9901</v>
      </c>
      <c r="B9135" t="s">
        <v>637</v>
      </c>
    </row>
    <row r="9136" spans="1:2">
      <c r="A9136" s="1" t="s">
        <v>9902</v>
      </c>
      <c r="B9136" t="s">
        <v>637</v>
      </c>
    </row>
    <row r="9137" spans="1:2">
      <c r="A9137" s="1" t="s">
        <v>9903</v>
      </c>
      <c r="B9137" t="s">
        <v>637</v>
      </c>
    </row>
    <row r="9138" spans="1:2">
      <c r="A9138" s="1" t="s">
        <v>9904</v>
      </c>
      <c r="B9138" t="s">
        <v>637</v>
      </c>
    </row>
    <row r="9139" spans="1:2">
      <c r="A9139" s="1" t="s">
        <v>9905</v>
      </c>
      <c r="B9139" t="s">
        <v>637</v>
      </c>
    </row>
    <row r="9140" spans="1:2">
      <c r="A9140" s="1" t="s">
        <v>9906</v>
      </c>
      <c r="B9140" t="s">
        <v>637</v>
      </c>
    </row>
    <row r="9141" spans="1:2">
      <c r="A9141" s="1" t="s">
        <v>9907</v>
      </c>
      <c r="B9141" t="s">
        <v>637</v>
      </c>
    </row>
    <row r="9142" spans="1:2">
      <c r="A9142" s="1" t="s">
        <v>9908</v>
      </c>
      <c r="B9142" t="s">
        <v>637</v>
      </c>
    </row>
    <row r="9143" spans="1:2">
      <c r="A9143" s="1" t="s">
        <v>9909</v>
      </c>
      <c r="B9143" t="s">
        <v>637</v>
      </c>
    </row>
    <row r="9144" spans="1:2">
      <c r="A9144" s="1" t="s">
        <v>9910</v>
      </c>
      <c r="B9144" t="s">
        <v>637</v>
      </c>
    </row>
    <row r="9145" spans="1:2">
      <c r="A9145" s="1" t="s">
        <v>9911</v>
      </c>
      <c r="B9145" t="s">
        <v>637</v>
      </c>
    </row>
    <row r="9146" spans="1:2">
      <c r="A9146" s="1" t="s">
        <v>9912</v>
      </c>
      <c r="B9146" t="s">
        <v>637</v>
      </c>
    </row>
    <row r="9147" spans="1:2">
      <c r="A9147" s="1" t="s">
        <v>9913</v>
      </c>
      <c r="B9147" t="s">
        <v>637</v>
      </c>
    </row>
    <row r="9148" spans="1:2">
      <c r="A9148" s="1" t="s">
        <v>9914</v>
      </c>
      <c r="B9148" t="s">
        <v>637</v>
      </c>
    </row>
    <row r="9149" spans="1:2">
      <c r="A9149" s="1" t="s">
        <v>9915</v>
      </c>
      <c r="B9149" t="s">
        <v>637</v>
      </c>
    </row>
    <row r="9150" spans="1:2">
      <c r="A9150" s="1" t="s">
        <v>9916</v>
      </c>
      <c r="B9150" t="s">
        <v>637</v>
      </c>
    </row>
    <row r="9151" spans="1:2">
      <c r="A9151" s="1" t="s">
        <v>9917</v>
      </c>
      <c r="B9151" t="s">
        <v>637</v>
      </c>
    </row>
    <row r="9152" spans="1:2">
      <c r="A9152" s="1" t="s">
        <v>9918</v>
      </c>
      <c r="B9152" t="s">
        <v>637</v>
      </c>
    </row>
    <row r="9153" spans="1:2">
      <c r="A9153" s="1" t="s">
        <v>9919</v>
      </c>
      <c r="B9153" t="s">
        <v>637</v>
      </c>
    </row>
    <row r="9154" spans="1:2">
      <c r="A9154" s="1" t="s">
        <v>9920</v>
      </c>
      <c r="B9154" t="s">
        <v>637</v>
      </c>
    </row>
    <row r="9155" spans="1:2">
      <c r="A9155" s="1" t="s">
        <v>9921</v>
      </c>
      <c r="B9155" t="s">
        <v>637</v>
      </c>
    </row>
    <row r="9156" spans="1:2">
      <c r="A9156" s="1" t="s">
        <v>9922</v>
      </c>
      <c r="B9156" t="s">
        <v>637</v>
      </c>
    </row>
    <row r="9157" spans="1:2">
      <c r="A9157" s="1" t="s">
        <v>9923</v>
      </c>
      <c r="B9157" t="s">
        <v>637</v>
      </c>
    </row>
    <row r="9158" spans="1:2">
      <c r="A9158" s="1" t="s">
        <v>9924</v>
      </c>
      <c r="B9158" t="s">
        <v>637</v>
      </c>
    </row>
    <row r="9159" spans="1:2">
      <c r="A9159" s="1" t="s">
        <v>9925</v>
      </c>
      <c r="B9159" t="s">
        <v>637</v>
      </c>
    </row>
    <row r="9160" spans="1:2">
      <c r="A9160" s="1" t="s">
        <v>9926</v>
      </c>
      <c r="B9160" t="s">
        <v>637</v>
      </c>
    </row>
    <row r="9161" spans="1:2">
      <c r="A9161" s="1" t="s">
        <v>9927</v>
      </c>
      <c r="B9161" t="s">
        <v>637</v>
      </c>
    </row>
    <row r="9162" spans="1:2">
      <c r="A9162" s="1" t="s">
        <v>9928</v>
      </c>
      <c r="B9162" t="s">
        <v>637</v>
      </c>
    </row>
    <row r="9163" spans="1:2">
      <c r="A9163" s="1" t="s">
        <v>9929</v>
      </c>
      <c r="B9163" t="s">
        <v>637</v>
      </c>
    </row>
    <row r="9164" spans="1:2">
      <c r="A9164" s="1" t="s">
        <v>9930</v>
      </c>
      <c r="B9164" t="s">
        <v>637</v>
      </c>
    </row>
    <row r="9165" spans="1:2">
      <c r="A9165" s="1" t="s">
        <v>9931</v>
      </c>
      <c r="B9165" t="s">
        <v>637</v>
      </c>
    </row>
    <row r="9166" spans="1:2">
      <c r="A9166" s="1" t="s">
        <v>9932</v>
      </c>
      <c r="B9166" t="s">
        <v>637</v>
      </c>
    </row>
    <row r="9167" spans="1:2">
      <c r="A9167" s="1" t="s">
        <v>9933</v>
      </c>
      <c r="B9167" t="s">
        <v>637</v>
      </c>
    </row>
    <row r="9168" spans="1:2">
      <c r="A9168" s="1" t="s">
        <v>9934</v>
      </c>
      <c r="B9168" t="s">
        <v>637</v>
      </c>
    </row>
    <row r="9169" spans="1:2">
      <c r="A9169" s="1" t="s">
        <v>9935</v>
      </c>
      <c r="B9169" t="s">
        <v>637</v>
      </c>
    </row>
    <row r="9170" spans="1:2">
      <c r="A9170" s="1" t="s">
        <v>9936</v>
      </c>
      <c r="B9170" t="s">
        <v>637</v>
      </c>
    </row>
    <row r="9171" spans="1:2">
      <c r="A9171" s="1" t="s">
        <v>9937</v>
      </c>
      <c r="B9171" t="s">
        <v>637</v>
      </c>
    </row>
    <row r="9172" spans="1:2">
      <c r="A9172" s="1" t="s">
        <v>9938</v>
      </c>
      <c r="B9172" t="s">
        <v>637</v>
      </c>
    </row>
    <row r="9173" spans="1:2">
      <c r="A9173" s="1" t="s">
        <v>9939</v>
      </c>
      <c r="B9173" t="s">
        <v>637</v>
      </c>
    </row>
    <row r="9174" spans="1:2">
      <c r="A9174" s="1" t="s">
        <v>9940</v>
      </c>
      <c r="B9174" t="s">
        <v>637</v>
      </c>
    </row>
    <row r="9175" spans="1:2">
      <c r="A9175" s="1" t="s">
        <v>9941</v>
      </c>
      <c r="B9175" t="s">
        <v>637</v>
      </c>
    </row>
    <row r="9176" spans="1:2">
      <c r="A9176" s="1" t="s">
        <v>9942</v>
      </c>
      <c r="B9176" t="s">
        <v>637</v>
      </c>
    </row>
    <row r="9177" spans="1:2">
      <c r="A9177" s="1" t="s">
        <v>9943</v>
      </c>
      <c r="B9177" t="s">
        <v>637</v>
      </c>
    </row>
    <row r="9178" spans="1:2">
      <c r="A9178" s="1" t="s">
        <v>9944</v>
      </c>
      <c r="B9178" t="s">
        <v>637</v>
      </c>
    </row>
    <row r="9179" spans="1:2">
      <c r="A9179" s="1" t="s">
        <v>9945</v>
      </c>
      <c r="B9179" t="s">
        <v>637</v>
      </c>
    </row>
    <row r="9180" spans="1:2">
      <c r="A9180" s="1" t="s">
        <v>9946</v>
      </c>
      <c r="B9180" t="s">
        <v>637</v>
      </c>
    </row>
    <row r="9181" spans="1:2">
      <c r="A9181" s="1" t="s">
        <v>9947</v>
      </c>
      <c r="B9181" t="s">
        <v>637</v>
      </c>
    </row>
    <row r="9182" spans="1:2">
      <c r="A9182" s="1" t="s">
        <v>9948</v>
      </c>
      <c r="B9182" t="s">
        <v>637</v>
      </c>
    </row>
    <row r="9183" spans="1:2">
      <c r="A9183" s="1" t="s">
        <v>9949</v>
      </c>
      <c r="B9183" t="s">
        <v>637</v>
      </c>
    </row>
    <row r="9184" spans="1:2">
      <c r="A9184" s="1" t="s">
        <v>9950</v>
      </c>
      <c r="B9184" t="s">
        <v>637</v>
      </c>
    </row>
    <row r="9185" spans="1:2">
      <c r="A9185" s="1" t="s">
        <v>9951</v>
      </c>
      <c r="B9185" t="s">
        <v>637</v>
      </c>
    </row>
    <row r="9186" spans="1:2">
      <c r="A9186" s="1" t="s">
        <v>9952</v>
      </c>
      <c r="B9186" t="s">
        <v>637</v>
      </c>
    </row>
    <row r="9187" spans="1:2">
      <c r="A9187" s="1" t="s">
        <v>9953</v>
      </c>
      <c r="B9187" t="s">
        <v>637</v>
      </c>
    </row>
    <row r="9188" spans="1:2">
      <c r="A9188" s="1" t="s">
        <v>9954</v>
      </c>
      <c r="B9188" t="s">
        <v>637</v>
      </c>
    </row>
    <row r="9189" spans="1:2">
      <c r="A9189" s="1" t="s">
        <v>9955</v>
      </c>
      <c r="B9189" t="s">
        <v>637</v>
      </c>
    </row>
    <row r="9190" spans="1:2">
      <c r="A9190" s="1" t="s">
        <v>9956</v>
      </c>
      <c r="B9190" t="s">
        <v>637</v>
      </c>
    </row>
    <row r="9191" spans="1:2">
      <c r="A9191" s="1" t="s">
        <v>9957</v>
      </c>
      <c r="B9191" t="s">
        <v>637</v>
      </c>
    </row>
    <row r="9192" spans="1:2">
      <c r="A9192" s="1" t="s">
        <v>9958</v>
      </c>
      <c r="B9192" t="s">
        <v>637</v>
      </c>
    </row>
    <row r="9193" spans="1:2">
      <c r="A9193" s="1" t="s">
        <v>9959</v>
      </c>
      <c r="B9193" t="s">
        <v>637</v>
      </c>
    </row>
    <row r="9194" spans="1:2">
      <c r="A9194" s="1" t="s">
        <v>9960</v>
      </c>
      <c r="B9194" t="s">
        <v>637</v>
      </c>
    </row>
    <row r="9195" spans="1:2">
      <c r="A9195" s="1" t="s">
        <v>9961</v>
      </c>
      <c r="B9195" t="s">
        <v>637</v>
      </c>
    </row>
    <row r="9196" spans="1:2">
      <c r="A9196" s="1" t="s">
        <v>9962</v>
      </c>
      <c r="B9196" t="s">
        <v>637</v>
      </c>
    </row>
    <row r="9197" spans="1:2">
      <c r="A9197" s="1" t="s">
        <v>9963</v>
      </c>
      <c r="B9197" t="s">
        <v>637</v>
      </c>
    </row>
    <row r="9198" spans="1:2">
      <c r="A9198" s="1" t="s">
        <v>9964</v>
      </c>
      <c r="B9198" t="s">
        <v>637</v>
      </c>
    </row>
    <row r="9199" spans="1:2">
      <c r="A9199" s="1" t="s">
        <v>9965</v>
      </c>
      <c r="B9199" t="s">
        <v>637</v>
      </c>
    </row>
    <row r="9200" spans="1:2">
      <c r="A9200" s="1" t="s">
        <v>9966</v>
      </c>
      <c r="B9200" t="s">
        <v>637</v>
      </c>
    </row>
    <row r="9201" spans="1:2">
      <c r="A9201" s="1" t="s">
        <v>9967</v>
      </c>
      <c r="B9201" t="s">
        <v>637</v>
      </c>
    </row>
    <row r="9202" spans="1:2">
      <c r="A9202" s="1" t="s">
        <v>9968</v>
      </c>
      <c r="B9202" t="s">
        <v>637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637</v>
      </c>
    </row>
    <row r="9205" spans="1:2">
      <c r="A9205" s="1" t="s">
        <v>9971</v>
      </c>
      <c r="B9205" t="s">
        <v>637</v>
      </c>
    </row>
    <row r="9206" spans="1:2">
      <c r="A9206" s="1" t="s">
        <v>9972</v>
      </c>
      <c r="B9206" t="s">
        <v>637</v>
      </c>
    </row>
    <row r="9207" spans="1:2">
      <c r="A9207" s="1" t="s">
        <v>9973</v>
      </c>
      <c r="B9207" t="s">
        <v>637</v>
      </c>
    </row>
    <row r="9208" spans="1:2">
      <c r="A9208" s="1" t="s">
        <v>9974</v>
      </c>
      <c r="B9208" t="s">
        <v>637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637</v>
      </c>
    </row>
    <row r="9211" spans="1:2">
      <c r="A9211" s="1" t="s">
        <v>9977</v>
      </c>
      <c r="B9211" t="s">
        <v>637</v>
      </c>
    </row>
    <row r="9212" spans="1:2">
      <c r="A9212" s="1" t="s">
        <v>9978</v>
      </c>
      <c r="B9212" t="s">
        <v>637</v>
      </c>
    </row>
    <row r="9213" spans="1:2">
      <c r="A9213" s="1" t="s">
        <v>9979</v>
      </c>
      <c r="B9213" t="s">
        <v>637</v>
      </c>
    </row>
    <row r="9214" spans="1:2">
      <c r="A9214" s="1" t="s">
        <v>9980</v>
      </c>
      <c r="B9214" t="s">
        <v>637</v>
      </c>
    </row>
    <row r="9215" spans="1:2">
      <c r="A9215" s="1" t="s">
        <v>9981</v>
      </c>
      <c r="B9215" t="s">
        <v>637</v>
      </c>
    </row>
    <row r="9216" spans="1:2">
      <c r="A9216" s="1" t="s">
        <v>9982</v>
      </c>
      <c r="B9216" t="s">
        <v>637</v>
      </c>
    </row>
    <row r="9217" spans="1:2">
      <c r="A9217" s="1" t="s">
        <v>9983</v>
      </c>
      <c r="B9217" t="s">
        <v>637</v>
      </c>
    </row>
    <row r="9218" spans="1:2">
      <c r="A9218" s="1" t="s">
        <v>9984</v>
      </c>
      <c r="B9218" t="s">
        <v>637</v>
      </c>
    </row>
    <row r="9219" spans="1:2">
      <c r="A9219" s="1" t="s">
        <v>9985</v>
      </c>
      <c r="B9219" t="s">
        <v>637</v>
      </c>
    </row>
    <row r="9220" spans="1:2">
      <c r="A9220" s="1" t="s">
        <v>9986</v>
      </c>
      <c r="B9220" t="s">
        <v>637</v>
      </c>
    </row>
    <row r="9221" spans="1:2">
      <c r="A9221" s="1" t="s">
        <v>9987</v>
      </c>
      <c r="B9221" t="s">
        <v>637</v>
      </c>
    </row>
    <row r="9222" spans="1:2">
      <c r="A9222" s="1" t="s">
        <v>9988</v>
      </c>
      <c r="B9222" t="s">
        <v>637</v>
      </c>
    </row>
    <row r="9223" spans="1:2">
      <c r="A9223" s="1" t="s">
        <v>9989</v>
      </c>
      <c r="B9223" t="s">
        <v>637</v>
      </c>
    </row>
    <row r="9224" spans="1:2">
      <c r="A9224" s="1" t="s">
        <v>9990</v>
      </c>
      <c r="B9224" t="s">
        <v>637</v>
      </c>
    </row>
    <row r="9225" spans="1:2">
      <c r="A9225" s="1" t="s">
        <v>9991</v>
      </c>
      <c r="B9225" t="s">
        <v>637</v>
      </c>
    </row>
    <row r="9226" spans="1:2">
      <c r="A9226" s="1" t="s">
        <v>9992</v>
      </c>
      <c r="B9226" t="s">
        <v>637</v>
      </c>
    </row>
    <row r="9227" spans="1:2">
      <c r="A9227" s="1" t="s">
        <v>9993</v>
      </c>
      <c r="B9227" t="s">
        <v>637</v>
      </c>
    </row>
    <row r="9228" spans="1:2">
      <c r="A9228" s="1" t="s">
        <v>9994</v>
      </c>
      <c r="B9228" t="s">
        <v>637</v>
      </c>
    </row>
    <row r="9229" spans="1:2">
      <c r="A9229" s="1" t="s">
        <v>9995</v>
      </c>
      <c r="B9229" t="s">
        <v>637</v>
      </c>
    </row>
    <row r="9230" spans="1:2">
      <c r="A9230" s="1" t="s">
        <v>9996</v>
      </c>
      <c r="B9230" t="s">
        <v>637</v>
      </c>
    </row>
    <row r="9231" spans="1:2">
      <c r="A9231" s="1" t="s">
        <v>9997</v>
      </c>
      <c r="B9231" t="s">
        <v>637</v>
      </c>
    </row>
    <row r="9232" spans="1:2">
      <c r="A9232" s="1" t="s">
        <v>9998</v>
      </c>
      <c r="B9232" t="s">
        <v>637</v>
      </c>
    </row>
    <row r="9233" spans="1:2">
      <c r="A9233" s="1" t="s">
        <v>9999</v>
      </c>
      <c r="B9233" t="s">
        <v>637</v>
      </c>
    </row>
    <row r="9234" spans="1:2">
      <c r="A9234" s="1" t="s">
        <v>10000</v>
      </c>
      <c r="B9234" t="s">
        <v>637</v>
      </c>
    </row>
    <row r="9235" spans="1:2">
      <c r="A9235" s="1" t="s">
        <v>10001</v>
      </c>
      <c r="B9235" t="s">
        <v>637</v>
      </c>
    </row>
    <row r="9236" spans="1:2">
      <c r="A9236" s="1" t="s">
        <v>10002</v>
      </c>
      <c r="B9236" t="s">
        <v>637</v>
      </c>
    </row>
    <row r="9237" spans="1:2">
      <c r="A9237" s="1" t="s">
        <v>10003</v>
      </c>
      <c r="B9237" t="s">
        <v>637</v>
      </c>
    </row>
    <row r="9238" spans="1:2">
      <c r="A9238" s="1" t="s">
        <v>10004</v>
      </c>
      <c r="B9238" t="s">
        <v>637</v>
      </c>
    </row>
    <row r="9239" spans="1:2">
      <c r="A9239" s="1" t="s">
        <v>10005</v>
      </c>
      <c r="B9239" t="s">
        <v>637</v>
      </c>
    </row>
    <row r="9240" spans="1:2">
      <c r="A9240" s="1" t="s">
        <v>10006</v>
      </c>
      <c r="B9240" t="s">
        <v>637</v>
      </c>
    </row>
    <row r="9241" spans="1:2">
      <c r="A9241" s="1" t="s">
        <v>10007</v>
      </c>
      <c r="B9241" t="s">
        <v>637</v>
      </c>
    </row>
    <row r="9242" spans="1:2">
      <c r="A9242" s="1" t="s">
        <v>10008</v>
      </c>
      <c r="B9242" t="s">
        <v>637</v>
      </c>
    </row>
    <row r="9243" spans="1:2">
      <c r="A9243" s="1" t="s">
        <v>10009</v>
      </c>
      <c r="B9243" t="s">
        <v>637</v>
      </c>
    </row>
    <row r="9244" spans="1:2">
      <c r="A9244" s="1" t="s">
        <v>10010</v>
      </c>
      <c r="B9244" t="s">
        <v>637</v>
      </c>
    </row>
    <row r="9245" spans="1:2">
      <c r="A9245" s="1" t="s">
        <v>10011</v>
      </c>
      <c r="B9245" t="s">
        <v>637</v>
      </c>
    </row>
    <row r="9246" spans="1:2">
      <c r="A9246" s="1" t="s">
        <v>10012</v>
      </c>
      <c r="B9246" t="s">
        <v>637</v>
      </c>
    </row>
    <row r="9247" spans="1:2">
      <c r="A9247" s="1" t="s">
        <v>10013</v>
      </c>
      <c r="B9247" t="s">
        <v>637</v>
      </c>
    </row>
    <row r="9248" spans="1:2">
      <c r="A9248" s="1" t="s">
        <v>10014</v>
      </c>
      <c r="B9248" t="s">
        <v>637</v>
      </c>
    </row>
    <row r="9249" spans="1:2">
      <c r="A9249" s="1" t="s">
        <v>10015</v>
      </c>
      <c r="B9249" t="s">
        <v>637</v>
      </c>
    </row>
    <row r="9250" spans="1:2">
      <c r="A9250" s="1" t="s">
        <v>10016</v>
      </c>
      <c r="B9250" t="s">
        <v>637</v>
      </c>
    </row>
    <row r="9251" spans="1:2">
      <c r="A9251" s="1" t="s">
        <v>10017</v>
      </c>
      <c r="B9251" t="s">
        <v>637</v>
      </c>
    </row>
    <row r="9252" spans="1:2">
      <c r="A9252" s="1" t="s">
        <v>10018</v>
      </c>
      <c r="B9252" t="s">
        <v>637</v>
      </c>
    </row>
    <row r="9253" spans="1:2">
      <c r="A9253" s="1" t="s">
        <v>10019</v>
      </c>
      <c r="B9253" t="s">
        <v>637</v>
      </c>
    </row>
    <row r="9254" spans="1:2">
      <c r="A9254" s="1" t="s">
        <v>10020</v>
      </c>
      <c r="B9254" t="s">
        <v>637</v>
      </c>
    </row>
    <row r="9255" spans="1:2">
      <c r="A9255" s="1" t="s">
        <v>10021</v>
      </c>
      <c r="B9255" t="s">
        <v>637</v>
      </c>
    </row>
    <row r="9256" spans="1:2">
      <c r="A9256" s="1" t="s">
        <v>10022</v>
      </c>
      <c r="B9256" t="s">
        <v>637</v>
      </c>
    </row>
    <row r="9257" spans="1:2">
      <c r="A9257" s="1" t="s">
        <v>10023</v>
      </c>
      <c r="B9257" t="s">
        <v>637</v>
      </c>
    </row>
    <row r="9258" spans="1:2">
      <c r="A9258" s="1" t="s">
        <v>10024</v>
      </c>
      <c r="B9258" t="s">
        <v>637</v>
      </c>
    </row>
    <row r="9259" spans="1:2">
      <c r="A9259" s="1" t="s">
        <v>10025</v>
      </c>
      <c r="B9259" t="s">
        <v>637</v>
      </c>
    </row>
    <row r="9260" spans="1:2">
      <c r="A9260" s="1" t="s">
        <v>10026</v>
      </c>
      <c r="B9260" t="s">
        <v>637</v>
      </c>
    </row>
    <row r="9261" spans="1:2">
      <c r="A9261" s="1" t="s">
        <v>10027</v>
      </c>
      <c r="B9261" t="s">
        <v>637</v>
      </c>
    </row>
    <row r="9262" spans="1:2">
      <c r="A9262" s="1" t="s">
        <v>10028</v>
      </c>
      <c r="B9262" t="s">
        <v>637</v>
      </c>
    </row>
    <row r="9263" spans="1:2">
      <c r="A9263" s="1" t="s">
        <v>10029</v>
      </c>
      <c r="B9263" t="s">
        <v>637</v>
      </c>
    </row>
    <row r="9264" spans="1:2">
      <c r="A9264" s="1" t="s">
        <v>10030</v>
      </c>
      <c r="B9264" t="s">
        <v>637</v>
      </c>
    </row>
    <row r="9265" spans="1:2">
      <c r="A9265" s="1" t="s">
        <v>10031</v>
      </c>
      <c r="B9265" t="s">
        <v>637</v>
      </c>
    </row>
    <row r="9266" spans="1:2">
      <c r="A9266" s="1" t="s">
        <v>10032</v>
      </c>
      <c r="B9266" t="s">
        <v>637</v>
      </c>
    </row>
    <row r="9267" spans="1:2">
      <c r="A9267" s="1" t="s">
        <v>10033</v>
      </c>
      <c r="B9267" t="s">
        <v>637</v>
      </c>
    </row>
    <row r="9268" spans="1:2">
      <c r="A9268" s="1" t="s">
        <v>10034</v>
      </c>
      <c r="B9268" t="s">
        <v>637</v>
      </c>
    </row>
    <row r="9269" spans="1:2">
      <c r="A9269" s="1" t="s">
        <v>10035</v>
      </c>
      <c r="B9269" t="s">
        <v>637</v>
      </c>
    </row>
    <row r="9270" spans="1:2">
      <c r="A9270" s="1" t="s">
        <v>10036</v>
      </c>
      <c r="B9270" t="s">
        <v>637</v>
      </c>
    </row>
    <row r="9271" spans="1:2">
      <c r="A9271" s="1" t="s">
        <v>10037</v>
      </c>
      <c r="B9271" t="s">
        <v>637</v>
      </c>
    </row>
    <row r="9272" spans="1:2">
      <c r="A9272" s="1" t="s">
        <v>10038</v>
      </c>
      <c r="B9272" t="s">
        <v>637</v>
      </c>
    </row>
    <row r="9273" spans="1:2">
      <c r="A9273" s="1" t="s">
        <v>10039</v>
      </c>
      <c r="B9273" t="s">
        <v>637</v>
      </c>
    </row>
    <row r="9274" spans="1:2">
      <c r="A9274" s="1" t="s">
        <v>10040</v>
      </c>
      <c r="B9274" t="s">
        <v>637</v>
      </c>
    </row>
    <row r="9275" spans="1:2">
      <c r="A9275" s="1" t="s">
        <v>10041</v>
      </c>
      <c r="B9275" t="s">
        <v>637</v>
      </c>
    </row>
    <row r="9276" spans="1:2">
      <c r="A9276" s="1" t="s">
        <v>10042</v>
      </c>
      <c r="B9276" t="s">
        <v>637</v>
      </c>
    </row>
    <row r="9277" spans="1:2">
      <c r="A9277" s="1" t="s">
        <v>10043</v>
      </c>
      <c r="B9277" t="s">
        <v>637</v>
      </c>
    </row>
    <row r="9278" spans="1:2">
      <c r="A9278" s="1" t="s">
        <v>10044</v>
      </c>
      <c r="B9278" t="s">
        <v>637</v>
      </c>
    </row>
    <row r="9279" spans="1:2">
      <c r="A9279" s="1" t="s">
        <v>10045</v>
      </c>
      <c r="B9279" t="s">
        <v>637</v>
      </c>
    </row>
    <row r="9280" spans="1:2">
      <c r="A9280" s="1" t="s">
        <v>10046</v>
      </c>
      <c r="B9280" t="s">
        <v>637</v>
      </c>
    </row>
    <row r="9281" spans="1:2">
      <c r="A9281" s="1" t="s">
        <v>10047</v>
      </c>
      <c r="B9281" t="s">
        <v>637</v>
      </c>
    </row>
    <row r="9282" spans="1:2">
      <c r="A9282" s="1" t="s">
        <v>10048</v>
      </c>
      <c r="B9282" t="s">
        <v>637</v>
      </c>
    </row>
    <row r="9283" spans="1:2">
      <c r="A9283" s="1" t="s">
        <v>10049</v>
      </c>
      <c r="B9283" t="s">
        <v>637</v>
      </c>
    </row>
    <row r="9284" spans="1:2">
      <c r="A9284" s="1" t="s">
        <v>10050</v>
      </c>
      <c r="B9284" t="s">
        <v>637</v>
      </c>
    </row>
    <row r="9285" spans="1:2">
      <c r="A9285" s="1" t="s">
        <v>10051</v>
      </c>
      <c r="B9285" t="s">
        <v>637</v>
      </c>
    </row>
    <row r="9286" spans="1:2">
      <c r="A9286" s="1" t="s">
        <v>10052</v>
      </c>
      <c r="B9286" t="s">
        <v>637</v>
      </c>
    </row>
    <row r="9287" spans="1:2">
      <c r="A9287" s="1" t="s">
        <v>10053</v>
      </c>
      <c r="B9287" t="s">
        <v>637</v>
      </c>
    </row>
    <row r="9288" spans="1:2">
      <c r="A9288" s="1" t="s">
        <v>10054</v>
      </c>
      <c r="B9288" t="s">
        <v>637</v>
      </c>
    </row>
    <row r="9289" spans="1:2">
      <c r="A9289" s="1" t="s">
        <v>10055</v>
      </c>
      <c r="B9289" t="s">
        <v>637</v>
      </c>
    </row>
    <row r="9290" spans="1:2">
      <c r="A9290" s="1" t="s">
        <v>10056</v>
      </c>
      <c r="B9290" t="s">
        <v>637</v>
      </c>
    </row>
    <row r="9291" spans="1:2">
      <c r="A9291" s="1" t="s">
        <v>10057</v>
      </c>
      <c r="B9291" t="s">
        <v>637</v>
      </c>
    </row>
    <row r="9292" spans="1:2">
      <c r="A9292" s="1" t="s">
        <v>10058</v>
      </c>
      <c r="B9292" t="s">
        <v>637</v>
      </c>
    </row>
    <row r="9293" spans="1:2">
      <c r="A9293" s="1" t="s">
        <v>10059</v>
      </c>
      <c r="B9293" t="s">
        <v>637</v>
      </c>
    </row>
    <row r="9294" spans="1:2">
      <c r="A9294" s="1" t="s">
        <v>10060</v>
      </c>
      <c r="B9294" t="s">
        <v>637</v>
      </c>
    </row>
    <row r="9295" spans="1:2">
      <c r="A9295" s="1" t="s">
        <v>10061</v>
      </c>
      <c r="B9295" t="s">
        <v>637</v>
      </c>
    </row>
    <row r="9296" spans="1:2">
      <c r="A9296" s="1" t="s">
        <v>10062</v>
      </c>
      <c r="B9296" t="s">
        <v>637</v>
      </c>
    </row>
    <row r="9297" spans="1:2">
      <c r="A9297" s="1" t="s">
        <v>10063</v>
      </c>
      <c r="B9297" t="s">
        <v>637</v>
      </c>
    </row>
    <row r="9298" spans="1:2">
      <c r="A9298" s="1" t="s">
        <v>10064</v>
      </c>
      <c r="B9298" t="s">
        <v>637</v>
      </c>
    </row>
    <row r="9299" spans="1:2">
      <c r="A9299" s="1" t="s">
        <v>10065</v>
      </c>
      <c r="B9299" t="s">
        <v>637</v>
      </c>
    </row>
    <row r="9300" spans="1:2">
      <c r="A9300" s="1" t="s">
        <v>10066</v>
      </c>
      <c r="B9300" t="s">
        <v>637</v>
      </c>
    </row>
    <row r="9301" spans="1:2">
      <c r="A9301" s="1" t="s">
        <v>10067</v>
      </c>
      <c r="B9301" t="s">
        <v>637</v>
      </c>
    </row>
    <row r="9302" spans="1:2">
      <c r="A9302" s="1" t="s">
        <v>10068</v>
      </c>
      <c r="B9302" t="s">
        <v>637</v>
      </c>
    </row>
    <row r="9303" spans="1:2">
      <c r="A9303" s="1" t="s">
        <v>10069</v>
      </c>
      <c r="B9303" t="s">
        <v>637</v>
      </c>
    </row>
    <row r="9304" spans="1:2">
      <c r="A9304" s="1" t="s">
        <v>10070</v>
      </c>
      <c r="B9304" t="s">
        <v>637</v>
      </c>
    </row>
    <row r="9305" spans="1:2">
      <c r="A9305" s="1" t="s">
        <v>10071</v>
      </c>
      <c r="B9305" t="s">
        <v>637</v>
      </c>
    </row>
    <row r="9306" spans="1:2">
      <c r="A9306" s="1" t="s">
        <v>10072</v>
      </c>
      <c r="B9306" t="s">
        <v>637</v>
      </c>
    </row>
    <row r="9307" spans="1:2">
      <c r="A9307" s="1" t="s">
        <v>10073</v>
      </c>
      <c r="B9307" t="s">
        <v>637</v>
      </c>
    </row>
    <row r="9308" spans="1:2">
      <c r="A9308" s="1" t="s">
        <v>10074</v>
      </c>
      <c r="B9308" t="s">
        <v>637</v>
      </c>
    </row>
    <row r="9309" spans="1:2">
      <c r="A9309" s="1" t="s">
        <v>10075</v>
      </c>
      <c r="B9309" t="s">
        <v>637</v>
      </c>
    </row>
    <row r="9310" spans="1:2">
      <c r="A9310" s="1" t="s">
        <v>10076</v>
      </c>
      <c r="B9310" t="s">
        <v>637</v>
      </c>
    </row>
    <row r="9311" spans="1:2">
      <c r="A9311" s="1" t="s">
        <v>10077</v>
      </c>
      <c r="B9311" t="s">
        <v>637</v>
      </c>
    </row>
    <row r="9312" spans="1:2">
      <c r="A9312" s="1" t="s">
        <v>10078</v>
      </c>
      <c r="B9312" t="s">
        <v>637</v>
      </c>
    </row>
    <row r="9313" spans="1:2">
      <c r="A9313" s="1" t="s">
        <v>10079</v>
      </c>
      <c r="B9313" t="s">
        <v>637</v>
      </c>
    </row>
    <row r="9314" spans="1:2">
      <c r="A9314" s="1" t="s">
        <v>10080</v>
      </c>
      <c r="B9314" t="s">
        <v>637</v>
      </c>
    </row>
    <row r="9315" spans="1:2">
      <c r="A9315" s="1" t="s">
        <v>10081</v>
      </c>
      <c r="B9315" t="s">
        <v>637</v>
      </c>
    </row>
    <row r="9316" spans="1:2">
      <c r="A9316" s="1" t="s">
        <v>10082</v>
      </c>
      <c r="B9316" t="s">
        <v>637</v>
      </c>
    </row>
    <row r="9317" spans="1:2">
      <c r="A9317" s="1" t="s">
        <v>10083</v>
      </c>
      <c r="B9317" t="s">
        <v>637</v>
      </c>
    </row>
    <row r="9318" spans="1:2">
      <c r="A9318" s="1" t="s">
        <v>10084</v>
      </c>
      <c r="B9318" t="s">
        <v>637</v>
      </c>
    </row>
    <row r="9319" spans="1:2">
      <c r="A9319" s="1" t="s">
        <v>10085</v>
      </c>
      <c r="B9319" t="s">
        <v>637</v>
      </c>
    </row>
    <row r="9320" spans="1:2">
      <c r="A9320" s="1" t="s">
        <v>10086</v>
      </c>
      <c r="B9320" t="s">
        <v>637</v>
      </c>
    </row>
    <row r="9321" spans="1:2">
      <c r="A9321" s="1" t="s">
        <v>10087</v>
      </c>
      <c r="B9321" t="s">
        <v>637</v>
      </c>
    </row>
    <row r="9322" spans="1:2">
      <c r="A9322" s="1" t="s">
        <v>10088</v>
      </c>
      <c r="B9322" t="s">
        <v>637</v>
      </c>
    </row>
    <row r="9323" spans="1:2">
      <c r="A9323" s="1" t="s">
        <v>10089</v>
      </c>
      <c r="B9323" t="s">
        <v>637</v>
      </c>
    </row>
    <row r="9324" spans="1:2">
      <c r="A9324" s="1" t="s">
        <v>10090</v>
      </c>
      <c r="B9324" t="s">
        <v>637</v>
      </c>
    </row>
    <row r="9325" spans="1:2">
      <c r="A9325" s="1" t="s">
        <v>10091</v>
      </c>
      <c r="B9325" t="s">
        <v>637</v>
      </c>
    </row>
    <row r="9326" spans="1:2">
      <c r="A9326" s="1" t="s">
        <v>10092</v>
      </c>
      <c r="B9326" t="s">
        <v>637</v>
      </c>
    </row>
    <row r="9327" spans="1:2">
      <c r="A9327" s="1" t="s">
        <v>10093</v>
      </c>
      <c r="B9327" t="s">
        <v>637</v>
      </c>
    </row>
    <row r="9328" spans="1:2">
      <c r="A9328" s="1" t="s">
        <v>10094</v>
      </c>
      <c r="B9328" t="s">
        <v>637</v>
      </c>
    </row>
    <row r="9329" spans="1:2">
      <c r="A9329" s="1" t="s">
        <v>10095</v>
      </c>
      <c r="B9329" t="s">
        <v>637</v>
      </c>
    </row>
    <row r="9330" spans="1:2">
      <c r="A9330" s="1" t="s">
        <v>10096</v>
      </c>
      <c r="B9330" t="s">
        <v>637</v>
      </c>
    </row>
    <row r="9331" spans="1:2">
      <c r="A9331" s="1" t="s">
        <v>10097</v>
      </c>
      <c r="B9331" t="s">
        <v>637</v>
      </c>
    </row>
    <row r="9332" spans="1:2">
      <c r="A9332" s="1" t="s">
        <v>10098</v>
      </c>
      <c r="B9332" t="s">
        <v>637</v>
      </c>
    </row>
    <row r="9333" spans="1:2">
      <c r="A9333" s="1" t="s">
        <v>10099</v>
      </c>
      <c r="B9333" t="s">
        <v>637</v>
      </c>
    </row>
    <row r="9334" spans="1:2">
      <c r="A9334" s="1" t="s">
        <v>10100</v>
      </c>
      <c r="B9334" t="s">
        <v>637</v>
      </c>
    </row>
    <row r="9335" spans="1:2">
      <c r="A9335" s="1" t="s">
        <v>10101</v>
      </c>
      <c r="B9335" t="s">
        <v>637</v>
      </c>
    </row>
    <row r="9336" spans="1:2">
      <c r="A9336" s="1" t="s">
        <v>10102</v>
      </c>
      <c r="B9336" t="s">
        <v>637</v>
      </c>
    </row>
    <row r="9337" spans="1:2">
      <c r="A9337" s="1" t="s">
        <v>10103</v>
      </c>
      <c r="B9337" t="s">
        <v>637</v>
      </c>
    </row>
    <row r="9338" spans="1:2">
      <c r="A9338" s="1" t="s">
        <v>10104</v>
      </c>
      <c r="B9338" t="s">
        <v>637</v>
      </c>
    </row>
    <row r="9339" spans="1:2">
      <c r="A9339" s="1" t="s">
        <v>10105</v>
      </c>
      <c r="B9339" t="s">
        <v>637</v>
      </c>
    </row>
    <row r="9340" spans="1:2">
      <c r="A9340" s="1" t="s">
        <v>10106</v>
      </c>
      <c r="B9340" t="s">
        <v>637</v>
      </c>
    </row>
    <row r="9341" spans="1:2">
      <c r="A9341" s="1" t="s">
        <v>10107</v>
      </c>
      <c r="B9341" t="s">
        <v>637</v>
      </c>
    </row>
    <row r="9342" spans="1:2">
      <c r="A9342" s="1" t="s">
        <v>10108</v>
      </c>
      <c r="B9342" t="s">
        <v>637</v>
      </c>
    </row>
    <row r="9343" spans="1:2">
      <c r="A9343" s="1" t="s">
        <v>10109</v>
      </c>
      <c r="B9343" t="s">
        <v>637</v>
      </c>
    </row>
    <row r="9344" spans="1:2">
      <c r="A9344" s="1" t="s">
        <v>10110</v>
      </c>
      <c r="B9344" t="s">
        <v>637</v>
      </c>
    </row>
    <row r="9345" spans="1:2">
      <c r="A9345" s="1" t="s">
        <v>10111</v>
      </c>
      <c r="B9345" t="s">
        <v>637</v>
      </c>
    </row>
    <row r="9346" spans="1:2">
      <c r="A9346" s="1" t="s">
        <v>10112</v>
      </c>
      <c r="B9346" t="s">
        <v>637</v>
      </c>
    </row>
    <row r="9347" spans="1:2">
      <c r="A9347" s="1" t="s">
        <v>10113</v>
      </c>
      <c r="B9347" t="s">
        <v>637</v>
      </c>
    </row>
    <row r="9348" spans="1:2">
      <c r="A9348" s="1" t="s">
        <v>10114</v>
      </c>
      <c r="B9348" t="s">
        <v>637</v>
      </c>
    </row>
    <row r="9349" spans="1:2">
      <c r="A9349" s="1" t="s">
        <v>10115</v>
      </c>
      <c r="B9349" t="s">
        <v>637</v>
      </c>
    </row>
    <row r="9350" spans="1:2">
      <c r="A9350" s="1" t="s">
        <v>10116</v>
      </c>
      <c r="B9350" t="s">
        <v>637</v>
      </c>
    </row>
    <row r="9351" spans="1:2">
      <c r="A9351" s="1" t="s">
        <v>10117</v>
      </c>
      <c r="B9351" t="s">
        <v>637</v>
      </c>
    </row>
    <row r="9352" spans="1:2">
      <c r="A9352" s="1" t="s">
        <v>10118</v>
      </c>
      <c r="B9352" t="s">
        <v>637</v>
      </c>
    </row>
    <row r="9353" spans="1:2">
      <c r="A9353" s="1" t="s">
        <v>10119</v>
      </c>
      <c r="B9353" t="s">
        <v>637</v>
      </c>
    </row>
    <row r="9354" spans="1:2">
      <c r="A9354" s="1" t="s">
        <v>10120</v>
      </c>
      <c r="B9354" t="s">
        <v>637</v>
      </c>
    </row>
    <row r="9355" spans="1:2">
      <c r="A9355" s="1" t="s">
        <v>10121</v>
      </c>
      <c r="B9355" t="s">
        <v>637</v>
      </c>
    </row>
    <row r="9356" spans="1:2">
      <c r="A9356" s="1" t="s">
        <v>10122</v>
      </c>
      <c r="B9356" t="s">
        <v>637</v>
      </c>
    </row>
    <row r="9357" spans="1:2">
      <c r="A9357" s="1" t="s">
        <v>10123</v>
      </c>
      <c r="B9357" t="s">
        <v>637</v>
      </c>
    </row>
    <row r="9358" spans="1:2">
      <c r="A9358" s="1" t="s">
        <v>10124</v>
      </c>
      <c r="B9358" t="s">
        <v>637</v>
      </c>
    </row>
    <row r="9359" spans="1:2">
      <c r="A9359" s="1" t="s">
        <v>10125</v>
      </c>
      <c r="B9359" t="s">
        <v>637</v>
      </c>
    </row>
    <row r="9360" spans="1:2">
      <c r="A9360" s="1" t="s">
        <v>10126</v>
      </c>
      <c r="B9360" t="s">
        <v>637</v>
      </c>
    </row>
    <row r="9361" spans="1:2">
      <c r="A9361" s="1" t="s">
        <v>10127</v>
      </c>
      <c r="B9361" t="s">
        <v>637</v>
      </c>
    </row>
    <row r="9362" spans="1:2">
      <c r="A9362" s="1" t="s">
        <v>10128</v>
      </c>
      <c r="B9362" t="s">
        <v>637</v>
      </c>
    </row>
    <row r="9363" spans="1:2">
      <c r="A9363" s="1" t="s">
        <v>10129</v>
      </c>
      <c r="B9363" t="s">
        <v>637</v>
      </c>
    </row>
    <row r="9364" spans="1:2">
      <c r="A9364" s="1" t="s">
        <v>10130</v>
      </c>
      <c r="B9364" t="s">
        <v>637</v>
      </c>
    </row>
    <row r="9365" spans="1:2">
      <c r="A9365" s="1" t="s">
        <v>10131</v>
      </c>
      <c r="B9365" t="s">
        <v>637</v>
      </c>
    </row>
    <row r="9366" spans="1:2">
      <c r="A9366" s="1" t="s">
        <v>10132</v>
      </c>
      <c r="B9366" t="s">
        <v>637</v>
      </c>
    </row>
    <row r="9367" spans="1:2">
      <c r="A9367" s="1" t="s">
        <v>10133</v>
      </c>
      <c r="B9367" t="s">
        <v>637</v>
      </c>
    </row>
    <row r="9368" spans="1:2">
      <c r="A9368" s="1" t="s">
        <v>10134</v>
      </c>
      <c r="B9368" t="s">
        <v>637</v>
      </c>
    </row>
    <row r="9369" spans="1:2">
      <c r="A9369" s="1" t="s">
        <v>10135</v>
      </c>
      <c r="B9369" t="s">
        <v>637</v>
      </c>
    </row>
    <row r="9370" spans="1:2">
      <c r="A9370" s="1" t="s">
        <v>10136</v>
      </c>
      <c r="B9370" t="s">
        <v>637</v>
      </c>
    </row>
    <row r="9371" spans="1:2">
      <c r="A9371" s="1" t="s">
        <v>10137</v>
      </c>
      <c r="B9371" t="s">
        <v>637</v>
      </c>
    </row>
    <row r="9372" spans="1:2">
      <c r="A9372" s="1" t="s">
        <v>10138</v>
      </c>
      <c r="B9372" t="s">
        <v>637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637</v>
      </c>
    </row>
    <row r="9375" spans="1:2">
      <c r="A9375" s="1" t="s">
        <v>10141</v>
      </c>
      <c r="B9375" t="s">
        <v>637</v>
      </c>
    </row>
    <row r="9376" spans="1:2">
      <c r="A9376" s="1" t="s">
        <v>10142</v>
      </c>
      <c r="B9376" t="s">
        <v>637</v>
      </c>
    </row>
    <row r="9377" spans="1:2">
      <c r="A9377" s="1" t="s">
        <v>10143</v>
      </c>
      <c r="B9377" t="s">
        <v>637</v>
      </c>
    </row>
    <row r="9378" spans="1:2">
      <c r="A9378" s="1" t="s">
        <v>10144</v>
      </c>
      <c r="B9378" t="s">
        <v>637</v>
      </c>
    </row>
    <row r="9379" spans="1:2">
      <c r="A9379" s="1" t="s">
        <v>10145</v>
      </c>
      <c r="B9379" t="s">
        <v>637</v>
      </c>
    </row>
    <row r="9380" spans="1:2">
      <c r="A9380" s="1" t="s">
        <v>10146</v>
      </c>
      <c r="B9380" t="s">
        <v>637</v>
      </c>
    </row>
    <row r="9381" spans="1:2">
      <c r="A9381" s="1" t="s">
        <v>10147</v>
      </c>
      <c r="B9381" t="s">
        <v>637</v>
      </c>
    </row>
    <row r="9382" spans="1:2">
      <c r="A9382" s="1" t="s">
        <v>10148</v>
      </c>
      <c r="B9382" t="s">
        <v>637</v>
      </c>
    </row>
    <row r="9383" spans="1:2">
      <c r="A9383" s="1" t="s">
        <v>10149</v>
      </c>
      <c r="B9383" t="s">
        <v>637</v>
      </c>
    </row>
    <row r="9384" spans="1:2">
      <c r="A9384" s="1" t="s">
        <v>10150</v>
      </c>
      <c r="B9384" t="s">
        <v>637</v>
      </c>
    </row>
    <row r="9385" spans="1:2">
      <c r="A9385" s="1" t="s">
        <v>10151</v>
      </c>
      <c r="B9385" t="s">
        <v>637</v>
      </c>
    </row>
    <row r="9386" spans="1:2">
      <c r="A9386" s="1" t="s">
        <v>10152</v>
      </c>
      <c r="B9386" t="s">
        <v>637</v>
      </c>
    </row>
    <row r="9387" spans="1:2">
      <c r="A9387" s="1" t="s">
        <v>10153</v>
      </c>
      <c r="B9387" t="s">
        <v>637</v>
      </c>
    </row>
    <row r="9388" spans="1:2">
      <c r="A9388" s="1" t="s">
        <v>10154</v>
      </c>
      <c r="B9388" t="s">
        <v>637</v>
      </c>
    </row>
    <row r="9389" spans="1:2">
      <c r="A9389" s="1" t="s">
        <v>10155</v>
      </c>
      <c r="B9389" t="s">
        <v>637</v>
      </c>
    </row>
    <row r="9390" spans="1:2">
      <c r="A9390" s="1" t="s">
        <v>10156</v>
      </c>
      <c r="B9390" t="s">
        <v>637</v>
      </c>
    </row>
    <row r="9391" spans="1:2">
      <c r="A9391" s="1" t="s">
        <v>10157</v>
      </c>
      <c r="B9391" t="s">
        <v>637</v>
      </c>
    </row>
    <row r="9392" spans="1:2">
      <c r="A9392" s="1" t="s">
        <v>10158</v>
      </c>
      <c r="B9392" t="s">
        <v>637</v>
      </c>
    </row>
    <row r="9393" spans="1:2">
      <c r="A9393" s="1" t="s">
        <v>10159</v>
      </c>
      <c r="B9393" t="s">
        <v>637</v>
      </c>
    </row>
    <row r="9394" spans="1:2">
      <c r="A9394" s="1" t="s">
        <v>10160</v>
      </c>
      <c r="B9394" t="s">
        <v>637</v>
      </c>
    </row>
    <row r="9395" spans="1:2">
      <c r="A9395" s="1" t="s">
        <v>10161</v>
      </c>
      <c r="B9395" t="s">
        <v>637</v>
      </c>
    </row>
    <row r="9396" spans="1:2">
      <c r="A9396" s="1" t="s">
        <v>10162</v>
      </c>
      <c r="B9396" t="s">
        <v>637</v>
      </c>
    </row>
    <row r="9397" spans="1:2">
      <c r="A9397" s="1" t="s">
        <v>10163</v>
      </c>
      <c r="B9397" t="s">
        <v>637</v>
      </c>
    </row>
    <row r="9398" spans="1:2">
      <c r="A9398" s="1" t="s">
        <v>10164</v>
      </c>
      <c r="B9398" t="s">
        <v>637</v>
      </c>
    </row>
    <row r="9399" spans="1:2">
      <c r="A9399" s="1" t="s">
        <v>10165</v>
      </c>
      <c r="B9399" t="s">
        <v>637</v>
      </c>
    </row>
    <row r="9400" spans="1:2">
      <c r="A9400" s="1" t="s">
        <v>10166</v>
      </c>
      <c r="B9400" t="s">
        <v>637</v>
      </c>
    </row>
    <row r="9401" spans="1:2">
      <c r="A9401" s="1" t="s">
        <v>10167</v>
      </c>
      <c r="B9401" t="s">
        <v>637</v>
      </c>
    </row>
    <row r="9402" spans="1:2">
      <c r="A9402" s="1" t="s">
        <v>10168</v>
      </c>
      <c r="B9402" t="s">
        <v>637</v>
      </c>
    </row>
    <row r="9403" spans="1:2">
      <c r="A9403" s="1" t="s">
        <v>10169</v>
      </c>
      <c r="B9403" t="s">
        <v>637</v>
      </c>
    </row>
    <row r="9404" spans="1:2">
      <c r="A9404" s="1" t="s">
        <v>10170</v>
      </c>
      <c r="B9404" t="s">
        <v>637</v>
      </c>
    </row>
    <row r="9405" spans="1:2">
      <c r="A9405" s="1" t="s">
        <v>10171</v>
      </c>
      <c r="B9405" t="s">
        <v>637</v>
      </c>
    </row>
    <row r="9406" spans="1:2">
      <c r="A9406" s="1" t="s">
        <v>10172</v>
      </c>
      <c r="B9406" t="s">
        <v>637</v>
      </c>
    </row>
    <row r="9407" spans="1:2">
      <c r="A9407" s="1" t="s">
        <v>10173</v>
      </c>
      <c r="B9407" t="s">
        <v>637</v>
      </c>
    </row>
    <row r="9408" spans="1:2">
      <c r="A9408" s="1" t="s">
        <v>10174</v>
      </c>
      <c r="B9408" t="s">
        <v>637</v>
      </c>
    </row>
    <row r="9409" spans="1:2">
      <c r="A9409" s="1" t="s">
        <v>10175</v>
      </c>
      <c r="B9409" t="s">
        <v>637</v>
      </c>
    </row>
    <row r="9410" spans="1:2">
      <c r="A9410" s="1" t="s">
        <v>10176</v>
      </c>
      <c r="B9410" t="s">
        <v>637</v>
      </c>
    </row>
    <row r="9411" spans="1:2">
      <c r="A9411" s="1" t="s">
        <v>10177</v>
      </c>
      <c r="B9411" t="s">
        <v>637</v>
      </c>
    </row>
    <row r="9412" spans="1:2">
      <c r="A9412" s="1" t="s">
        <v>10178</v>
      </c>
      <c r="B9412" t="s">
        <v>637</v>
      </c>
    </row>
    <row r="9413" spans="1:2">
      <c r="A9413" s="1" t="s">
        <v>10179</v>
      </c>
      <c r="B9413" t="s">
        <v>637</v>
      </c>
    </row>
    <row r="9414" spans="1:2">
      <c r="A9414" s="1" t="s">
        <v>10180</v>
      </c>
      <c r="B9414" t="s">
        <v>637</v>
      </c>
    </row>
    <row r="9415" spans="1:2">
      <c r="A9415" s="1" t="s">
        <v>614</v>
      </c>
      <c r="B9415" t="s">
        <v>637</v>
      </c>
    </row>
    <row r="9416" spans="1:2">
      <c r="A9416" s="1" t="s">
        <v>10181</v>
      </c>
      <c r="B9416" t="s">
        <v>637</v>
      </c>
    </row>
    <row r="9417" spans="1:2">
      <c r="A9417" s="1" t="s">
        <v>10182</v>
      </c>
      <c r="B9417" t="s">
        <v>637</v>
      </c>
    </row>
    <row r="9418" spans="1:2">
      <c r="A9418" s="1" t="s">
        <v>10183</v>
      </c>
      <c r="B9418" t="s">
        <v>637</v>
      </c>
    </row>
    <row r="9419" spans="1:2">
      <c r="A9419" s="1" t="s">
        <v>10184</v>
      </c>
      <c r="B9419" t="s">
        <v>637</v>
      </c>
    </row>
    <row r="9420" spans="1:2">
      <c r="A9420" s="1" t="s">
        <v>10185</v>
      </c>
      <c r="B9420" t="s">
        <v>637</v>
      </c>
    </row>
    <row r="9421" spans="1:2">
      <c r="A9421" s="1" t="s">
        <v>10186</v>
      </c>
      <c r="B9421" t="s">
        <v>637</v>
      </c>
    </row>
    <row r="9422" spans="1:2">
      <c r="A9422" s="1" t="s">
        <v>10187</v>
      </c>
      <c r="B9422" t="s">
        <v>637</v>
      </c>
    </row>
    <row r="9423" spans="1:2">
      <c r="A9423" s="1" t="s">
        <v>10188</v>
      </c>
      <c r="B9423" t="s">
        <v>637</v>
      </c>
    </row>
    <row r="9424" spans="1:2">
      <c r="A9424" s="1" t="s">
        <v>10189</v>
      </c>
      <c r="B9424" t="s">
        <v>637</v>
      </c>
    </row>
    <row r="9425" spans="1:2">
      <c r="A9425" s="1" t="s">
        <v>10190</v>
      </c>
      <c r="B9425" t="s">
        <v>637</v>
      </c>
    </row>
    <row r="9426" spans="1:2">
      <c r="A9426" s="1" t="s">
        <v>10191</v>
      </c>
      <c r="B9426" t="s">
        <v>637</v>
      </c>
    </row>
    <row r="9427" spans="1:2">
      <c r="A9427" s="1" t="s">
        <v>10192</v>
      </c>
      <c r="B9427" t="s">
        <v>637</v>
      </c>
    </row>
    <row r="9428" spans="1:2">
      <c r="A9428" s="1" t="s">
        <v>10193</v>
      </c>
      <c r="B9428" t="s">
        <v>637</v>
      </c>
    </row>
    <row r="9429" spans="1:2">
      <c r="A9429" s="1" t="s">
        <v>10194</v>
      </c>
      <c r="B9429" t="s">
        <v>637</v>
      </c>
    </row>
    <row r="9430" spans="1:2">
      <c r="A9430" s="1" t="s">
        <v>10195</v>
      </c>
      <c r="B9430" t="s">
        <v>637</v>
      </c>
    </row>
    <row r="9431" spans="1:2">
      <c r="A9431" s="1" t="s">
        <v>10196</v>
      </c>
      <c r="B9431" t="s">
        <v>637</v>
      </c>
    </row>
    <row r="9432" spans="1:2">
      <c r="A9432" s="1" t="s">
        <v>10197</v>
      </c>
      <c r="B9432" t="s">
        <v>637</v>
      </c>
    </row>
    <row r="9433" spans="1:2">
      <c r="A9433" s="1" t="s">
        <v>10198</v>
      </c>
      <c r="B9433" t="s">
        <v>637</v>
      </c>
    </row>
    <row r="9434" spans="1:2">
      <c r="A9434" s="1" t="s">
        <v>10199</v>
      </c>
      <c r="B9434" t="s">
        <v>637</v>
      </c>
    </row>
    <row r="9435" spans="1:2">
      <c r="A9435" s="1" t="s">
        <v>10200</v>
      </c>
      <c r="B9435" t="s">
        <v>637</v>
      </c>
    </row>
    <row r="9436" spans="1:2">
      <c r="A9436" s="1" t="s">
        <v>10201</v>
      </c>
      <c r="B9436" t="s">
        <v>637</v>
      </c>
    </row>
    <row r="9437" spans="1:2">
      <c r="A9437" s="1" t="s">
        <v>10202</v>
      </c>
      <c r="B9437" t="s">
        <v>637</v>
      </c>
    </row>
    <row r="9438" spans="1:2">
      <c r="A9438" s="1" t="s">
        <v>10203</v>
      </c>
      <c r="B9438" t="s">
        <v>637</v>
      </c>
    </row>
    <row r="9439" spans="1:2">
      <c r="A9439" s="1" t="s">
        <v>10204</v>
      </c>
      <c r="B9439" t="s">
        <v>637</v>
      </c>
    </row>
    <row r="9440" spans="1:2">
      <c r="A9440" s="1" t="s">
        <v>10205</v>
      </c>
      <c r="B9440" t="s">
        <v>637</v>
      </c>
    </row>
    <row r="9441" spans="1:2">
      <c r="A9441" s="1" t="s">
        <v>10206</v>
      </c>
      <c r="B9441" t="s">
        <v>637</v>
      </c>
    </row>
    <row r="9442" spans="1:2">
      <c r="A9442" s="1" t="s">
        <v>10207</v>
      </c>
      <c r="B9442" t="s">
        <v>637</v>
      </c>
    </row>
    <row r="9443" spans="1:2">
      <c r="A9443" s="1" t="s">
        <v>10208</v>
      </c>
      <c r="B9443" t="s">
        <v>637</v>
      </c>
    </row>
    <row r="9444" spans="1:2">
      <c r="A9444" s="1" t="s">
        <v>10209</v>
      </c>
      <c r="B9444" t="s">
        <v>637</v>
      </c>
    </row>
    <row r="9445" spans="1:2">
      <c r="A9445" s="1" t="s">
        <v>10210</v>
      </c>
      <c r="B9445" t="s">
        <v>637</v>
      </c>
    </row>
    <row r="9446" spans="1:2">
      <c r="A9446" s="1" t="s">
        <v>10211</v>
      </c>
      <c r="B9446" t="s">
        <v>637</v>
      </c>
    </row>
    <row r="9447" spans="1:2">
      <c r="A9447" s="1" t="s">
        <v>10212</v>
      </c>
      <c r="B9447" t="s">
        <v>637</v>
      </c>
    </row>
    <row r="9448" spans="1:2">
      <c r="A9448" s="1" t="s">
        <v>10213</v>
      </c>
      <c r="B9448" t="s">
        <v>637</v>
      </c>
    </row>
    <row r="9449" spans="1:2">
      <c r="A9449" s="1" t="s">
        <v>10214</v>
      </c>
      <c r="B9449" t="s">
        <v>637</v>
      </c>
    </row>
    <row r="9450" spans="1:2">
      <c r="A9450" s="1" t="s">
        <v>10215</v>
      </c>
      <c r="B9450" t="s">
        <v>637</v>
      </c>
    </row>
    <row r="9451" spans="1:2">
      <c r="A9451" s="1" t="s">
        <v>10216</v>
      </c>
      <c r="B9451" t="s">
        <v>637</v>
      </c>
    </row>
    <row r="9452" spans="1:2">
      <c r="A9452" s="1" t="s">
        <v>10217</v>
      </c>
      <c r="B9452" t="s">
        <v>637</v>
      </c>
    </row>
    <row r="9453" spans="1:2">
      <c r="A9453" s="1" t="s">
        <v>10218</v>
      </c>
      <c r="B9453" t="s">
        <v>637</v>
      </c>
    </row>
    <row r="9454" spans="1:2">
      <c r="A9454" s="1" t="s">
        <v>10219</v>
      </c>
      <c r="B9454" t="s">
        <v>637</v>
      </c>
    </row>
    <row r="9455" spans="1:2">
      <c r="A9455" s="1" t="s">
        <v>10220</v>
      </c>
      <c r="B9455" t="s">
        <v>637</v>
      </c>
    </row>
    <row r="9456" spans="1:2">
      <c r="A9456" s="1" t="s">
        <v>10221</v>
      </c>
      <c r="B9456" t="s">
        <v>637</v>
      </c>
    </row>
    <row r="9457" spans="1:2">
      <c r="A9457" s="1" t="s">
        <v>10222</v>
      </c>
      <c r="B9457" t="s">
        <v>637</v>
      </c>
    </row>
    <row r="9458" spans="1:2">
      <c r="A9458" s="1" t="s">
        <v>10223</v>
      </c>
      <c r="B9458" t="s">
        <v>637</v>
      </c>
    </row>
    <row r="9459" spans="1:2">
      <c r="A9459" s="1" t="s">
        <v>10224</v>
      </c>
      <c r="B9459" t="s">
        <v>637</v>
      </c>
    </row>
    <row r="9460" spans="1:2">
      <c r="A9460" s="1" t="s">
        <v>10225</v>
      </c>
      <c r="B9460" t="s">
        <v>637</v>
      </c>
    </row>
    <row r="9461" spans="1:2">
      <c r="A9461" s="1" t="s">
        <v>10226</v>
      </c>
      <c r="B9461" t="s">
        <v>637</v>
      </c>
    </row>
    <row r="9462" spans="1:2">
      <c r="A9462" s="1" t="s">
        <v>10227</v>
      </c>
      <c r="B9462" t="s">
        <v>637</v>
      </c>
    </row>
    <row r="9463" spans="1:2">
      <c r="A9463" s="1" t="s">
        <v>10228</v>
      </c>
      <c r="B9463" t="s">
        <v>637</v>
      </c>
    </row>
    <row r="9464" spans="1:2">
      <c r="A9464" s="1" t="s">
        <v>10229</v>
      </c>
      <c r="B9464" t="s">
        <v>637</v>
      </c>
    </row>
    <row r="9465" spans="1:2">
      <c r="A9465" s="1" t="s">
        <v>10230</v>
      </c>
      <c r="B9465" t="s">
        <v>637</v>
      </c>
    </row>
    <row r="9466" spans="1:2">
      <c r="A9466" s="1" t="s">
        <v>10231</v>
      </c>
      <c r="B9466" t="s">
        <v>637</v>
      </c>
    </row>
    <row r="9467" spans="1:2">
      <c r="A9467" s="1" t="s">
        <v>10232</v>
      </c>
      <c r="B9467" t="s">
        <v>637</v>
      </c>
    </row>
    <row r="9468" spans="1:2">
      <c r="A9468" s="1" t="s">
        <v>10233</v>
      </c>
      <c r="B9468" t="s">
        <v>637</v>
      </c>
    </row>
    <row r="9469" spans="1:2">
      <c r="A9469" s="1" t="s">
        <v>10234</v>
      </c>
      <c r="B9469" t="s">
        <v>637</v>
      </c>
    </row>
    <row r="9470" spans="1:2">
      <c r="A9470" s="1" t="s">
        <v>10235</v>
      </c>
      <c r="B9470" t="s">
        <v>637</v>
      </c>
    </row>
    <row r="9471" spans="1:2">
      <c r="A9471" s="1" t="s">
        <v>10236</v>
      </c>
      <c r="B9471" t="s">
        <v>637</v>
      </c>
    </row>
    <row r="9472" spans="1:2">
      <c r="A9472" s="1" t="s">
        <v>10237</v>
      </c>
      <c r="B9472" t="s">
        <v>637</v>
      </c>
    </row>
    <row r="9473" spans="1:2">
      <c r="A9473" s="1" t="s">
        <v>10238</v>
      </c>
      <c r="B9473" t="s">
        <v>637</v>
      </c>
    </row>
    <row r="9474" spans="1:2">
      <c r="A9474" s="1" t="s">
        <v>10239</v>
      </c>
      <c r="B9474" t="s">
        <v>637</v>
      </c>
    </row>
    <row r="9475" spans="1:2">
      <c r="A9475" s="1" t="s">
        <v>10240</v>
      </c>
      <c r="B9475" t="s">
        <v>637</v>
      </c>
    </row>
    <row r="9476" spans="1:2">
      <c r="A9476" s="1" t="s">
        <v>10241</v>
      </c>
      <c r="B9476" t="s">
        <v>637</v>
      </c>
    </row>
    <row r="9477" spans="1:2">
      <c r="A9477" s="1" t="s">
        <v>10242</v>
      </c>
      <c r="B9477" t="s">
        <v>637</v>
      </c>
    </row>
    <row r="9478" spans="1:2">
      <c r="A9478" s="1" t="s">
        <v>10243</v>
      </c>
      <c r="B9478" t="s">
        <v>637</v>
      </c>
    </row>
    <row r="9479" spans="1:2">
      <c r="A9479" s="1" t="s">
        <v>10244</v>
      </c>
      <c r="B9479" t="s">
        <v>637</v>
      </c>
    </row>
    <row r="9480" spans="1:2">
      <c r="A9480" s="1" t="s">
        <v>10245</v>
      </c>
      <c r="B9480" t="s">
        <v>637</v>
      </c>
    </row>
    <row r="9481" spans="1:2">
      <c r="A9481" s="1" t="s">
        <v>10246</v>
      </c>
      <c r="B9481" t="s">
        <v>637</v>
      </c>
    </row>
    <row r="9482" spans="1:2">
      <c r="A9482" s="1" t="s">
        <v>10247</v>
      </c>
      <c r="B9482" t="s">
        <v>637</v>
      </c>
    </row>
    <row r="9483" spans="1:2">
      <c r="A9483" s="1" t="s">
        <v>10248</v>
      </c>
      <c r="B9483" t="s">
        <v>637</v>
      </c>
    </row>
    <row r="9484" spans="1:2">
      <c r="A9484" s="1" t="s">
        <v>10249</v>
      </c>
      <c r="B9484" t="s">
        <v>637</v>
      </c>
    </row>
    <row r="9485" spans="1:2">
      <c r="A9485" s="1" t="s">
        <v>10250</v>
      </c>
      <c r="B9485" t="s">
        <v>637</v>
      </c>
    </row>
    <row r="9486" spans="1:2">
      <c r="A9486" s="1" t="s">
        <v>10251</v>
      </c>
      <c r="B9486" t="s">
        <v>637</v>
      </c>
    </row>
    <row r="9487" spans="1:2">
      <c r="A9487" s="1" t="s">
        <v>10252</v>
      </c>
      <c r="B9487" t="s">
        <v>637</v>
      </c>
    </row>
    <row r="9488" spans="1:2">
      <c r="A9488" s="1" t="s">
        <v>10253</v>
      </c>
      <c r="B9488" t="s">
        <v>637</v>
      </c>
    </row>
    <row r="9489" spans="1:2">
      <c r="A9489" s="1" t="s">
        <v>10254</v>
      </c>
      <c r="B9489" t="s">
        <v>637</v>
      </c>
    </row>
    <row r="9490" spans="1:2">
      <c r="A9490" s="1" t="s">
        <v>10255</v>
      </c>
      <c r="B9490" t="s">
        <v>637</v>
      </c>
    </row>
    <row r="9491" spans="1:2">
      <c r="A9491" s="1" t="s">
        <v>10256</v>
      </c>
      <c r="B9491" t="s">
        <v>637</v>
      </c>
    </row>
    <row r="9492" spans="1:2">
      <c r="A9492" s="1" t="s">
        <v>10257</v>
      </c>
      <c r="B9492" t="s">
        <v>637</v>
      </c>
    </row>
    <row r="9493" spans="1:2">
      <c r="A9493" s="1" t="s">
        <v>10258</v>
      </c>
      <c r="B9493" t="s">
        <v>637</v>
      </c>
    </row>
    <row r="9494" spans="1:2">
      <c r="A9494" s="1" t="s">
        <v>10259</v>
      </c>
      <c r="B9494" t="s">
        <v>637</v>
      </c>
    </row>
    <row r="9495" spans="1:2">
      <c r="A9495" s="1" t="s">
        <v>10260</v>
      </c>
      <c r="B9495" t="s">
        <v>637</v>
      </c>
    </row>
    <row r="9496" spans="1:2">
      <c r="A9496" s="1" t="s">
        <v>10261</v>
      </c>
      <c r="B9496" t="s">
        <v>637</v>
      </c>
    </row>
    <row r="9497" spans="1:2">
      <c r="A9497" s="1" t="s">
        <v>10262</v>
      </c>
      <c r="B9497" t="s">
        <v>637</v>
      </c>
    </row>
    <row r="9498" spans="1:2">
      <c r="A9498" s="1" t="s">
        <v>10263</v>
      </c>
      <c r="B9498" t="s">
        <v>637</v>
      </c>
    </row>
    <row r="9499" spans="1:2">
      <c r="A9499" s="1" t="s">
        <v>10264</v>
      </c>
      <c r="B9499" t="s">
        <v>637</v>
      </c>
    </row>
    <row r="9500" spans="1:2">
      <c r="A9500" s="1" t="s">
        <v>10265</v>
      </c>
      <c r="B9500" t="s">
        <v>637</v>
      </c>
    </row>
    <row r="9501" spans="1:2">
      <c r="A9501" s="1" t="s">
        <v>10266</v>
      </c>
      <c r="B9501" t="s">
        <v>637</v>
      </c>
    </row>
    <row r="9502" spans="1:2">
      <c r="A9502" s="1" t="s">
        <v>10267</v>
      </c>
      <c r="B9502" t="s">
        <v>637</v>
      </c>
    </row>
    <row r="9503" spans="1:2">
      <c r="A9503" s="1" t="s">
        <v>10268</v>
      </c>
      <c r="B9503" t="s">
        <v>637</v>
      </c>
    </row>
    <row r="9504" spans="1:2">
      <c r="A9504" s="1" t="s">
        <v>10269</v>
      </c>
      <c r="B9504" t="s">
        <v>637</v>
      </c>
    </row>
    <row r="9505" spans="1:2">
      <c r="A9505" s="1" t="s">
        <v>10270</v>
      </c>
      <c r="B9505" t="s">
        <v>637</v>
      </c>
    </row>
    <row r="9506" spans="1:2">
      <c r="A9506" s="1" t="s">
        <v>10271</v>
      </c>
      <c r="B9506" t="s">
        <v>637</v>
      </c>
    </row>
    <row r="9507" spans="1:2">
      <c r="A9507" s="1" t="s">
        <v>10272</v>
      </c>
      <c r="B9507" t="s">
        <v>637</v>
      </c>
    </row>
    <row r="9508" spans="1:2">
      <c r="A9508" s="1" t="s">
        <v>10273</v>
      </c>
      <c r="B9508" t="s">
        <v>637</v>
      </c>
    </row>
    <row r="9509" spans="1:2">
      <c r="A9509" s="1" t="s">
        <v>10274</v>
      </c>
      <c r="B9509" t="s">
        <v>637</v>
      </c>
    </row>
    <row r="9510" spans="1:2">
      <c r="A9510" s="1" t="s">
        <v>10275</v>
      </c>
      <c r="B9510" t="s">
        <v>637</v>
      </c>
    </row>
    <row r="9511" spans="1:2">
      <c r="A9511" s="1" t="s">
        <v>10276</v>
      </c>
      <c r="B9511" t="s">
        <v>637</v>
      </c>
    </row>
    <row r="9512" spans="1:2">
      <c r="A9512" s="1" t="s">
        <v>10277</v>
      </c>
      <c r="B9512" t="s">
        <v>637</v>
      </c>
    </row>
    <row r="9513" spans="1:2">
      <c r="A9513" s="1" t="s">
        <v>10278</v>
      </c>
      <c r="B9513" t="s">
        <v>637</v>
      </c>
    </row>
    <row r="9514" spans="1:2">
      <c r="A9514" s="1" t="s">
        <v>10279</v>
      </c>
      <c r="B9514" t="s">
        <v>637</v>
      </c>
    </row>
    <row r="9515" spans="1:2">
      <c r="A9515" s="1" t="s">
        <v>10280</v>
      </c>
      <c r="B9515" t="s">
        <v>637</v>
      </c>
    </row>
    <row r="9516" spans="1:2">
      <c r="A9516" s="1" t="s">
        <v>10281</v>
      </c>
      <c r="B9516" t="s">
        <v>637</v>
      </c>
    </row>
    <row r="9517" spans="1:2">
      <c r="A9517" s="1" t="s">
        <v>10282</v>
      </c>
      <c r="B9517" t="s">
        <v>637</v>
      </c>
    </row>
    <row r="9518" spans="1:2">
      <c r="A9518" s="1" t="s">
        <v>10283</v>
      </c>
      <c r="B9518" t="s">
        <v>637</v>
      </c>
    </row>
    <row r="9519" spans="1:2">
      <c r="A9519" s="1" t="s">
        <v>10284</v>
      </c>
      <c r="B9519" t="s">
        <v>637</v>
      </c>
    </row>
    <row r="9520" spans="1:2">
      <c r="A9520" s="1" t="s">
        <v>10285</v>
      </c>
      <c r="B9520" t="s">
        <v>637</v>
      </c>
    </row>
    <row r="9521" spans="1:2">
      <c r="A9521" s="1" t="s">
        <v>10286</v>
      </c>
      <c r="B9521" t="s">
        <v>637</v>
      </c>
    </row>
    <row r="9522" spans="1:2">
      <c r="A9522" s="1" t="s">
        <v>10287</v>
      </c>
      <c r="B9522" t="s">
        <v>637</v>
      </c>
    </row>
    <row r="9523" spans="1:2">
      <c r="A9523" s="1" t="s">
        <v>10288</v>
      </c>
      <c r="B9523" t="s">
        <v>637</v>
      </c>
    </row>
    <row r="9524" spans="1:2">
      <c r="A9524" s="1" t="s">
        <v>10289</v>
      </c>
      <c r="B9524" t="s">
        <v>637</v>
      </c>
    </row>
    <row r="9525" spans="1:2">
      <c r="A9525" s="1" t="s">
        <v>10290</v>
      </c>
      <c r="B9525" t="s">
        <v>637</v>
      </c>
    </row>
    <row r="9526" spans="1:2">
      <c r="A9526" s="1" t="s">
        <v>10291</v>
      </c>
      <c r="B9526" t="s">
        <v>637</v>
      </c>
    </row>
    <row r="9527" spans="1:2">
      <c r="A9527" s="1" t="s">
        <v>10292</v>
      </c>
      <c r="B9527" t="s">
        <v>637</v>
      </c>
    </row>
    <row r="9528" spans="1:2">
      <c r="A9528" s="1" t="s">
        <v>10293</v>
      </c>
      <c r="B9528" t="s">
        <v>637</v>
      </c>
    </row>
    <row r="9529" spans="1:2">
      <c r="A9529" s="1" t="s">
        <v>10294</v>
      </c>
      <c r="B9529" t="s">
        <v>637</v>
      </c>
    </row>
    <row r="9530" spans="1:2">
      <c r="A9530" s="1" t="s">
        <v>10295</v>
      </c>
      <c r="B9530" t="s">
        <v>637</v>
      </c>
    </row>
    <row r="9531" spans="1:2">
      <c r="A9531" s="1" t="s">
        <v>10296</v>
      </c>
      <c r="B9531" t="s">
        <v>637</v>
      </c>
    </row>
    <row r="9532" spans="1:2">
      <c r="A9532" s="1" t="s">
        <v>10297</v>
      </c>
      <c r="B9532" t="s">
        <v>637</v>
      </c>
    </row>
    <row r="9533" spans="1:2">
      <c r="A9533" s="1" t="s">
        <v>10298</v>
      </c>
      <c r="B9533" t="s">
        <v>637</v>
      </c>
    </row>
    <row r="9534" spans="1:2">
      <c r="A9534" s="1" t="s">
        <v>10299</v>
      </c>
      <c r="B9534" t="s">
        <v>637</v>
      </c>
    </row>
    <row r="9535" spans="1:2">
      <c r="A9535" s="1" t="s">
        <v>10300</v>
      </c>
      <c r="B9535" t="s">
        <v>637</v>
      </c>
    </row>
    <row r="9536" spans="1:2">
      <c r="A9536" s="1" t="s">
        <v>10301</v>
      </c>
      <c r="B9536" t="s">
        <v>637</v>
      </c>
    </row>
    <row r="9537" spans="1:2">
      <c r="A9537" s="1" t="s">
        <v>10302</v>
      </c>
      <c r="B9537" t="s">
        <v>637</v>
      </c>
    </row>
    <row r="9538" spans="1:2">
      <c r="A9538" s="1" t="s">
        <v>10303</v>
      </c>
      <c r="B9538" t="s">
        <v>637</v>
      </c>
    </row>
    <row r="9539" spans="1:2">
      <c r="A9539" s="1" t="s">
        <v>10304</v>
      </c>
      <c r="B9539" t="s">
        <v>637</v>
      </c>
    </row>
    <row r="9540" spans="1:2">
      <c r="A9540" s="1" t="s">
        <v>10305</v>
      </c>
      <c r="B9540" t="s">
        <v>637</v>
      </c>
    </row>
    <row r="9541" spans="1:2">
      <c r="A9541" s="1" t="s">
        <v>10306</v>
      </c>
      <c r="B9541" t="s">
        <v>637</v>
      </c>
    </row>
    <row r="9542" spans="1:2">
      <c r="A9542" s="1" t="s">
        <v>10307</v>
      </c>
      <c r="B9542" t="s">
        <v>637</v>
      </c>
    </row>
    <row r="9543" spans="1:2">
      <c r="A9543" s="1" t="s">
        <v>10308</v>
      </c>
      <c r="B9543" t="s">
        <v>637</v>
      </c>
    </row>
    <row r="9544" spans="1:2">
      <c r="A9544" s="1" t="s">
        <v>10309</v>
      </c>
      <c r="B9544" t="s">
        <v>637</v>
      </c>
    </row>
    <row r="9545" spans="1:2">
      <c r="A9545" s="1" t="s">
        <v>10310</v>
      </c>
      <c r="B9545" t="s">
        <v>637</v>
      </c>
    </row>
    <row r="9546" spans="1:2">
      <c r="A9546" s="1" t="s">
        <v>10311</v>
      </c>
      <c r="B9546" t="s">
        <v>637</v>
      </c>
    </row>
    <row r="9547" spans="1:2">
      <c r="A9547" s="1" t="s">
        <v>10312</v>
      </c>
      <c r="B9547" t="s">
        <v>637</v>
      </c>
    </row>
    <row r="9548" spans="1:2">
      <c r="A9548" s="1" t="s">
        <v>10313</v>
      </c>
      <c r="B9548" t="s">
        <v>637</v>
      </c>
    </row>
    <row r="9549" spans="1:2">
      <c r="A9549" s="1" t="s">
        <v>10314</v>
      </c>
      <c r="B9549" t="s">
        <v>637</v>
      </c>
    </row>
    <row r="9550" spans="1:2">
      <c r="A9550" s="1" t="s">
        <v>10315</v>
      </c>
      <c r="B9550" t="s">
        <v>637</v>
      </c>
    </row>
    <row r="9551" spans="1:2">
      <c r="A9551" s="1" t="s">
        <v>10316</v>
      </c>
      <c r="B9551" t="s">
        <v>637</v>
      </c>
    </row>
    <row r="9552" spans="1:2">
      <c r="A9552" s="1" t="s">
        <v>10317</v>
      </c>
      <c r="B9552" t="s">
        <v>637</v>
      </c>
    </row>
    <row r="9553" spans="1:2">
      <c r="A9553" s="1" t="s">
        <v>10318</v>
      </c>
      <c r="B9553" t="s">
        <v>637</v>
      </c>
    </row>
    <row r="9554" spans="1:2">
      <c r="A9554" s="1" t="s">
        <v>10319</v>
      </c>
      <c r="B9554" t="s">
        <v>637</v>
      </c>
    </row>
    <row r="9555" spans="1:2">
      <c r="A9555" s="1" t="s">
        <v>10320</v>
      </c>
      <c r="B9555" t="s">
        <v>637</v>
      </c>
    </row>
    <row r="9556" spans="1:2">
      <c r="A9556" s="1" t="s">
        <v>10321</v>
      </c>
      <c r="B9556" t="s">
        <v>637</v>
      </c>
    </row>
    <row r="9557" spans="1:2">
      <c r="A9557" s="1" t="s">
        <v>10322</v>
      </c>
      <c r="B9557" t="s">
        <v>637</v>
      </c>
    </row>
    <row r="9558" spans="1:2">
      <c r="A9558" s="1" t="s">
        <v>10323</v>
      </c>
      <c r="B9558" t="s">
        <v>637</v>
      </c>
    </row>
    <row r="9559" spans="1:2">
      <c r="A9559" s="1" t="s">
        <v>10324</v>
      </c>
      <c r="B9559" t="s">
        <v>637</v>
      </c>
    </row>
    <row r="9560" spans="1:2">
      <c r="A9560" s="1" t="s">
        <v>10325</v>
      </c>
      <c r="B9560" t="s">
        <v>637</v>
      </c>
    </row>
    <row r="9561" spans="1:2">
      <c r="A9561" s="1" t="s">
        <v>10326</v>
      </c>
      <c r="B9561" t="s">
        <v>637</v>
      </c>
    </row>
    <row r="9562" spans="1:2">
      <c r="A9562" s="1" t="s">
        <v>10327</v>
      </c>
      <c r="B9562" t="s">
        <v>637</v>
      </c>
    </row>
    <row r="9563" spans="1:2">
      <c r="A9563" s="1" t="s">
        <v>10328</v>
      </c>
      <c r="B9563" t="s">
        <v>637</v>
      </c>
    </row>
    <row r="9564" spans="1:2">
      <c r="A9564" s="1" t="s">
        <v>10329</v>
      </c>
      <c r="B9564" t="s">
        <v>637</v>
      </c>
    </row>
    <row r="9565" spans="1:2">
      <c r="A9565" s="1" t="s">
        <v>10330</v>
      </c>
      <c r="B9565" t="s">
        <v>637</v>
      </c>
    </row>
    <row r="9566" spans="1:2">
      <c r="A9566" s="1" t="s">
        <v>10331</v>
      </c>
      <c r="B9566" t="s">
        <v>637</v>
      </c>
    </row>
    <row r="9567" spans="1:2">
      <c r="A9567" s="1" t="s">
        <v>10332</v>
      </c>
      <c r="B9567" t="s">
        <v>637</v>
      </c>
    </row>
    <row r="9568" spans="1:2">
      <c r="A9568" s="1" t="s">
        <v>10333</v>
      </c>
      <c r="B9568" t="s">
        <v>637</v>
      </c>
    </row>
    <row r="9569" spans="1:2">
      <c r="A9569" s="1" t="s">
        <v>10334</v>
      </c>
      <c r="B9569" t="s">
        <v>637</v>
      </c>
    </row>
    <row r="9570" spans="1:2">
      <c r="A9570" s="1" t="s">
        <v>10335</v>
      </c>
      <c r="B9570" t="s">
        <v>637</v>
      </c>
    </row>
    <row r="9571" spans="1:2">
      <c r="A9571" s="1" t="s">
        <v>10336</v>
      </c>
      <c r="B9571" t="s">
        <v>637</v>
      </c>
    </row>
    <row r="9572" spans="1:2">
      <c r="A9572" s="1" t="s">
        <v>10337</v>
      </c>
      <c r="B9572" t="s">
        <v>637</v>
      </c>
    </row>
    <row r="9573" spans="1:2">
      <c r="A9573" s="1" t="s">
        <v>10338</v>
      </c>
      <c r="B9573" t="s">
        <v>637</v>
      </c>
    </row>
    <row r="9574" spans="1:2">
      <c r="A9574" s="1" t="s">
        <v>10339</v>
      </c>
      <c r="B9574" t="s">
        <v>637</v>
      </c>
    </row>
    <row r="9575" spans="1:2">
      <c r="A9575" s="1" t="s">
        <v>10340</v>
      </c>
      <c r="B9575" t="s">
        <v>637</v>
      </c>
    </row>
    <row r="9576" spans="1:2">
      <c r="A9576" s="1" t="s">
        <v>10341</v>
      </c>
      <c r="B9576" t="s">
        <v>637</v>
      </c>
    </row>
    <row r="9577" spans="1:2">
      <c r="A9577" s="1" t="s">
        <v>10342</v>
      </c>
      <c r="B9577" t="s">
        <v>637</v>
      </c>
    </row>
    <row r="9578" spans="1:2">
      <c r="A9578" s="1" t="s">
        <v>10343</v>
      </c>
      <c r="B9578" t="s">
        <v>637</v>
      </c>
    </row>
    <row r="9579" spans="1:2">
      <c r="A9579" s="1" t="s">
        <v>10344</v>
      </c>
      <c r="B9579" t="s">
        <v>637</v>
      </c>
    </row>
    <row r="9580" spans="1:2">
      <c r="A9580" s="1" t="s">
        <v>10345</v>
      </c>
      <c r="B9580" t="s">
        <v>637</v>
      </c>
    </row>
    <row r="9581" spans="1:2">
      <c r="A9581" s="1" t="s">
        <v>10346</v>
      </c>
      <c r="B9581" t="s">
        <v>637</v>
      </c>
    </row>
    <row r="9582" spans="1:2">
      <c r="A9582" s="1" t="s">
        <v>10347</v>
      </c>
      <c r="B9582" t="s">
        <v>637</v>
      </c>
    </row>
    <row r="9583" spans="1:2">
      <c r="A9583" s="1" t="s">
        <v>10348</v>
      </c>
      <c r="B9583" t="s">
        <v>637</v>
      </c>
    </row>
    <row r="9584" spans="1:2">
      <c r="A9584" s="1" t="s">
        <v>10349</v>
      </c>
      <c r="B9584" t="s">
        <v>637</v>
      </c>
    </row>
    <row r="9585" spans="1:2">
      <c r="A9585" s="1" t="s">
        <v>10350</v>
      </c>
      <c r="B9585" t="s">
        <v>637</v>
      </c>
    </row>
    <row r="9586" spans="1:2">
      <c r="A9586" s="1" t="s">
        <v>10351</v>
      </c>
      <c r="B9586" t="s">
        <v>637</v>
      </c>
    </row>
    <row r="9587" spans="1:2">
      <c r="A9587" s="1" t="s">
        <v>10352</v>
      </c>
      <c r="B9587" t="s">
        <v>637</v>
      </c>
    </row>
    <row r="9588" spans="1:2">
      <c r="A9588" s="1" t="s">
        <v>10353</v>
      </c>
      <c r="B9588" t="s">
        <v>637</v>
      </c>
    </row>
    <row r="9589" spans="1:2">
      <c r="A9589" s="1" t="s">
        <v>10354</v>
      </c>
      <c r="B9589" t="s">
        <v>637</v>
      </c>
    </row>
    <row r="9590" spans="1:2">
      <c r="A9590" s="1" t="s">
        <v>10355</v>
      </c>
      <c r="B9590" t="s">
        <v>637</v>
      </c>
    </row>
    <row r="9591" spans="1:2">
      <c r="A9591" s="1" t="s">
        <v>10356</v>
      </c>
      <c r="B9591" t="s">
        <v>637</v>
      </c>
    </row>
    <row r="9592" spans="1:2">
      <c r="A9592" s="1" t="s">
        <v>10357</v>
      </c>
      <c r="B9592" t="s">
        <v>637</v>
      </c>
    </row>
    <row r="9593" spans="1:2">
      <c r="A9593" s="1" t="s">
        <v>10358</v>
      </c>
      <c r="B9593" t="s">
        <v>637</v>
      </c>
    </row>
    <row r="9594" spans="1:2">
      <c r="A9594" s="1" t="s">
        <v>10359</v>
      </c>
      <c r="B9594" t="s">
        <v>637</v>
      </c>
    </row>
    <row r="9595" spans="1:2">
      <c r="A9595" s="1" t="s">
        <v>10360</v>
      </c>
      <c r="B9595" t="s">
        <v>637</v>
      </c>
    </row>
    <row r="9596" spans="1:2">
      <c r="A9596" s="1" t="s">
        <v>10361</v>
      </c>
      <c r="B9596" t="s">
        <v>637</v>
      </c>
    </row>
    <row r="9597" spans="1:2">
      <c r="A9597" s="1" t="s">
        <v>10362</v>
      </c>
      <c r="B9597" t="s">
        <v>637</v>
      </c>
    </row>
    <row r="9598" spans="1:2">
      <c r="A9598" s="1" t="s">
        <v>10363</v>
      </c>
      <c r="B9598" t="s">
        <v>637</v>
      </c>
    </row>
    <row r="9599" spans="1:2">
      <c r="A9599" s="1" t="s">
        <v>10364</v>
      </c>
      <c r="B9599" t="s">
        <v>637</v>
      </c>
    </row>
    <row r="9600" spans="1:2">
      <c r="A9600" s="1" t="s">
        <v>10365</v>
      </c>
      <c r="B9600" t="s">
        <v>637</v>
      </c>
    </row>
    <row r="9601" spans="1:2">
      <c r="A9601" s="1" t="s">
        <v>10366</v>
      </c>
      <c r="B9601" t="s">
        <v>637</v>
      </c>
    </row>
    <row r="9602" spans="1:2">
      <c r="A9602" s="1" t="s">
        <v>10367</v>
      </c>
      <c r="B9602" t="s">
        <v>637</v>
      </c>
    </row>
    <row r="9603" spans="1:2">
      <c r="A9603" s="1" t="s">
        <v>10368</v>
      </c>
      <c r="B9603" t="s">
        <v>637</v>
      </c>
    </row>
    <row r="9604" spans="1:2">
      <c r="A9604" s="1" t="s">
        <v>10369</v>
      </c>
      <c r="B9604" t="s">
        <v>637</v>
      </c>
    </row>
    <row r="9605" spans="1:2">
      <c r="A9605" s="1" t="s">
        <v>10370</v>
      </c>
      <c r="B9605" t="s">
        <v>637</v>
      </c>
    </row>
    <row r="9606" spans="1:2">
      <c r="A9606" s="1" t="s">
        <v>10371</v>
      </c>
      <c r="B9606" t="s">
        <v>637</v>
      </c>
    </row>
    <row r="9607" spans="1:2">
      <c r="A9607" s="1" t="s">
        <v>10372</v>
      </c>
      <c r="B9607" t="s">
        <v>637</v>
      </c>
    </row>
    <row r="9608" spans="1:2">
      <c r="A9608" s="1" t="s">
        <v>10373</v>
      </c>
      <c r="B9608" t="s">
        <v>637</v>
      </c>
    </row>
    <row r="9609" spans="1:2">
      <c r="A9609" s="1" t="s">
        <v>10374</v>
      </c>
      <c r="B9609" t="s">
        <v>637</v>
      </c>
    </row>
    <row r="9610" spans="1:2">
      <c r="A9610" s="1" t="s">
        <v>10375</v>
      </c>
      <c r="B9610" t="s">
        <v>637</v>
      </c>
    </row>
    <row r="9611" spans="1:2">
      <c r="A9611" s="1" t="s">
        <v>10376</v>
      </c>
      <c r="B9611" t="s">
        <v>637</v>
      </c>
    </row>
    <row r="9612" spans="1:2">
      <c r="A9612" s="1" t="s">
        <v>10377</v>
      </c>
      <c r="B9612" t="s">
        <v>637</v>
      </c>
    </row>
    <row r="9613" spans="1:2">
      <c r="A9613" s="1" t="s">
        <v>10378</v>
      </c>
      <c r="B9613" t="s">
        <v>637</v>
      </c>
    </row>
    <row r="9614" spans="1:2">
      <c r="A9614" s="1" t="s">
        <v>10379</v>
      </c>
      <c r="B9614" t="s">
        <v>637</v>
      </c>
    </row>
    <row r="9615" spans="1:2">
      <c r="A9615" s="1" t="s">
        <v>10380</v>
      </c>
      <c r="B9615" t="s">
        <v>637</v>
      </c>
    </row>
    <row r="9616" spans="1:2">
      <c r="A9616" s="1" t="s">
        <v>10381</v>
      </c>
      <c r="B9616" t="s">
        <v>637</v>
      </c>
    </row>
    <row r="9617" spans="1:2">
      <c r="A9617" s="1" t="s">
        <v>10382</v>
      </c>
      <c r="B9617" t="s">
        <v>637</v>
      </c>
    </row>
    <row r="9618" spans="1:2">
      <c r="A9618" s="1" t="s">
        <v>10383</v>
      </c>
      <c r="B9618" t="s">
        <v>637</v>
      </c>
    </row>
    <row r="9619" spans="1:2">
      <c r="A9619" s="1" t="s">
        <v>10384</v>
      </c>
      <c r="B9619" t="s">
        <v>637</v>
      </c>
    </row>
    <row r="9620" spans="1:2">
      <c r="A9620" s="1" t="s">
        <v>10385</v>
      </c>
      <c r="B9620" t="s">
        <v>637</v>
      </c>
    </row>
    <row r="9621" spans="1:2">
      <c r="A9621" s="1" t="s">
        <v>10386</v>
      </c>
      <c r="B9621" t="s">
        <v>637</v>
      </c>
    </row>
    <row r="9622" spans="1:2">
      <c r="A9622" s="1" t="s">
        <v>10387</v>
      </c>
      <c r="B9622" t="s">
        <v>637</v>
      </c>
    </row>
    <row r="9623" spans="1:2">
      <c r="A9623" s="1" t="s">
        <v>10388</v>
      </c>
      <c r="B9623" t="s">
        <v>637</v>
      </c>
    </row>
    <row r="9624" spans="1:2">
      <c r="A9624" s="1" t="s">
        <v>10389</v>
      </c>
      <c r="B9624" t="s">
        <v>637</v>
      </c>
    </row>
    <row r="9625" spans="1:2">
      <c r="A9625" s="1" t="s">
        <v>10390</v>
      </c>
      <c r="B9625" t="s">
        <v>637</v>
      </c>
    </row>
    <row r="9626" spans="1:2">
      <c r="A9626" s="1" t="s">
        <v>10391</v>
      </c>
      <c r="B9626" t="s">
        <v>637</v>
      </c>
    </row>
    <row r="9627" spans="1:2">
      <c r="A9627" s="1" t="s">
        <v>10392</v>
      </c>
      <c r="B9627" t="s">
        <v>637</v>
      </c>
    </row>
    <row r="9628" spans="1:2">
      <c r="A9628" s="1" t="s">
        <v>10393</v>
      </c>
      <c r="B9628" t="s">
        <v>637</v>
      </c>
    </row>
    <row r="9629" spans="1:2">
      <c r="A9629" s="1" t="s">
        <v>10394</v>
      </c>
      <c r="B9629" t="s">
        <v>637</v>
      </c>
    </row>
    <row r="9630" spans="1:2">
      <c r="A9630" s="1" t="s">
        <v>10395</v>
      </c>
      <c r="B9630" t="s">
        <v>637</v>
      </c>
    </row>
    <row r="9631" spans="1:2">
      <c r="A9631" s="1" t="s">
        <v>10396</v>
      </c>
      <c r="B9631" t="s">
        <v>637</v>
      </c>
    </row>
    <row r="9632" spans="1:2">
      <c r="A9632" s="1" t="s">
        <v>10397</v>
      </c>
      <c r="B9632" t="s">
        <v>637</v>
      </c>
    </row>
    <row r="9633" spans="1:2">
      <c r="A9633" s="1" t="s">
        <v>10398</v>
      </c>
      <c r="B9633" t="s">
        <v>637</v>
      </c>
    </row>
    <row r="9634" spans="1:2">
      <c r="A9634" s="1" t="s">
        <v>10399</v>
      </c>
      <c r="B9634" t="s">
        <v>637</v>
      </c>
    </row>
    <row r="9635" spans="1:2">
      <c r="A9635" s="1" t="s">
        <v>10400</v>
      </c>
      <c r="B9635" t="s">
        <v>637</v>
      </c>
    </row>
    <row r="9636" spans="1:2">
      <c r="A9636" s="1" t="s">
        <v>10401</v>
      </c>
      <c r="B9636" t="s">
        <v>637</v>
      </c>
    </row>
    <row r="9637" spans="1:2">
      <c r="A9637" s="1" t="s">
        <v>10402</v>
      </c>
      <c r="B9637" t="s">
        <v>637</v>
      </c>
    </row>
    <row r="9638" spans="1:2">
      <c r="A9638" s="1" t="s">
        <v>10403</v>
      </c>
      <c r="B9638" t="s">
        <v>637</v>
      </c>
    </row>
    <row r="9639" spans="1:2">
      <c r="A9639" s="1" t="s">
        <v>10404</v>
      </c>
      <c r="B9639" t="s">
        <v>637</v>
      </c>
    </row>
    <row r="9640" spans="1:2">
      <c r="A9640" s="1" t="s">
        <v>10405</v>
      </c>
      <c r="B9640" t="s">
        <v>637</v>
      </c>
    </row>
    <row r="9641" spans="1:2">
      <c r="A9641" s="1" t="s">
        <v>10406</v>
      </c>
      <c r="B9641" t="s">
        <v>637</v>
      </c>
    </row>
    <row r="9642" spans="1:2">
      <c r="A9642" s="1" t="s">
        <v>10407</v>
      </c>
      <c r="B9642" t="s">
        <v>637</v>
      </c>
    </row>
    <row r="9643" spans="1:2">
      <c r="A9643" s="1" t="s">
        <v>10408</v>
      </c>
      <c r="B9643" t="s">
        <v>637</v>
      </c>
    </row>
    <row r="9644" spans="1:2">
      <c r="A9644" s="1" t="s">
        <v>10409</v>
      </c>
      <c r="B9644" t="s">
        <v>637</v>
      </c>
    </row>
    <row r="9645" spans="1:2">
      <c r="A9645" s="1" t="s">
        <v>10410</v>
      </c>
      <c r="B9645" t="s">
        <v>637</v>
      </c>
    </row>
    <row r="9646" spans="1:2">
      <c r="A9646" s="1" t="s">
        <v>10411</v>
      </c>
      <c r="B9646" t="s">
        <v>637</v>
      </c>
    </row>
    <row r="9647" spans="1:2">
      <c r="A9647" s="1" t="s">
        <v>10412</v>
      </c>
      <c r="B9647" t="s">
        <v>637</v>
      </c>
    </row>
    <row r="9648" spans="1:2">
      <c r="A9648" s="1" t="s">
        <v>10413</v>
      </c>
      <c r="B9648" t="s">
        <v>637</v>
      </c>
    </row>
    <row r="9649" spans="1:2">
      <c r="A9649" s="1" t="s">
        <v>10414</v>
      </c>
      <c r="B9649" t="s">
        <v>637</v>
      </c>
    </row>
    <row r="9650" spans="1:2">
      <c r="A9650" s="1" t="s">
        <v>10415</v>
      </c>
      <c r="B9650" t="s">
        <v>637</v>
      </c>
    </row>
    <row r="9651" spans="1:2">
      <c r="A9651" s="1" t="s">
        <v>10416</v>
      </c>
      <c r="B9651" t="s">
        <v>637</v>
      </c>
    </row>
    <row r="9652" spans="1:2">
      <c r="A9652" s="1" t="s">
        <v>10417</v>
      </c>
      <c r="B9652" t="s">
        <v>637</v>
      </c>
    </row>
    <row r="9653" spans="1:2">
      <c r="A9653" s="1" t="s">
        <v>10418</v>
      </c>
      <c r="B9653" t="s">
        <v>637</v>
      </c>
    </row>
    <row r="9654" spans="1:2">
      <c r="A9654" s="1" t="s">
        <v>10419</v>
      </c>
      <c r="B9654" t="s">
        <v>637</v>
      </c>
    </row>
    <row r="9655" spans="1:2">
      <c r="A9655" s="1" t="s">
        <v>10420</v>
      </c>
      <c r="B9655" t="s">
        <v>637</v>
      </c>
    </row>
    <row r="9656" spans="1:2">
      <c r="A9656" s="1" t="s">
        <v>10421</v>
      </c>
      <c r="B9656" t="s">
        <v>637</v>
      </c>
    </row>
    <row r="9657" spans="1:2">
      <c r="A9657" s="1" t="s">
        <v>10422</v>
      </c>
      <c r="B9657" t="s">
        <v>637</v>
      </c>
    </row>
    <row r="9658" spans="1:2">
      <c r="A9658" s="1" t="s">
        <v>10423</v>
      </c>
      <c r="B9658" t="s">
        <v>637</v>
      </c>
    </row>
    <row r="9659" spans="1:2">
      <c r="A9659" s="1" t="s">
        <v>10424</v>
      </c>
      <c r="B9659" t="s">
        <v>637</v>
      </c>
    </row>
    <row r="9660" spans="1:2">
      <c r="A9660" s="1" t="s">
        <v>10425</v>
      </c>
      <c r="B9660" t="s">
        <v>637</v>
      </c>
    </row>
    <row r="9661" spans="1:2">
      <c r="A9661" s="1" t="s">
        <v>10426</v>
      </c>
      <c r="B9661" t="s">
        <v>637</v>
      </c>
    </row>
    <row r="9662" spans="1:2">
      <c r="A9662" s="1" t="s">
        <v>10427</v>
      </c>
      <c r="B9662" t="s">
        <v>637</v>
      </c>
    </row>
    <row r="9663" spans="1:2">
      <c r="A9663" s="1" t="s">
        <v>10428</v>
      </c>
      <c r="B9663" t="s">
        <v>637</v>
      </c>
    </row>
    <row r="9664" spans="1:2">
      <c r="A9664" s="1" t="s">
        <v>10429</v>
      </c>
      <c r="B9664" t="s">
        <v>637</v>
      </c>
    </row>
    <row r="9665" spans="1:2">
      <c r="A9665" s="1" t="s">
        <v>10430</v>
      </c>
      <c r="B9665" t="s">
        <v>637</v>
      </c>
    </row>
    <row r="9666" spans="1:2">
      <c r="A9666" s="1" t="s">
        <v>10431</v>
      </c>
      <c r="B9666" t="s">
        <v>637</v>
      </c>
    </row>
    <row r="9667" spans="1:2">
      <c r="A9667" s="1" t="s">
        <v>10432</v>
      </c>
      <c r="B9667" t="s">
        <v>637</v>
      </c>
    </row>
    <row r="9668" spans="1:2">
      <c r="A9668" s="1" t="s">
        <v>10433</v>
      </c>
      <c r="B9668" t="s">
        <v>637</v>
      </c>
    </row>
    <row r="9669" spans="1:2">
      <c r="A9669" s="1" t="s">
        <v>10434</v>
      </c>
      <c r="B9669" t="s">
        <v>637</v>
      </c>
    </row>
    <row r="9670" spans="1:2">
      <c r="A9670" s="1" t="s">
        <v>10435</v>
      </c>
      <c r="B9670" t="s">
        <v>637</v>
      </c>
    </row>
    <row r="9671" spans="1:2">
      <c r="A9671" s="1" t="s">
        <v>10436</v>
      </c>
      <c r="B9671" t="s">
        <v>637</v>
      </c>
    </row>
    <row r="9672" spans="1:2">
      <c r="A9672" s="1" t="s">
        <v>10437</v>
      </c>
      <c r="B9672" t="s">
        <v>637</v>
      </c>
    </row>
    <row r="9673" spans="1:2">
      <c r="A9673" s="1" t="s">
        <v>10438</v>
      </c>
      <c r="B9673" t="s">
        <v>637</v>
      </c>
    </row>
    <row r="9674" spans="1:2">
      <c r="A9674" s="1" t="s">
        <v>10439</v>
      </c>
      <c r="B9674" t="s">
        <v>637</v>
      </c>
    </row>
    <row r="9675" spans="1:2">
      <c r="A9675" s="1" t="s">
        <v>10440</v>
      </c>
      <c r="B9675" t="s">
        <v>637</v>
      </c>
    </row>
    <row r="9676" spans="1:2">
      <c r="A9676" s="1" t="s">
        <v>10441</v>
      </c>
      <c r="B9676" t="s">
        <v>637</v>
      </c>
    </row>
    <row r="9677" spans="1:2">
      <c r="A9677" s="1" t="s">
        <v>10442</v>
      </c>
      <c r="B9677" t="s">
        <v>637</v>
      </c>
    </row>
    <row r="9678" spans="1:2">
      <c r="A9678" s="1" t="s">
        <v>10443</v>
      </c>
      <c r="B9678" t="s">
        <v>637</v>
      </c>
    </row>
    <row r="9679" spans="1:2">
      <c r="A9679" s="1" t="s">
        <v>10444</v>
      </c>
      <c r="B9679" t="s">
        <v>637</v>
      </c>
    </row>
    <row r="9680" spans="1:2">
      <c r="A9680" s="1" t="s">
        <v>10445</v>
      </c>
      <c r="B9680" t="s">
        <v>637</v>
      </c>
    </row>
    <row r="9681" spans="1:2">
      <c r="A9681" s="1" t="s">
        <v>10446</v>
      </c>
      <c r="B9681" t="s">
        <v>637</v>
      </c>
    </row>
    <row r="9682" spans="1:2">
      <c r="A9682" s="1" t="s">
        <v>10447</v>
      </c>
      <c r="B9682" t="s">
        <v>637</v>
      </c>
    </row>
    <row r="9683" spans="1:2">
      <c r="A9683" s="1" t="s">
        <v>10448</v>
      </c>
      <c r="B9683" t="s">
        <v>637</v>
      </c>
    </row>
    <row r="9684" spans="1:2">
      <c r="A9684" s="1" t="s">
        <v>10449</v>
      </c>
      <c r="B9684" t="s">
        <v>637</v>
      </c>
    </row>
    <row r="9685" spans="1:2">
      <c r="A9685" s="1" t="s">
        <v>10450</v>
      </c>
      <c r="B9685" t="s">
        <v>637</v>
      </c>
    </row>
    <row r="9686" spans="1:2">
      <c r="A9686" s="1" t="s">
        <v>10451</v>
      </c>
      <c r="B9686" t="s">
        <v>637</v>
      </c>
    </row>
    <row r="9687" spans="1:2">
      <c r="A9687" s="1" t="s">
        <v>10452</v>
      </c>
      <c r="B9687" t="s">
        <v>637</v>
      </c>
    </row>
    <row r="9688" spans="1:2">
      <c r="A9688" s="1" t="s">
        <v>10453</v>
      </c>
      <c r="B9688" t="s">
        <v>637</v>
      </c>
    </row>
    <row r="9689" spans="1:2">
      <c r="A9689" s="1" t="s">
        <v>10454</v>
      </c>
      <c r="B9689" t="s">
        <v>637</v>
      </c>
    </row>
    <row r="9690" spans="1:2">
      <c r="A9690" s="1" t="s">
        <v>10455</v>
      </c>
      <c r="B9690" t="s">
        <v>637</v>
      </c>
    </row>
    <row r="9691" spans="1:2">
      <c r="A9691" s="1" t="s">
        <v>10456</v>
      </c>
      <c r="B9691" t="s">
        <v>637</v>
      </c>
    </row>
    <row r="9692" spans="1:2">
      <c r="A9692" s="1" t="s">
        <v>10457</v>
      </c>
      <c r="B9692" t="s">
        <v>637</v>
      </c>
    </row>
    <row r="9693" spans="1:2">
      <c r="A9693" s="1" t="s">
        <v>10458</v>
      </c>
      <c r="B9693" t="s">
        <v>637</v>
      </c>
    </row>
    <row r="9694" spans="1:2">
      <c r="A9694" s="1" t="s">
        <v>10459</v>
      </c>
      <c r="B9694" t="s">
        <v>637</v>
      </c>
    </row>
    <row r="9695" spans="1:2">
      <c r="A9695" s="1" t="s">
        <v>10460</v>
      </c>
      <c r="B9695" t="s">
        <v>637</v>
      </c>
    </row>
    <row r="9696" spans="1:2">
      <c r="A9696" s="1" t="s">
        <v>10461</v>
      </c>
      <c r="B9696" t="s">
        <v>637</v>
      </c>
    </row>
    <row r="9697" spans="1:2">
      <c r="A9697" s="1" t="s">
        <v>10462</v>
      </c>
      <c r="B9697" t="s">
        <v>637</v>
      </c>
    </row>
    <row r="9698" spans="1:2">
      <c r="A9698" s="1" t="s">
        <v>10463</v>
      </c>
      <c r="B9698" t="s">
        <v>637</v>
      </c>
    </row>
    <row r="9699" spans="1:2">
      <c r="A9699" s="1" t="s">
        <v>10464</v>
      </c>
      <c r="B9699" t="s">
        <v>637</v>
      </c>
    </row>
    <row r="9700" spans="1:2">
      <c r="A9700" s="1" t="s">
        <v>10465</v>
      </c>
      <c r="B9700" t="s">
        <v>637</v>
      </c>
    </row>
    <row r="9701" spans="1:2">
      <c r="A9701" s="1" t="s">
        <v>10466</v>
      </c>
      <c r="B9701" t="s">
        <v>637</v>
      </c>
    </row>
    <row r="9702" spans="1:2">
      <c r="A9702" s="1" t="s">
        <v>10467</v>
      </c>
      <c r="B9702" t="s">
        <v>637</v>
      </c>
    </row>
    <row r="9703" spans="1:2">
      <c r="A9703" s="1" t="s">
        <v>10468</v>
      </c>
      <c r="B9703" t="s">
        <v>637</v>
      </c>
    </row>
    <row r="9704" spans="1:2">
      <c r="A9704" s="1" t="s">
        <v>10469</v>
      </c>
      <c r="B9704" t="s">
        <v>637</v>
      </c>
    </row>
    <row r="9705" spans="1:2">
      <c r="A9705" s="1" t="s">
        <v>10470</v>
      </c>
      <c r="B9705" t="s">
        <v>637</v>
      </c>
    </row>
    <row r="9706" spans="1:2">
      <c r="A9706" s="1" t="s">
        <v>10471</v>
      </c>
      <c r="B9706" t="s">
        <v>637</v>
      </c>
    </row>
    <row r="9707" spans="1:2">
      <c r="A9707" s="1" t="s">
        <v>10472</v>
      </c>
      <c r="B9707" t="s">
        <v>637</v>
      </c>
    </row>
    <row r="9708" spans="1:2">
      <c r="A9708" s="1" t="s">
        <v>10473</v>
      </c>
      <c r="B9708" t="s">
        <v>637</v>
      </c>
    </row>
    <row r="9709" spans="1:2">
      <c r="A9709" s="1" t="s">
        <v>10474</v>
      </c>
      <c r="B9709" t="s">
        <v>637</v>
      </c>
    </row>
    <row r="9710" spans="1:2">
      <c r="A9710" s="1" t="s">
        <v>10475</v>
      </c>
      <c r="B9710" t="s">
        <v>637</v>
      </c>
    </row>
    <row r="9711" spans="1:2">
      <c r="A9711" s="1" t="s">
        <v>10476</v>
      </c>
      <c r="B9711" t="s">
        <v>637</v>
      </c>
    </row>
    <row r="9712" spans="1:2">
      <c r="A9712" s="1" t="s">
        <v>10477</v>
      </c>
      <c r="B9712" t="s">
        <v>637</v>
      </c>
    </row>
    <row r="9713" spans="1:2">
      <c r="A9713" s="1" t="s">
        <v>10478</v>
      </c>
      <c r="B9713" t="s">
        <v>637</v>
      </c>
    </row>
    <row r="9714" spans="1:2">
      <c r="A9714" s="1" t="s">
        <v>10479</v>
      </c>
      <c r="B9714" t="s">
        <v>637</v>
      </c>
    </row>
    <row r="9715" spans="1:2">
      <c r="A9715" s="1" t="s">
        <v>10480</v>
      </c>
      <c r="B9715" t="s">
        <v>637</v>
      </c>
    </row>
    <row r="9716" spans="1:2">
      <c r="A9716" s="1" t="s">
        <v>10481</v>
      </c>
      <c r="B9716" t="s">
        <v>637</v>
      </c>
    </row>
    <row r="9717" spans="1:2">
      <c r="A9717" s="1" t="s">
        <v>10482</v>
      </c>
      <c r="B9717" t="s">
        <v>637</v>
      </c>
    </row>
    <row r="9718" spans="1:2">
      <c r="A9718" s="1" t="s">
        <v>10483</v>
      </c>
      <c r="B9718" t="s">
        <v>637</v>
      </c>
    </row>
    <row r="9719" spans="1:2">
      <c r="A9719" s="1" t="s">
        <v>10484</v>
      </c>
      <c r="B9719" t="s">
        <v>637</v>
      </c>
    </row>
    <row r="9720" spans="1:2">
      <c r="A9720" s="1" t="s">
        <v>10485</v>
      </c>
      <c r="B9720" t="s">
        <v>637</v>
      </c>
    </row>
    <row r="9721" spans="1:2">
      <c r="A9721" s="1" t="s">
        <v>10486</v>
      </c>
      <c r="B9721" t="s">
        <v>637</v>
      </c>
    </row>
    <row r="9722" spans="1:2">
      <c r="A9722" s="1" t="s">
        <v>10487</v>
      </c>
      <c r="B9722" t="s">
        <v>637</v>
      </c>
    </row>
    <row r="9723" spans="1:2">
      <c r="A9723" s="1" t="s">
        <v>10488</v>
      </c>
      <c r="B9723" t="s">
        <v>637</v>
      </c>
    </row>
    <row r="9724" spans="1:2">
      <c r="A9724" s="1" t="s">
        <v>10489</v>
      </c>
      <c r="B9724" t="s">
        <v>637</v>
      </c>
    </row>
    <row r="9725" spans="1:2">
      <c r="A9725" s="1" t="s">
        <v>10490</v>
      </c>
      <c r="B9725" t="s">
        <v>637</v>
      </c>
    </row>
    <row r="9726" spans="1:2">
      <c r="A9726" s="1" t="s">
        <v>10491</v>
      </c>
      <c r="B9726" t="s">
        <v>637</v>
      </c>
    </row>
    <row r="9727" spans="1:2">
      <c r="A9727" s="1" t="s">
        <v>10492</v>
      </c>
      <c r="B9727" t="s">
        <v>637</v>
      </c>
    </row>
    <row r="9728" spans="1:2">
      <c r="A9728" s="1" t="s">
        <v>10493</v>
      </c>
      <c r="B9728" t="s">
        <v>637</v>
      </c>
    </row>
    <row r="9729" spans="1:2">
      <c r="A9729" s="1" t="s">
        <v>10494</v>
      </c>
      <c r="B9729" t="s">
        <v>637</v>
      </c>
    </row>
    <row r="9730" spans="1:2">
      <c r="A9730" s="1" t="s">
        <v>10495</v>
      </c>
      <c r="B9730" t="s">
        <v>637</v>
      </c>
    </row>
    <row r="9731" spans="1:2">
      <c r="A9731" s="1" t="s">
        <v>10496</v>
      </c>
      <c r="B9731" t="s">
        <v>637</v>
      </c>
    </row>
    <row r="9732" spans="1:2">
      <c r="A9732" s="1" t="s">
        <v>10497</v>
      </c>
      <c r="B9732" t="s">
        <v>637</v>
      </c>
    </row>
    <row r="9733" spans="1:2">
      <c r="A9733" s="1" t="s">
        <v>10498</v>
      </c>
      <c r="B9733" t="s">
        <v>637</v>
      </c>
    </row>
    <row r="9734" spans="1:2">
      <c r="A9734" s="1" t="s">
        <v>10499</v>
      </c>
      <c r="B9734" t="s">
        <v>637</v>
      </c>
    </row>
    <row r="9735" spans="1:2">
      <c r="A9735" s="1" t="s">
        <v>10500</v>
      </c>
      <c r="B9735" t="s">
        <v>637</v>
      </c>
    </row>
    <row r="9736" spans="1:2">
      <c r="A9736" s="1" t="s">
        <v>10501</v>
      </c>
      <c r="B9736" t="s">
        <v>637</v>
      </c>
    </row>
    <row r="9737" spans="1:2">
      <c r="A9737" s="1" t="s">
        <v>10502</v>
      </c>
      <c r="B9737" t="s">
        <v>637</v>
      </c>
    </row>
    <row r="9738" spans="1:2">
      <c r="A9738" s="1" t="s">
        <v>10503</v>
      </c>
      <c r="B9738" t="s">
        <v>637</v>
      </c>
    </row>
    <row r="9739" spans="1:2">
      <c r="A9739" s="1" t="s">
        <v>10504</v>
      </c>
      <c r="B9739" t="s">
        <v>637</v>
      </c>
    </row>
    <row r="9740" spans="1:2">
      <c r="A9740" s="1" t="s">
        <v>10505</v>
      </c>
      <c r="B9740" t="s">
        <v>637</v>
      </c>
    </row>
    <row r="9741" spans="1:2">
      <c r="A9741" s="1" t="s">
        <v>10506</v>
      </c>
      <c r="B9741" t="s">
        <v>637</v>
      </c>
    </row>
    <row r="9742" spans="1:2">
      <c r="A9742" s="1" t="s">
        <v>10507</v>
      </c>
      <c r="B9742" t="s">
        <v>637</v>
      </c>
    </row>
    <row r="9743" spans="1:2">
      <c r="A9743" s="1" t="s">
        <v>10508</v>
      </c>
      <c r="B9743" t="s">
        <v>637</v>
      </c>
    </row>
    <row r="9744" spans="1:2">
      <c r="A9744" s="1" t="s">
        <v>10509</v>
      </c>
      <c r="B9744" t="s">
        <v>637</v>
      </c>
    </row>
    <row r="9745" spans="1:2">
      <c r="A9745" s="1" t="s">
        <v>10510</v>
      </c>
      <c r="B9745" t="s">
        <v>637</v>
      </c>
    </row>
    <row r="9746" spans="1:2">
      <c r="A9746" s="1" t="s">
        <v>10511</v>
      </c>
      <c r="B9746" t="s">
        <v>637</v>
      </c>
    </row>
    <row r="9747" spans="1:2">
      <c r="A9747" s="1" t="s">
        <v>10512</v>
      </c>
      <c r="B9747" t="s">
        <v>637</v>
      </c>
    </row>
    <row r="9748" spans="1:2">
      <c r="A9748" s="1" t="s">
        <v>10513</v>
      </c>
      <c r="B9748" t="s">
        <v>637</v>
      </c>
    </row>
    <row r="9749" spans="1:2">
      <c r="A9749" s="1" t="s">
        <v>10514</v>
      </c>
      <c r="B9749" t="s">
        <v>637</v>
      </c>
    </row>
    <row r="9750" spans="1:2">
      <c r="A9750" s="1" t="s">
        <v>10515</v>
      </c>
      <c r="B9750" t="s">
        <v>637</v>
      </c>
    </row>
    <row r="9751" spans="1:2">
      <c r="A9751" s="1" t="s">
        <v>10516</v>
      </c>
      <c r="B9751" t="s">
        <v>637</v>
      </c>
    </row>
    <row r="9752" spans="1:2">
      <c r="A9752" s="1" t="s">
        <v>10517</v>
      </c>
      <c r="B9752" t="s">
        <v>637</v>
      </c>
    </row>
    <row r="9753" spans="1:2">
      <c r="A9753" s="1" t="s">
        <v>10518</v>
      </c>
      <c r="B9753" t="s">
        <v>637</v>
      </c>
    </row>
    <row r="9754" spans="1:2">
      <c r="A9754" s="1" t="s">
        <v>10519</v>
      </c>
      <c r="B9754" t="s">
        <v>637</v>
      </c>
    </row>
    <row r="9755" spans="1:2">
      <c r="A9755" s="1" t="s">
        <v>10520</v>
      </c>
      <c r="B9755" t="s">
        <v>637</v>
      </c>
    </row>
    <row r="9756" spans="1:2">
      <c r="A9756" s="1" t="s">
        <v>10521</v>
      </c>
      <c r="B9756" t="s">
        <v>637</v>
      </c>
    </row>
    <row r="9757" spans="1:2">
      <c r="A9757" s="1" t="s">
        <v>10522</v>
      </c>
      <c r="B9757" t="s">
        <v>637</v>
      </c>
    </row>
    <row r="9758" spans="1:2">
      <c r="A9758" s="1" t="s">
        <v>10523</v>
      </c>
      <c r="B9758" t="s">
        <v>637</v>
      </c>
    </row>
    <row r="9759" spans="1:2">
      <c r="A9759" s="1" t="s">
        <v>10524</v>
      </c>
      <c r="B9759" t="s">
        <v>637</v>
      </c>
    </row>
    <row r="9760" spans="1:2">
      <c r="A9760" s="1" t="s">
        <v>10525</v>
      </c>
      <c r="B9760" t="s">
        <v>637</v>
      </c>
    </row>
    <row r="9761" spans="1:2">
      <c r="A9761" s="1" t="s">
        <v>10526</v>
      </c>
      <c r="B9761" t="s">
        <v>637</v>
      </c>
    </row>
    <row r="9762" spans="1:2">
      <c r="A9762" s="1" t="s">
        <v>10527</v>
      </c>
      <c r="B9762" t="s">
        <v>637</v>
      </c>
    </row>
    <row r="9763" spans="1:2">
      <c r="A9763" s="1" t="s">
        <v>10528</v>
      </c>
      <c r="B9763" t="s">
        <v>637</v>
      </c>
    </row>
    <row r="9764" spans="1:2">
      <c r="A9764" s="1" t="s">
        <v>10529</v>
      </c>
      <c r="B9764" t="s">
        <v>637</v>
      </c>
    </row>
    <row r="9765" spans="1:2">
      <c r="A9765" s="1" t="s">
        <v>10530</v>
      </c>
      <c r="B9765" t="s">
        <v>637</v>
      </c>
    </row>
    <row r="9766" spans="1:2">
      <c r="A9766" s="1" t="s">
        <v>10531</v>
      </c>
      <c r="B9766" t="s">
        <v>637</v>
      </c>
    </row>
    <row r="9767" spans="1:2">
      <c r="A9767" s="1" t="s">
        <v>10532</v>
      </c>
      <c r="B9767" t="s">
        <v>637</v>
      </c>
    </row>
    <row r="9768" spans="1:2">
      <c r="A9768" s="1" t="s">
        <v>10533</v>
      </c>
      <c r="B9768" t="s">
        <v>637</v>
      </c>
    </row>
    <row r="9769" spans="1:2">
      <c r="A9769" s="1" t="s">
        <v>10534</v>
      </c>
      <c r="B9769" t="s">
        <v>637</v>
      </c>
    </row>
    <row r="9770" spans="1:2">
      <c r="A9770" s="1" t="s">
        <v>10535</v>
      </c>
      <c r="B9770" t="s">
        <v>637</v>
      </c>
    </row>
    <row r="9771" spans="1:2">
      <c r="A9771" s="1" t="s">
        <v>10536</v>
      </c>
      <c r="B9771" t="s">
        <v>637</v>
      </c>
    </row>
    <row r="9772" spans="1:2">
      <c r="A9772" s="1" t="s">
        <v>10537</v>
      </c>
      <c r="B9772" t="s">
        <v>637</v>
      </c>
    </row>
    <row r="9773" spans="1:2">
      <c r="A9773" s="1" t="s">
        <v>10538</v>
      </c>
      <c r="B9773" t="s">
        <v>637</v>
      </c>
    </row>
    <row r="9774" spans="1:2">
      <c r="A9774" s="1" t="s">
        <v>10539</v>
      </c>
      <c r="B9774" t="s">
        <v>637</v>
      </c>
    </row>
    <row r="9775" spans="1:2">
      <c r="A9775" s="1" t="s">
        <v>10540</v>
      </c>
      <c r="B9775" t="s">
        <v>637</v>
      </c>
    </row>
    <row r="9776" spans="1:2">
      <c r="A9776" s="1" t="s">
        <v>10541</v>
      </c>
      <c r="B9776" t="s">
        <v>637</v>
      </c>
    </row>
    <row r="9777" spans="1:2">
      <c r="A9777" s="1" t="s">
        <v>10542</v>
      </c>
      <c r="B9777" t="s">
        <v>637</v>
      </c>
    </row>
    <row r="9778" spans="1:2">
      <c r="A9778" s="1" t="s">
        <v>10543</v>
      </c>
      <c r="B9778" t="s">
        <v>637</v>
      </c>
    </row>
    <row r="9779" spans="1:2">
      <c r="A9779" s="1" t="s">
        <v>10544</v>
      </c>
      <c r="B9779" t="s">
        <v>637</v>
      </c>
    </row>
    <row r="9780" spans="1:2">
      <c r="A9780" s="1" t="s">
        <v>10545</v>
      </c>
      <c r="B9780" t="s">
        <v>637</v>
      </c>
    </row>
    <row r="9781" spans="1:2">
      <c r="A9781" s="1" t="s">
        <v>10546</v>
      </c>
      <c r="B9781" t="s">
        <v>637</v>
      </c>
    </row>
    <row r="9782" spans="1:2">
      <c r="A9782" s="1" t="s">
        <v>10547</v>
      </c>
      <c r="B9782" t="s">
        <v>637</v>
      </c>
    </row>
    <row r="9783" spans="1:2">
      <c r="A9783" s="1" t="s">
        <v>10548</v>
      </c>
      <c r="B9783" t="s">
        <v>637</v>
      </c>
    </row>
    <row r="9784" spans="1:2">
      <c r="A9784" s="1" t="s">
        <v>10549</v>
      </c>
      <c r="B9784" t="s">
        <v>637</v>
      </c>
    </row>
    <row r="9785" spans="1:2">
      <c r="A9785" s="1" t="s">
        <v>10550</v>
      </c>
      <c r="B9785" t="s">
        <v>637</v>
      </c>
    </row>
    <row r="9786" spans="1:2">
      <c r="A9786" s="1" t="s">
        <v>10551</v>
      </c>
      <c r="B9786" t="s">
        <v>637</v>
      </c>
    </row>
    <row r="9787" spans="1:2">
      <c r="A9787" s="1" t="s">
        <v>10552</v>
      </c>
      <c r="B9787" t="s">
        <v>637</v>
      </c>
    </row>
    <row r="9788" spans="1:2">
      <c r="A9788" s="1" t="s">
        <v>10553</v>
      </c>
      <c r="B9788" t="s">
        <v>637</v>
      </c>
    </row>
    <row r="9789" spans="1:2">
      <c r="A9789" s="1" t="s">
        <v>10554</v>
      </c>
      <c r="B9789" t="s">
        <v>637</v>
      </c>
    </row>
    <row r="9790" spans="1:2">
      <c r="A9790" s="1" t="s">
        <v>10555</v>
      </c>
      <c r="B9790" t="s">
        <v>637</v>
      </c>
    </row>
    <row r="9791" spans="1:2">
      <c r="A9791" s="1" t="s">
        <v>10556</v>
      </c>
      <c r="B9791" t="s">
        <v>637</v>
      </c>
    </row>
    <row r="9792" spans="1:2">
      <c r="A9792" s="1" t="s">
        <v>10557</v>
      </c>
      <c r="B9792" t="s">
        <v>637</v>
      </c>
    </row>
    <row r="9793" spans="1:2">
      <c r="A9793" s="1" t="s">
        <v>10558</v>
      </c>
      <c r="B9793" t="s">
        <v>637</v>
      </c>
    </row>
    <row r="9794" spans="1:2">
      <c r="A9794" s="1" t="s">
        <v>10559</v>
      </c>
      <c r="B9794" t="s">
        <v>637</v>
      </c>
    </row>
    <row r="9795" spans="1:2">
      <c r="A9795" s="1" t="s">
        <v>10560</v>
      </c>
      <c r="B9795" t="s">
        <v>637</v>
      </c>
    </row>
    <row r="9796" spans="1:2">
      <c r="A9796" s="1" t="s">
        <v>10561</v>
      </c>
      <c r="B9796" t="s">
        <v>637</v>
      </c>
    </row>
    <row r="9797" spans="1:2">
      <c r="A9797" s="1" t="s">
        <v>10562</v>
      </c>
      <c r="B9797" t="s">
        <v>637</v>
      </c>
    </row>
    <row r="9798" spans="1:2">
      <c r="A9798" s="1" t="s">
        <v>10563</v>
      </c>
      <c r="B9798" t="s">
        <v>637</v>
      </c>
    </row>
    <row r="9799" spans="1:2">
      <c r="A9799" s="1" t="s">
        <v>10564</v>
      </c>
      <c r="B9799" t="s">
        <v>637</v>
      </c>
    </row>
    <row r="9800" spans="1:2">
      <c r="A9800" s="1" t="s">
        <v>10565</v>
      </c>
      <c r="B9800" t="s">
        <v>637</v>
      </c>
    </row>
    <row r="9801" spans="1:2">
      <c r="A9801" s="1" t="s">
        <v>10566</v>
      </c>
      <c r="B9801" t="s">
        <v>637</v>
      </c>
    </row>
    <row r="9802" spans="1:2">
      <c r="A9802" s="1" t="s">
        <v>10567</v>
      </c>
      <c r="B9802" t="s">
        <v>637</v>
      </c>
    </row>
    <row r="9803" spans="1:2">
      <c r="A9803" s="1" t="s">
        <v>10568</v>
      </c>
      <c r="B9803" t="s">
        <v>637</v>
      </c>
    </row>
    <row r="9804" spans="1:2">
      <c r="A9804" s="1" t="s">
        <v>10569</v>
      </c>
      <c r="B9804" t="s">
        <v>637</v>
      </c>
    </row>
    <row r="9805" spans="1:2">
      <c r="A9805" s="1" t="s">
        <v>10570</v>
      </c>
      <c r="B9805" t="s">
        <v>637</v>
      </c>
    </row>
    <row r="9806" spans="1:2">
      <c r="A9806" s="1" t="s">
        <v>10571</v>
      </c>
      <c r="B9806" t="s">
        <v>637</v>
      </c>
    </row>
    <row r="9807" spans="1:2">
      <c r="A9807" s="1" t="s">
        <v>10572</v>
      </c>
      <c r="B9807" t="s">
        <v>637</v>
      </c>
    </row>
    <row r="9808" spans="1:2">
      <c r="A9808" s="1" t="s">
        <v>10573</v>
      </c>
      <c r="B9808" t="s">
        <v>637</v>
      </c>
    </row>
    <row r="9809" spans="1:2">
      <c r="A9809" s="1" t="s">
        <v>10574</v>
      </c>
      <c r="B9809" t="s">
        <v>637</v>
      </c>
    </row>
    <row r="9810" spans="1:2">
      <c r="A9810" s="1" t="s">
        <v>10575</v>
      </c>
      <c r="B9810" t="s">
        <v>637</v>
      </c>
    </row>
    <row r="9811" spans="1:2">
      <c r="A9811" s="1" t="s">
        <v>10576</v>
      </c>
      <c r="B9811" t="s">
        <v>637</v>
      </c>
    </row>
    <row r="9812" spans="1:2">
      <c r="A9812" s="1" t="s">
        <v>10577</v>
      </c>
      <c r="B9812" t="s">
        <v>637</v>
      </c>
    </row>
    <row r="9813" spans="1:2">
      <c r="A9813" s="1" t="s">
        <v>10578</v>
      </c>
      <c r="B9813" t="s">
        <v>637</v>
      </c>
    </row>
    <row r="9814" spans="1:2">
      <c r="A9814" s="1" t="s">
        <v>10579</v>
      </c>
      <c r="B9814" t="s">
        <v>637</v>
      </c>
    </row>
    <row r="9815" spans="1:2">
      <c r="A9815" s="1" t="s">
        <v>10580</v>
      </c>
      <c r="B9815" t="s">
        <v>637</v>
      </c>
    </row>
    <row r="9816" spans="1:2">
      <c r="A9816" s="1" t="s">
        <v>10581</v>
      </c>
      <c r="B9816" t="s">
        <v>637</v>
      </c>
    </row>
    <row r="9817" spans="1:2">
      <c r="A9817" s="1" t="s">
        <v>10582</v>
      </c>
      <c r="B9817" t="s">
        <v>637</v>
      </c>
    </row>
    <row r="9818" spans="1:2">
      <c r="A9818" s="1" t="s">
        <v>10583</v>
      </c>
      <c r="B9818" t="s">
        <v>637</v>
      </c>
    </row>
    <row r="9819" spans="1:2">
      <c r="A9819" s="1" t="s">
        <v>10584</v>
      </c>
      <c r="B9819" t="s">
        <v>637</v>
      </c>
    </row>
    <row r="9820" spans="1:2">
      <c r="A9820" s="1" t="s">
        <v>10585</v>
      </c>
      <c r="B9820" t="s">
        <v>637</v>
      </c>
    </row>
    <row r="9821" spans="1:2">
      <c r="A9821" s="1" t="s">
        <v>10586</v>
      </c>
      <c r="B9821" t="s">
        <v>637</v>
      </c>
    </row>
    <row r="9822" spans="1:2">
      <c r="A9822" s="1" t="s">
        <v>10587</v>
      </c>
      <c r="B9822" t="s">
        <v>637</v>
      </c>
    </row>
    <row r="9823" spans="1:2">
      <c r="A9823" s="1" t="s">
        <v>10588</v>
      </c>
      <c r="B9823" t="s">
        <v>637</v>
      </c>
    </row>
    <row r="9824" spans="1:2">
      <c r="A9824" s="1" t="s">
        <v>10589</v>
      </c>
      <c r="B9824" t="s">
        <v>637</v>
      </c>
    </row>
    <row r="9825" spans="1:2">
      <c r="A9825" s="1" t="s">
        <v>10590</v>
      </c>
      <c r="B9825" t="s">
        <v>637</v>
      </c>
    </row>
    <row r="9826" spans="1:2">
      <c r="A9826" s="1" t="s">
        <v>10591</v>
      </c>
      <c r="B9826" t="s">
        <v>637</v>
      </c>
    </row>
    <row r="9827" spans="1:2">
      <c r="A9827" s="1" t="s">
        <v>10592</v>
      </c>
      <c r="B9827" t="s">
        <v>637</v>
      </c>
    </row>
    <row r="9828" spans="1:2">
      <c r="A9828" s="1" t="s">
        <v>10593</v>
      </c>
      <c r="B9828" t="s">
        <v>637</v>
      </c>
    </row>
    <row r="9829" spans="1:2">
      <c r="A9829" s="1" t="s">
        <v>10594</v>
      </c>
      <c r="B9829" t="s">
        <v>637</v>
      </c>
    </row>
    <row r="9830" spans="1:2">
      <c r="A9830" s="1" t="s">
        <v>10595</v>
      </c>
      <c r="B9830" t="s">
        <v>637</v>
      </c>
    </row>
    <row r="9831" spans="1:2">
      <c r="A9831" s="1" t="s">
        <v>10596</v>
      </c>
      <c r="B9831" t="s">
        <v>637</v>
      </c>
    </row>
    <row r="9832" spans="1:2">
      <c r="A9832" s="1" t="s">
        <v>10597</v>
      </c>
      <c r="B9832" t="s">
        <v>637</v>
      </c>
    </row>
    <row r="9833" spans="1:2">
      <c r="A9833" s="1" t="s">
        <v>10598</v>
      </c>
      <c r="B9833" t="s">
        <v>637</v>
      </c>
    </row>
    <row r="9834" spans="1:2">
      <c r="A9834" s="1" t="s">
        <v>10599</v>
      </c>
      <c r="B9834" t="s">
        <v>637</v>
      </c>
    </row>
    <row r="9835" spans="1:2">
      <c r="A9835" s="1" t="s">
        <v>10600</v>
      </c>
      <c r="B9835" t="s">
        <v>637</v>
      </c>
    </row>
    <row r="9836" spans="1:2">
      <c r="A9836" s="1" t="s">
        <v>10601</v>
      </c>
      <c r="B9836" t="s">
        <v>637</v>
      </c>
    </row>
    <row r="9837" spans="1:2">
      <c r="A9837" s="1" t="s">
        <v>10602</v>
      </c>
      <c r="B9837" t="s">
        <v>637</v>
      </c>
    </row>
    <row r="9838" spans="1:2">
      <c r="A9838" s="1" t="s">
        <v>10603</v>
      </c>
      <c r="B9838" t="s">
        <v>637</v>
      </c>
    </row>
    <row r="9839" spans="1:2">
      <c r="A9839" s="1" t="s">
        <v>10604</v>
      </c>
      <c r="B9839" t="s">
        <v>637</v>
      </c>
    </row>
    <row r="9840" spans="1:2">
      <c r="A9840" s="1" t="s">
        <v>10605</v>
      </c>
      <c r="B9840" t="s">
        <v>637</v>
      </c>
    </row>
    <row r="9841" spans="1:2">
      <c r="A9841" s="1" t="s">
        <v>10606</v>
      </c>
      <c r="B9841" t="s">
        <v>637</v>
      </c>
    </row>
    <row r="9842" spans="1:2">
      <c r="A9842" s="1" t="s">
        <v>10607</v>
      </c>
      <c r="B9842" t="s">
        <v>637</v>
      </c>
    </row>
    <row r="9843" spans="1:2">
      <c r="A9843" s="1" t="s">
        <v>10608</v>
      </c>
      <c r="B9843" t="s">
        <v>637</v>
      </c>
    </row>
    <row r="9844" spans="1:2">
      <c r="A9844" s="1" t="s">
        <v>10609</v>
      </c>
      <c r="B9844" t="s">
        <v>637</v>
      </c>
    </row>
    <row r="9845" spans="1:2">
      <c r="A9845" s="1" t="s">
        <v>10610</v>
      </c>
      <c r="B9845" t="s">
        <v>637</v>
      </c>
    </row>
    <row r="9846" spans="1:2">
      <c r="A9846" s="1" t="s">
        <v>10611</v>
      </c>
      <c r="B9846" t="s">
        <v>637</v>
      </c>
    </row>
    <row r="9847" spans="1:2">
      <c r="A9847" s="1" t="s">
        <v>10612</v>
      </c>
      <c r="B9847" t="s">
        <v>637</v>
      </c>
    </row>
    <row r="9848" spans="1:2">
      <c r="A9848" s="1" t="s">
        <v>10613</v>
      </c>
      <c r="B9848" t="s">
        <v>637</v>
      </c>
    </row>
    <row r="9849" spans="1:2">
      <c r="A9849" s="1" t="s">
        <v>10614</v>
      </c>
      <c r="B9849" t="s">
        <v>637</v>
      </c>
    </row>
    <row r="9850" spans="1:2">
      <c r="A9850" s="1" t="s">
        <v>10615</v>
      </c>
      <c r="B9850" t="s">
        <v>637</v>
      </c>
    </row>
    <row r="9851" spans="1:2">
      <c r="A9851" s="1" t="s">
        <v>10616</v>
      </c>
      <c r="B9851" t="s">
        <v>637</v>
      </c>
    </row>
    <row r="9852" spans="1:2">
      <c r="A9852" s="1" t="s">
        <v>10617</v>
      </c>
      <c r="B9852" t="s">
        <v>637</v>
      </c>
    </row>
    <row r="9853" spans="1:2">
      <c r="A9853" s="1" t="s">
        <v>10618</v>
      </c>
      <c r="B9853" t="s">
        <v>637</v>
      </c>
    </row>
    <row r="9854" spans="1:2">
      <c r="A9854" s="1" t="s">
        <v>10619</v>
      </c>
      <c r="B9854" t="s">
        <v>637</v>
      </c>
    </row>
    <row r="9855" spans="1:2">
      <c r="A9855" s="1" t="s">
        <v>10620</v>
      </c>
      <c r="B9855" t="s">
        <v>637</v>
      </c>
    </row>
    <row r="9856" spans="1:2">
      <c r="A9856" s="1" t="s">
        <v>10621</v>
      </c>
      <c r="B9856" t="s">
        <v>637</v>
      </c>
    </row>
    <row r="9857" spans="1:2">
      <c r="A9857" s="1" t="s">
        <v>10622</v>
      </c>
      <c r="B9857" t="s">
        <v>637</v>
      </c>
    </row>
    <row r="9858" spans="1:2">
      <c r="A9858" s="1" t="s">
        <v>10623</v>
      </c>
      <c r="B9858" t="s">
        <v>637</v>
      </c>
    </row>
    <row r="9859" spans="1:2">
      <c r="A9859" s="1" t="s">
        <v>10624</v>
      </c>
      <c r="B9859" t="s">
        <v>637</v>
      </c>
    </row>
    <row r="9860" spans="1:2">
      <c r="A9860" s="1" t="s">
        <v>10625</v>
      </c>
      <c r="B9860" t="s">
        <v>637</v>
      </c>
    </row>
    <row r="9861" spans="1:2">
      <c r="A9861" s="1" t="s">
        <v>10626</v>
      </c>
      <c r="B9861" t="s">
        <v>637</v>
      </c>
    </row>
    <row r="9862" spans="1:2">
      <c r="A9862" s="1" t="s">
        <v>10627</v>
      </c>
      <c r="B9862" t="s">
        <v>637</v>
      </c>
    </row>
    <row r="9863" spans="1:2">
      <c r="A9863" s="1" t="s">
        <v>10628</v>
      </c>
      <c r="B9863" t="s">
        <v>637</v>
      </c>
    </row>
    <row r="9864" spans="1:2">
      <c r="A9864" s="1" t="s">
        <v>10629</v>
      </c>
      <c r="B9864" t="s">
        <v>637</v>
      </c>
    </row>
    <row r="9865" spans="1:2">
      <c r="A9865" s="1" t="s">
        <v>10630</v>
      </c>
      <c r="B9865" t="s">
        <v>637</v>
      </c>
    </row>
    <row r="9866" spans="1:2">
      <c r="A9866" s="1" t="s">
        <v>10631</v>
      </c>
      <c r="B9866" t="s">
        <v>637</v>
      </c>
    </row>
    <row r="9867" spans="1:2">
      <c r="A9867" s="1" t="s">
        <v>10632</v>
      </c>
      <c r="B9867" t="s">
        <v>637</v>
      </c>
    </row>
    <row r="9868" spans="1:2">
      <c r="A9868" s="1" t="s">
        <v>10633</v>
      </c>
      <c r="B9868" t="s">
        <v>637</v>
      </c>
    </row>
    <row r="9869" spans="1:2">
      <c r="A9869" s="1" t="s">
        <v>10634</v>
      </c>
      <c r="B9869" t="s">
        <v>637</v>
      </c>
    </row>
    <row r="9870" spans="1:2">
      <c r="A9870" s="1" t="s">
        <v>10635</v>
      </c>
      <c r="B9870" t="s">
        <v>637</v>
      </c>
    </row>
    <row r="9871" spans="1:2">
      <c r="A9871" s="1" t="s">
        <v>10636</v>
      </c>
      <c r="B9871" t="s">
        <v>637</v>
      </c>
    </row>
    <row r="9872" spans="1:2">
      <c r="A9872" s="1" t="s">
        <v>10637</v>
      </c>
      <c r="B9872" t="s">
        <v>637</v>
      </c>
    </row>
    <row r="9873" spans="1:2">
      <c r="A9873" s="1" t="s">
        <v>10638</v>
      </c>
      <c r="B9873" t="s">
        <v>637</v>
      </c>
    </row>
    <row r="9874" spans="1:2">
      <c r="A9874" s="1" t="s">
        <v>10639</v>
      </c>
      <c r="B9874" t="s">
        <v>637</v>
      </c>
    </row>
    <row r="9875" spans="1:2">
      <c r="A9875" s="1" t="s">
        <v>10640</v>
      </c>
      <c r="B9875" t="s">
        <v>637</v>
      </c>
    </row>
    <row r="9876" spans="1:2">
      <c r="A9876" s="1" t="s">
        <v>10641</v>
      </c>
      <c r="B9876" t="s">
        <v>637</v>
      </c>
    </row>
    <row r="9877" spans="1:2">
      <c r="A9877" s="1" t="s">
        <v>10642</v>
      </c>
      <c r="B9877" t="s">
        <v>637</v>
      </c>
    </row>
    <row r="9878" spans="1:2">
      <c r="A9878" s="1" t="s">
        <v>10643</v>
      </c>
      <c r="B9878" t="s">
        <v>637</v>
      </c>
    </row>
    <row r="9879" spans="1:2">
      <c r="A9879" s="1" t="s">
        <v>10644</v>
      </c>
      <c r="B9879" t="s">
        <v>637</v>
      </c>
    </row>
    <row r="9880" spans="1:2">
      <c r="A9880" s="1" t="s">
        <v>10645</v>
      </c>
      <c r="B9880" t="s">
        <v>637</v>
      </c>
    </row>
    <row r="9881" spans="1:2">
      <c r="A9881" s="1" t="s">
        <v>10646</v>
      </c>
      <c r="B9881" t="s">
        <v>637</v>
      </c>
    </row>
    <row r="9882" spans="1:2">
      <c r="A9882" s="1" t="s">
        <v>10647</v>
      </c>
      <c r="B9882" t="s">
        <v>637</v>
      </c>
    </row>
    <row r="9883" spans="1:2">
      <c r="A9883" s="1" t="s">
        <v>10648</v>
      </c>
      <c r="B9883" t="s">
        <v>637</v>
      </c>
    </row>
    <row r="9884" spans="1:2">
      <c r="A9884" s="1" t="s">
        <v>10649</v>
      </c>
      <c r="B9884" t="s">
        <v>637</v>
      </c>
    </row>
    <row r="9885" spans="1:2">
      <c r="A9885" s="1" t="s">
        <v>10650</v>
      </c>
      <c r="B9885" t="s">
        <v>637</v>
      </c>
    </row>
    <row r="9886" spans="1:2">
      <c r="A9886" s="1" t="s">
        <v>10651</v>
      </c>
      <c r="B9886" t="s">
        <v>637</v>
      </c>
    </row>
    <row r="9887" spans="1:2">
      <c r="A9887" s="1" t="s">
        <v>10652</v>
      </c>
      <c r="B9887" t="s">
        <v>637</v>
      </c>
    </row>
    <row r="9888" spans="1:2">
      <c r="A9888" s="1" t="s">
        <v>10653</v>
      </c>
      <c r="B9888" t="s">
        <v>637</v>
      </c>
    </row>
    <row r="9889" spans="1:2">
      <c r="A9889" s="1" t="s">
        <v>10654</v>
      </c>
      <c r="B9889" t="s">
        <v>637</v>
      </c>
    </row>
    <row r="9890" spans="1:2">
      <c r="A9890" s="1" t="s">
        <v>10655</v>
      </c>
      <c r="B9890" t="s">
        <v>637</v>
      </c>
    </row>
    <row r="9891" spans="1:2">
      <c r="A9891" s="1" t="s">
        <v>10656</v>
      </c>
      <c r="B9891" t="s">
        <v>637</v>
      </c>
    </row>
    <row r="9892" spans="1:2">
      <c r="A9892" s="1" t="s">
        <v>10657</v>
      </c>
      <c r="B9892" t="s">
        <v>637</v>
      </c>
    </row>
    <row r="9893" spans="1:2">
      <c r="A9893" s="1" t="s">
        <v>10658</v>
      </c>
      <c r="B9893" t="s">
        <v>637</v>
      </c>
    </row>
    <row r="9894" spans="1:2">
      <c r="A9894" s="1" t="s">
        <v>10659</v>
      </c>
      <c r="B9894" t="s">
        <v>637</v>
      </c>
    </row>
    <row r="9895" spans="1:2">
      <c r="A9895" s="1" t="s">
        <v>10660</v>
      </c>
      <c r="B9895" t="s">
        <v>637</v>
      </c>
    </row>
    <row r="9896" spans="1:2">
      <c r="A9896" s="1" t="s">
        <v>10661</v>
      </c>
      <c r="B9896" t="s">
        <v>637</v>
      </c>
    </row>
    <row r="9897" spans="1:2">
      <c r="A9897" s="1" t="s">
        <v>10662</v>
      </c>
      <c r="B9897" t="s">
        <v>637</v>
      </c>
    </row>
    <row r="9898" spans="1:2">
      <c r="A9898" s="1" t="s">
        <v>10663</v>
      </c>
      <c r="B9898" t="s">
        <v>637</v>
      </c>
    </row>
    <row r="9899" spans="1:2">
      <c r="A9899" s="1" t="s">
        <v>10664</v>
      </c>
      <c r="B9899" t="s">
        <v>637</v>
      </c>
    </row>
    <row r="9900" spans="1:2">
      <c r="A9900" s="1" t="s">
        <v>10665</v>
      </c>
      <c r="B9900" t="s">
        <v>637</v>
      </c>
    </row>
    <row r="9901" spans="1:2">
      <c r="A9901" s="1" t="s">
        <v>10666</v>
      </c>
      <c r="B9901" t="s">
        <v>637</v>
      </c>
    </row>
    <row r="9902" spans="1:2">
      <c r="A9902" s="1" t="s">
        <v>10667</v>
      </c>
      <c r="B9902" t="s">
        <v>637</v>
      </c>
    </row>
    <row r="9903" spans="1:2">
      <c r="A9903" s="1" t="s">
        <v>10668</v>
      </c>
      <c r="B9903" t="s">
        <v>637</v>
      </c>
    </row>
    <row r="9904" spans="1:2">
      <c r="A9904" s="1" t="s">
        <v>10669</v>
      </c>
      <c r="B9904" t="s">
        <v>637</v>
      </c>
    </row>
    <row r="9905" spans="1:2">
      <c r="A9905" s="1" t="s">
        <v>10670</v>
      </c>
      <c r="B9905" t="s">
        <v>637</v>
      </c>
    </row>
    <row r="9906" spans="1:2">
      <c r="A9906" s="1" t="s">
        <v>10671</v>
      </c>
      <c r="B9906" t="s">
        <v>637</v>
      </c>
    </row>
    <row r="9907" spans="1:2">
      <c r="A9907" s="1" t="s">
        <v>10672</v>
      </c>
      <c r="B9907" t="s">
        <v>637</v>
      </c>
    </row>
    <row r="9908" spans="1:2">
      <c r="A9908" s="1" t="s">
        <v>10673</v>
      </c>
      <c r="B9908" t="s">
        <v>637</v>
      </c>
    </row>
    <row r="9909" spans="1:2">
      <c r="A9909" s="1" t="s">
        <v>10674</v>
      </c>
      <c r="B9909" t="s">
        <v>637</v>
      </c>
    </row>
    <row r="9910" spans="1:2">
      <c r="A9910" s="1" t="s">
        <v>10675</v>
      </c>
      <c r="B9910" t="s">
        <v>637</v>
      </c>
    </row>
    <row r="9911" spans="1:2">
      <c r="A9911" s="1" t="s">
        <v>10676</v>
      </c>
      <c r="B9911" t="s">
        <v>637</v>
      </c>
    </row>
    <row r="9912" spans="1:2">
      <c r="A9912" s="1" t="s">
        <v>10677</v>
      </c>
      <c r="B9912" t="s">
        <v>637</v>
      </c>
    </row>
    <row r="9913" spans="1:2">
      <c r="A9913" s="1" t="s">
        <v>10678</v>
      </c>
      <c r="B9913" t="s">
        <v>637</v>
      </c>
    </row>
    <row r="9914" spans="1:2">
      <c r="A9914" s="1" t="s">
        <v>10679</v>
      </c>
      <c r="B9914" t="s">
        <v>637</v>
      </c>
    </row>
    <row r="9915" spans="1:2">
      <c r="A9915" s="1" t="s">
        <v>10680</v>
      </c>
      <c r="B9915" t="s">
        <v>637</v>
      </c>
    </row>
    <row r="9916" spans="1:2">
      <c r="A9916" s="1" t="s">
        <v>10681</v>
      </c>
      <c r="B9916" t="s">
        <v>637</v>
      </c>
    </row>
    <row r="9917" spans="1:2">
      <c r="A9917" s="1" t="s">
        <v>10682</v>
      </c>
      <c r="B9917" t="s">
        <v>637</v>
      </c>
    </row>
    <row r="9918" spans="1:2">
      <c r="A9918" s="1" t="s">
        <v>10683</v>
      </c>
      <c r="B9918" t="s">
        <v>637</v>
      </c>
    </row>
    <row r="9919" spans="1:2">
      <c r="A9919" s="1" t="s">
        <v>10684</v>
      </c>
      <c r="B9919" t="s">
        <v>637</v>
      </c>
    </row>
    <row r="9920" spans="1:2">
      <c r="A9920" s="1" t="s">
        <v>10685</v>
      </c>
      <c r="B9920" t="s">
        <v>637</v>
      </c>
    </row>
    <row r="9921" spans="1:2">
      <c r="A9921" s="1" t="s">
        <v>10686</v>
      </c>
      <c r="B9921" t="s">
        <v>637</v>
      </c>
    </row>
    <row r="9922" spans="1:2">
      <c r="A9922" s="1" t="s">
        <v>10687</v>
      </c>
      <c r="B9922" t="s">
        <v>637</v>
      </c>
    </row>
    <row r="9923" spans="1:2">
      <c r="A9923" s="1" t="s">
        <v>10688</v>
      </c>
      <c r="B9923" t="s">
        <v>637</v>
      </c>
    </row>
    <row r="9924" spans="1:2">
      <c r="A9924" s="1" t="s">
        <v>10689</v>
      </c>
      <c r="B9924" t="s">
        <v>637</v>
      </c>
    </row>
    <row r="9925" spans="1:2">
      <c r="A9925" s="1" t="s">
        <v>10690</v>
      </c>
      <c r="B9925" t="s">
        <v>637</v>
      </c>
    </row>
    <row r="9926" spans="1:2">
      <c r="A9926" s="1" t="s">
        <v>10691</v>
      </c>
      <c r="B9926" t="s">
        <v>637</v>
      </c>
    </row>
    <row r="9927" spans="1:2">
      <c r="A9927" s="1" t="s">
        <v>10692</v>
      </c>
      <c r="B9927" t="s">
        <v>637</v>
      </c>
    </row>
    <row r="9928" spans="1:2">
      <c r="A9928" s="1" t="s">
        <v>10693</v>
      </c>
      <c r="B9928" t="s">
        <v>637</v>
      </c>
    </row>
    <row r="9929" spans="1:2">
      <c r="A9929" s="1" t="s">
        <v>10694</v>
      </c>
      <c r="B9929" t="s">
        <v>637</v>
      </c>
    </row>
    <row r="9930" spans="1:2">
      <c r="A9930" s="1" t="s">
        <v>10695</v>
      </c>
      <c r="B9930" t="s">
        <v>637</v>
      </c>
    </row>
    <row r="9931" spans="1:2">
      <c r="A9931" s="1" t="s">
        <v>10696</v>
      </c>
      <c r="B9931" t="s">
        <v>637</v>
      </c>
    </row>
    <row r="9932" spans="1:2">
      <c r="A9932" s="1" t="s">
        <v>10697</v>
      </c>
      <c r="B9932" t="s">
        <v>637</v>
      </c>
    </row>
    <row r="9933" spans="1:2">
      <c r="A9933" s="1" t="s">
        <v>10698</v>
      </c>
      <c r="B9933" t="s">
        <v>637</v>
      </c>
    </row>
    <row r="9934" spans="1:2">
      <c r="A9934" s="1" t="s">
        <v>10699</v>
      </c>
      <c r="B9934" t="s">
        <v>637</v>
      </c>
    </row>
    <row r="9935" spans="1:2">
      <c r="A9935" s="1" t="s">
        <v>10700</v>
      </c>
      <c r="B9935" t="s">
        <v>637</v>
      </c>
    </row>
    <row r="9936" spans="1:2">
      <c r="A9936" s="1" t="s">
        <v>10701</v>
      </c>
      <c r="B9936" t="s">
        <v>637</v>
      </c>
    </row>
    <row r="9937" spans="1:2">
      <c r="A9937" s="1" t="s">
        <v>10702</v>
      </c>
      <c r="B9937" t="s">
        <v>637</v>
      </c>
    </row>
    <row r="9938" spans="1:2">
      <c r="A9938" s="1" t="s">
        <v>10703</v>
      </c>
      <c r="B9938" t="s">
        <v>637</v>
      </c>
    </row>
    <row r="9939" spans="1:2">
      <c r="A9939" s="1" t="s">
        <v>10704</v>
      </c>
      <c r="B9939" t="s">
        <v>637</v>
      </c>
    </row>
    <row r="9940" spans="1:2">
      <c r="A9940" s="1" t="s">
        <v>10705</v>
      </c>
      <c r="B9940" t="s">
        <v>637</v>
      </c>
    </row>
    <row r="9941" spans="1:2">
      <c r="A9941" s="1" t="s">
        <v>10706</v>
      </c>
      <c r="B9941" t="s">
        <v>637</v>
      </c>
    </row>
    <row r="9942" spans="1:2">
      <c r="A9942" s="1" t="s">
        <v>10707</v>
      </c>
      <c r="B9942" t="s">
        <v>637</v>
      </c>
    </row>
    <row r="9943" spans="1:2">
      <c r="A9943" s="1" t="s">
        <v>10708</v>
      </c>
      <c r="B9943" t="s">
        <v>637</v>
      </c>
    </row>
    <row r="9944" spans="1:2">
      <c r="A9944" s="1" t="s">
        <v>10709</v>
      </c>
      <c r="B9944" t="s">
        <v>637</v>
      </c>
    </row>
    <row r="9945" spans="1:2">
      <c r="A9945" s="1" t="s">
        <v>10710</v>
      </c>
      <c r="B9945" t="s">
        <v>637</v>
      </c>
    </row>
    <row r="9946" spans="1:2">
      <c r="A9946" s="1" t="s">
        <v>10711</v>
      </c>
      <c r="B9946" t="s">
        <v>637</v>
      </c>
    </row>
    <row r="9947" spans="1:2">
      <c r="A9947" s="1" t="s">
        <v>10712</v>
      </c>
      <c r="B9947" t="s">
        <v>637</v>
      </c>
    </row>
    <row r="9948" spans="1:2">
      <c r="A9948" s="1" t="s">
        <v>10713</v>
      </c>
      <c r="B9948" t="s">
        <v>637</v>
      </c>
    </row>
    <row r="9949" spans="1:2">
      <c r="A9949" s="1" t="s">
        <v>10714</v>
      </c>
      <c r="B9949" t="s">
        <v>637</v>
      </c>
    </row>
    <row r="9950" spans="1:2">
      <c r="A9950" s="1" t="s">
        <v>10715</v>
      </c>
      <c r="B9950" t="s">
        <v>637</v>
      </c>
    </row>
    <row r="9951" spans="1:2">
      <c r="A9951" s="1" t="s">
        <v>10716</v>
      </c>
      <c r="B9951" t="s">
        <v>637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637</v>
      </c>
    </row>
    <row r="9954" spans="1:2">
      <c r="A9954" s="1" t="s">
        <v>10719</v>
      </c>
      <c r="B9954" t="s">
        <v>637</v>
      </c>
    </row>
    <row r="9955" spans="1:2">
      <c r="A9955" s="1" t="s">
        <v>10720</v>
      </c>
      <c r="B9955" t="s">
        <v>637</v>
      </c>
    </row>
    <row r="9956" spans="1:2">
      <c r="A9956" s="1" t="s">
        <v>10721</v>
      </c>
      <c r="B9956" t="s">
        <v>637</v>
      </c>
    </row>
    <row r="9957" spans="1:2">
      <c r="A9957" s="1" t="s">
        <v>10722</v>
      </c>
      <c r="B9957" t="s">
        <v>637</v>
      </c>
    </row>
    <row r="9958" spans="1:2">
      <c r="A9958" s="1" t="s">
        <v>10723</v>
      </c>
      <c r="B9958" t="s">
        <v>637</v>
      </c>
    </row>
    <row r="9959" spans="1:2">
      <c r="A9959" s="1" t="s">
        <v>10724</v>
      </c>
      <c r="B9959" t="s">
        <v>637</v>
      </c>
    </row>
    <row r="9960" spans="1:2">
      <c r="A9960" s="1" t="s">
        <v>10725</v>
      </c>
      <c r="B9960" t="s">
        <v>637</v>
      </c>
    </row>
    <row r="9961" spans="1:2">
      <c r="A9961" s="1" t="s">
        <v>10726</v>
      </c>
      <c r="B9961" t="s">
        <v>637</v>
      </c>
    </row>
    <row r="9962" spans="1:2">
      <c r="A9962" s="1" t="s">
        <v>10727</v>
      </c>
      <c r="B9962" t="s">
        <v>637</v>
      </c>
    </row>
    <row r="9963" spans="1:2">
      <c r="A9963" s="1" t="s">
        <v>10728</v>
      </c>
      <c r="B9963" t="s">
        <v>637</v>
      </c>
    </row>
    <row r="9964" spans="1:2">
      <c r="A9964" s="1" t="s">
        <v>10729</v>
      </c>
      <c r="B9964" t="s">
        <v>637</v>
      </c>
    </row>
    <row r="9965" spans="1:2">
      <c r="A9965" s="1" t="s">
        <v>10730</v>
      </c>
      <c r="B9965" t="s">
        <v>637</v>
      </c>
    </row>
    <row r="9966" spans="1:2">
      <c r="A9966" s="1" t="s">
        <v>10731</v>
      </c>
      <c r="B9966" t="s">
        <v>637</v>
      </c>
    </row>
    <row r="9967" spans="1:2">
      <c r="A9967" s="1" t="s">
        <v>10732</v>
      </c>
      <c r="B9967" t="s">
        <v>637</v>
      </c>
    </row>
    <row r="9968" spans="1:2">
      <c r="A9968" s="1" t="s">
        <v>10733</v>
      </c>
      <c r="B9968" t="s">
        <v>637</v>
      </c>
    </row>
    <row r="9969" spans="1:2">
      <c r="A9969" s="1" t="s">
        <v>10734</v>
      </c>
      <c r="B9969" t="s">
        <v>637</v>
      </c>
    </row>
    <row r="9970" spans="1:2">
      <c r="A9970" s="1" t="s">
        <v>10735</v>
      </c>
      <c r="B9970" t="s">
        <v>637</v>
      </c>
    </row>
    <row r="9971" spans="1:2">
      <c r="A9971" s="1" t="s">
        <v>10736</v>
      </c>
      <c r="B9971" t="s">
        <v>637</v>
      </c>
    </row>
    <row r="9972" spans="1:2">
      <c r="A9972" s="1" t="s">
        <v>10737</v>
      </c>
      <c r="B9972" t="s">
        <v>637</v>
      </c>
    </row>
    <row r="9973" spans="1:2">
      <c r="A9973" s="1" t="s">
        <v>10738</v>
      </c>
      <c r="B9973" t="s">
        <v>637</v>
      </c>
    </row>
    <row r="9974" spans="1:2">
      <c r="A9974" s="1" t="s">
        <v>10739</v>
      </c>
      <c r="B9974" t="s">
        <v>637</v>
      </c>
    </row>
    <row r="9975" spans="1:2">
      <c r="A9975" s="1" t="s">
        <v>10740</v>
      </c>
      <c r="B9975" t="s">
        <v>637</v>
      </c>
    </row>
    <row r="9976" spans="1:2">
      <c r="A9976" s="1" t="s">
        <v>10741</v>
      </c>
      <c r="B9976" t="s">
        <v>637</v>
      </c>
    </row>
    <row r="9977" spans="1:2">
      <c r="A9977" s="1" t="s">
        <v>10742</v>
      </c>
      <c r="B9977" t="s">
        <v>637</v>
      </c>
    </row>
    <row r="9978" spans="1:2">
      <c r="A9978" s="1" t="s">
        <v>10743</v>
      </c>
      <c r="B9978" t="s">
        <v>637</v>
      </c>
    </row>
    <row r="9979" spans="1:2">
      <c r="A9979" s="1" t="s">
        <v>10744</v>
      </c>
      <c r="B9979" t="s">
        <v>637</v>
      </c>
    </row>
    <row r="9980" spans="1:2">
      <c r="A9980" s="1" t="s">
        <v>10745</v>
      </c>
      <c r="B9980" t="s">
        <v>637</v>
      </c>
    </row>
    <row r="9981" spans="1:2">
      <c r="A9981" s="1" t="s">
        <v>10746</v>
      </c>
      <c r="B9981" t="s">
        <v>637</v>
      </c>
    </row>
    <row r="9982" spans="1:2">
      <c r="A9982" s="1" t="s">
        <v>10747</v>
      </c>
      <c r="B9982" t="s">
        <v>637</v>
      </c>
    </row>
    <row r="9983" spans="1:2">
      <c r="A9983" s="1" t="s">
        <v>10748</v>
      </c>
      <c r="B9983" t="s">
        <v>637</v>
      </c>
    </row>
    <row r="9984" spans="1:2">
      <c r="A9984" s="1" t="s">
        <v>10749</v>
      </c>
      <c r="B9984" t="s">
        <v>637</v>
      </c>
    </row>
    <row r="9985" spans="1:2">
      <c r="A9985" s="1" t="s">
        <v>10750</v>
      </c>
      <c r="B9985" t="s">
        <v>637</v>
      </c>
    </row>
    <row r="9986" spans="1:2">
      <c r="A9986" s="1" t="s">
        <v>10751</v>
      </c>
      <c r="B9986" t="s">
        <v>637</v>
      </c>
    </row>
    <row r="9987" spans="1:2">
      <c r="A9987" s="1" t="s">
        <v>10752</v>
      </c>
      <c r="B9987" t="s">
        <v>637</v>
      </c>
    </row>
    <row r="9988" spans="1:2">
      <c r="A9988" s="1" t="s">
        <v>10753</v>
      </c>
      <c r="B9988" t="s">
        <v>637</v>
      </c>
    </row>
    <row r="9989" spans="1:2">
      <c r="A9989" s="1" t="s">
        <v>10754</v>
      </c>
      <c r="B9989" t="s">
        <v>637</v>
      </c>
    </row>
    <row r="9990" spans="1:2">
      <c r="A9990" s="1" t="s">
        <v>10755</v>
      </c>
      <c r="B9990" t="s">
        <v>637</v>
      </c>
    </row>
    <row r="9991" spans="1:2">
      <c r="A9991" s="1" t="s">
        <v>10756</v>
      </c>
      <c r="B9991" t="s">
        <v>637</v>
      </c>
    </row>
    <row r="9992" spans="1:2">
      <c r="A9992" s="1" t="s">
        <v>10757</v>
      </c>
      <c r="B9992" t="s">
        <v>637</v>
      </c>
    </row>
    <row r="9993" spans="1:2">
      <c r="A9993" s="1" t="s">
        <v>10758</v>
      </c>
      <c r="B9993" t="s">
        <v>637</v>
      </c>
    </row>
    <row r="9994" spans="1:2">
      <c r="A9994" s="1" t="s">
        <v>10759</v>
      </c>
      <c r="B9994" t="s">
        <v>637</v>
      </c>
    </row>
    <row r="9995" spans="1:2">
      <c r="A9995" s="1" t="s">
        <v>10760</v>
      </c>
      <c r="B9995" t="s">
        <v>637</v>
      </c>
    </row>
    <row r="9996" spans="1:2">
      <c r="A9996" s="1" t="s">
        <v>10761</v>
      </c>
      <c r="B9996" t="s">
        <v>637</v>
      </c>
    </row>
    <row r="9997" spans="1:2">
      <c r="A9997" s="1" t="s">
        <v>10762</v>
      </c>
      <c r="B9997" t="s">
        <v>637</v>
      </c>
    </row>
    <row r="9998" spans="1:2">
      <c r="A9998" s="1" t="s">
        <v>10763</v>
      </c>
      <c r="B9998" t="s">
        <v>637</v>
      </c>
    </row>
    <row r="9999" spans="1:2">
      <c r="A9999" s="1" t="s">
        <v>10764</v>
      </c>
      <c r="B9999" t="s">
        <v>637</v>
      </c>
    </row>
    <row r="10000" spans="1:2">
      <c r="A10000" s="1" t="s">
        <v>10765</v>
      </c>
      <c r="B10000" t="s">
        <v>637</v>
      </c>
    </row>
    <row r="10001" spans="1:2">
      <c r="A10001" s="1" t="s">
        <v>10766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2020-08-11T20:44:42Z</dcterms:created>
  <dcterms:modified xsi:type="dcterms:W3CDTF">2020-08-11T20:44:42Z</dcterms:modified>
</cp:coreProperties>
</file>