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<sst xmlns="http://schemas.openxmlformats.org/spreadsheetml/2006/main" count="22312" uniqueCount="10769">
  <si>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</si>
  <si>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</si>
  <si>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</si>
  <si>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</si>
  <si>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</si>
  <si>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</si>
  <si>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</si>
  <si>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</si>
  <si>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</si>
  <si>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</si>
  <si>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</si>
  <si>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</si>
  <si>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</si>
  <si>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</si>
  <si>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PSBQ</t>
  </si>
  <si>
    <t>LHX</t>
  </si>
  <si>
    <t>NOC</t>
  </si>
  <si>
    <t>AMP</t>
  </si>
  <si>
    <t>BMY</t>
  </si>
  <si>
    <t>CDUAF</t>
  </si>
  <si>
    <t>NFG</t>
  </si>
  <si>
    <t>AIZ</t>
  </si>
  <si>
    <t>BEN</t>
  </si>
  <si>
    <t>HII</t>
  </si>
  <si>
    <t>WBA</t>
  </si>
  <si>
    <t>EV</t>
  </si>
  <si>
    <t>ORCL</t>
  </si>
  <si>
    <t>FMCB</t>
  </si>
  <si>
    <t>PNGAY</t>
  </si>
  <si>
    <t>GD</t>
  </si>
  <si>
    <t>ABBV</t>
  </si>
  <si>
    <t>LOW</t>
  </si>
  <si>
    <t>MCK</t>
  </si>
  <si>
    <t>TYCB</t>
  </si>
  <si>
    <t>CSL</t>
  </si>
  <si>
    <t>ADM</t>
  </si>
  <si>
    <t>PNR</t>
  </si>
  <si>
    <t>BANF</t>
  </si>
  <si>
    <t>AFL</t>
  </si>
  <si>
    <t>UNH</t>
  </si>
  <si>
    <t>MGRC</t>
  </si>
  <si>
    <t>SRCE</t>
  </si>
  <si>
    <t>BKH</t>
  </si>
  <si>
    <t>CPKF</t>
  </si>
  <si>
    <t>FUL</t>
  </si>
  <si>
    <t>TNC</t>
  </si>
  <si>
    <t>TXT</t>
  </si>
  <si>
    <t>NVS</t>
  </si>
  <si>
    <t>TCEHY</t>
  </si>
  <si>
    <t>ABM</t>
  </si>
  <si>
    <t>ADP</t>
  </si>
  <si>
    <t>PRGO</t>
  </si>
  <si>
    <t>SYK</t>
  </si>
  <si>
    <t>CB</t>
  </si>
  <si>
    <t>CAH</t>
  </si>
  <si>
    <t>SEIC</t>
  </si>
  <si>
    <t>SON</t>
  </si>
  <si>
    <t>ATO</t>
  </si>
  <si>
    <t>GPC</t>
  </si>
  <si>
    <t>PH</t>
  </si>
  <si>
    <t>DPZ</t>
  </si>
  <si>
    <t>DCI</t>
  </si>
  <si>
    <t>BDX</t>
  </si>
  <si>
    <t>MMM</t>
  </si>
  <si>
    <t>KMB</t>
  </si>
  <si>
    <t>MDT</t>
  </si>
  <si>
    <t>JNJ</t>
  </si>
  <si>
    <t>KR</t>
  </si>
  <si>
    <t>DG</t>
  </si>
  <si>
    <t>BRC</t>
  </si>
  <si>
    <t>EMR</t>
  </si>
  <si>
    <t>TGT</t>
  </si>
  <si>
    <t>CP</t>
  </si>
  <si>
    <t>AROW</t>
  </si>
  <si>
    <t>DOV</t>
  </si>
  <si>
    <t>CSX</t>
  </si>
  <si>
    <t>MSA</t>
  </si>
  <si>
    <t>GRC</t>
  </si>
  <si>
    <t>NWN</t>
  </si>
  <si>
    <t>ABC</t>
  </si>
  <si>
    <t>AAP</t>
  </si>
  <si>
    <t>TROW</t>
  </si>
  <si>
    <t>GWW</t>
  </si>
  <si>
    <t>BRO</t>
  </si>
  <si>
    <t>COST</t>
  </si>
  <si>
    <t>CINF</t>
  </si>
  <si>
    <t>THFF</t>
  </si>
  <si>
    <t>FELE</t>
  </si>
  <si>
    <t>TR</t>
  </si>
  <si>
    <t>PG</t>
  </si>
  <si>
    <t>PPG</t>
  </si>
  <si>
    <t>SPGI</t>
  </si>
  <si>
    <t>CHD</t>
  </si>
  <si>
    <t>SWK</t>
  </si>
  <si>
    <t>SJW</t>
  </si>
  <si>
    <t>ABT</t>
  </si>
  <si>
    <t>CNI</t>
  </si>
  <si>
    <t>CSVI</t>
  </si>
  <si>
    <t>WMT</t>
  </si>
  <si>
    <t>CL</t>
  </si>
  <si>
    <t>SCL</t>
  </si>
  <si>
    <t>LANC</t>
  </si>
  <si>
    <t>BAM</t>
  </si>
  <si>
    <t>MSFT</t>
  </si>
  <si>
    <t>SHW</t>
  </si>
  <si>
    <t>ALB</t>
  </si>
  <si>
    <t>RPM</t>
  </si>
  <si>
    <t>MCO</t>
  </si>
  <si>
    <t>HRL</t>
  </si>
  <si>
    <t>CARR</t>
  </si>
  <si>
    <t>EXPD</t>
  </si>
  <si>
    <t>MGEE</t>
  </si>
  <si>
    <t>MKC</t>
  </si>
  <si>
    <t>EBAY</t>
  </si>
  <si>
    <t>ECL</t>
  </si>
  <si>
    <t>ATR</t>
  </si>
  <si>
    <t>AWR</t>
  </si>
  <si>
    <t>ROP</t>
  </si>
  <si>
    <t>BF.B</t>
  </si>
  <si>
    <t>OTIS</t>
  </si>
  <si>
    <t>NDSN</t>
  </si>
  <si>
    <t>MSEX</t>
  </si>
  <si>
    <t>AAPL</t>
  </si>
  <si>
    <t>JKHY</t>
  </si>
  <si>
    <t>APD</t>
  </si>
  <si>
    <t>CTAS</t>
  </si>
  <si>
    <t>CWT</t>
  </si>
  <si>
    <t>BMI</t>
  </si>
  <si>
    <t>RLI</t>
  </si>
  <si>
    <t>WST</t>
  </si>
  <si>
    <t>SUN</t>
  </si>
  <si>
    <t>MTB</t>
  </si>
  <si>
    <t>FDX</t>
  </si>
  <si>
    <t>T</t>
  </si>
  <si>
    <t>EPD</t>
  </si>
  <si>
    <t>PBCT</t>
  </si>
  <si>
    <t>AXP</t>
  </si>
  <si>
    <t>OMC</t>
  </si>
  <si>
    <t>SLF</t>
  </si>
  <si>
    <t>FRT</t>
  </si>
  <si>
    <t>LMT</t>
  </si>
  <si>
    <t>GWLIF</t>
  </si>
  <si>
    <t>JW.A</t>
  </si>
  <si>
    <t>MO</t>
  </si>
  <si>
    <t>HRB</t>
  </si>
  <si>
    <t>MET</t>
  </si>
  <si>
    <t>TDS</t>
  </si>
  <si>
    <t>CVS</t>
  </si>
  <si>
    <t>AMX</t>
  </si>
  <si>
    <t>SRE</t>
  </si>
  <si>
    <t>CMCSA</t>
  </si>
  <si>
    <t>CFR</t>
  </si>
  <si>
    <t>BAYRY</t>
  </si>
  <si>
    <t>TSN</t>
  </si>
  <si>
    <t>UGI</t>
  </si>
  <si>
    <t>VZ</t>
  </si>
  <si>
    <t>ICE</t>
  </si>
  <si>
    <t>EIX</t>
  </si>
  <si>
    <t>CSCO</t>
  </si>
  <si>
    <t>GEF</t>
  </si>
  <si>
    <t>NTIOF</t>
  </si>
  <si>
    <t>RELX</t>
  </si>
  <si>
    <t>EMN</t>
  </si>
  <si>
    <t>DTE</t>
  </si>
  <si>
    <t>RTX</t>
  </si>
  <si>
    <t>AON</t>
  </si>
  <si>
    <t>MDU</t>
  </si>
  <si>
    <t>HNI</t>
  </si>
  <si>
    <t>AMAT</t>
  </si>
  <si>
    <t>IBM</t>
  </si>
  <si>
    <t>CTBI</t>
  </si>
  <si>
    <t>CONE</t>
  </si>
  <si>
    <t>WHR</t>
  </si>
  <si>
    <t>RDEIY</t>
  </si>
  <si>
    <t>INTC</t>
  </si>
  <si>
    <t>KDP</t>
  </si>
  <si>
    <t>DEO</t>
  </si>
  <si>
    <t>SYY</t>
  </si>
  <si>
    <t>MRK</t>
  </si>
  <si>
    <t>CTSH</t>
  </si>
  <si>
    <t>SJM</t>
  </si>
  <si>
    <t>GILD</t>
  </si>
  <si>
    <t>MDLZ</t>
  </si>
  <si>
    <t>TTC</t>
  </si>
  <si>
    <t>LNT</t>
  </si>
  <si>
    <t>KO</t>
  </si>
  <si>
    <t>BAH</t>
  </si>
  <si>
    <t>PPL</t>
  </si>
  <si>
    <t>JACK</t>
  </si>
  <si>
    <t>FTS</t>
  </si>
  <si>
    <t>AMGN</t>
  </si>
  <si>
    <t>NEP</t>
  </si>
  <si>
    <t>UVV</t>
  </si>
  <si>
    <t>TRV</t>
  </si>
  <si>
    <t>HON</t>
  </si>
  <si>
    <t>NSC</t>
  </si>
  <si>
    <t>RSG</t>
  </si>
  <si>
    <t>RE</t>
  </si>
  <si>
    <t>SNA</t>
  </si>
  <si>
    <t>FOXA</t>
  </si>
  <si>
    <t>XYL</t>
  </si>
  <si>
    <t>ED</t>
  </si>
  <si>
    <t>UBSI</t>
  </si>
  <si>
    <t>ARTNA</t>
  </si>
  <si>
    <t>HD</t>
  </si>
  <si>
    <t>HSY</t>
  </si>
  <si>
    <t>CBU</t>
  </si>
  <si>
    <t>SAP</t>
  </si>
  <si>
    <t>PEG</t>
  </si>
  <si>
    <t>CBSH</t>
  </si>
  <si>
    <t>INTU</t>
  </si>
  <si>
    <t>AOS</t>
  </si>
  <si>
    <t>UHT</t>
  </si>
  <si>
    <t>ETR</t>
  </si>
  <si>
    <t>BBY</t>
  </si>
  <si>
    <t>PEP</t>
  </si>
  <si>
    <t>TMP</t>
  </si>
  <si>
    <t>UNP</t>
  </si>
  <si>
    <t>K</t>
  </si>
  <si>
    <t>NVO</t>
  </si>
  <si>
    <t>AJG</t>
  </si>
  <si>
    <t>IFF</t>
  </si>
  <si>
    <t>NSRGY</t>
  </si>
  <si>
    <t>MCD</t>
  </si>
  <si>
    <t>NUE</t>
  </si>
  <si>
    <t>WU</t>
  </si>
  <si>
    <t>SWKS</t>
  </si>
  <si>
    <t>BLK</t>
  </si>
  <si>
    <t>QCOM</t>
  </si>
  <si>
    <t>WEC</t>
  </si>
  <si>
    <t>ITW</t>
  </si>
  <si>
    <t>WABC</t>
  </si>
  <si>
    <t>DIS</t>
  </si>
  <si>
    <t>INFY</t>
  </si>
  <si>
    <t>ROK</t>
  </si>
  <si>
    <t>NKE</t>
  </si>
  <si>
    <t>WTRG</t>
  </si>
  <si>
    <t>WM</t>
  </si>
  <si>
    <t>AMT</t>
  </si>
  <si>
    <t>GPS</t>
  </si>
  <si>
    <t>XEL</t>
  </si>
  <si>
    <t>LIN</t>
  </si>
  <si>
    <t>NEE</t>
  </si>
  <si>
    <t>CHRW</t>
  </si>
  <si>
    <t>RMD</t>
  </si>
  <si>
    <t>MORN</t>
  </si>
  <si>
    <t>WSM</t>
  </si>
  <si>
    <t>LLY</t>
  </si>
  <si>
    <t>CLX</t>
  </si>
  <si>
    <t>ERIE</t>
  </si>
  <si>
    <t>TSCO</t>
  </si>
  <si>
    <t>OKE</t>
  </si>
  <si>
    <t>ET</t>
  </si>
  <si>
    <t>DFS</t>
  </si>
  <si>
    <t>NAVI</t>
  </si>
  <si>
    <t>NC</t>
  </si>
  <si>
    <t>MMP</t>
  </si>
  <si>
    <t>MPLX</t>
  </si>
  <si>
    <t>PFG</t>
  </si>
  <si>
    <t>CWCO</t>
  </si>
  <si>
    <t>NTAP</t>
  </si>
  <si>
    <t>SAXPY</t>
  </si>
  <si>
    <t>ENB</t>
  </si>
  <si>
    <t>BNS</t>
  </si>
  <si>
    <t>PRU</t>
  </si>
  <si>
    <t>TAP</t>
  </si>
  <si>
    <t>MDP</t>
  </si>
  <si>
    <t>ALL</t>
  </si>
  <si>
    <t>BAC</t>
  </si>
  <si>
    <t>BTI</t>
  </si>
  <si>
    <t>BMO</t>
  </si>
  <si>
    <t>ERF</t>
  </si>
  <si>
    <t>OPI</t>
  </si>
  <si>
    <t>MSM</t>
  </si>
  <si>
    <t>MCY</t>
  </si>
  <si>
    <t>UMBF</t>
  </si>
  <si>
    <t>BIP</t>
  </si>
  <si>
    <t>BK</t>
  </si>
  <si>
    <t>CM</t>
  </si>
  <si>
    <t>ORI</t>
  </si>
  <si>
    <t>TD</t>
  </si>
  <si>
    <t>CNA</t>
  </si>
  <si>
    <t>HPQ</t>
  </si>
  <si>
    <t>OTTR</t>
  </si>
  <si>
    <t>YUM</t>
  </si>
  <si>
    <t>LEG</t>
  </si>
  <si>
    <t>VTR</t>
  </si>
  <si>
    <t>O</t>
  </si>
  <si>
    <t>SBUX</t>
  </si>
  <si>
    <t>GM</t>
  </si>
  <si>
    <t>GE</t>
  </si>
  <si>
    <t>ING</t>
  </si>
  <si>
    <t>KLAC</t>
  </si>
  <si>
    <t>PSA</t>
  </si>
  <si>
    <t>UPS</t>
  </si>
  <si>
    <t>RY</t>
  </si>
  <si>
    <t>PM</t>
  </si>
  <si>
    <t>DNKN</t>
  </si>
  <si>
    <t>NNN</t>
  </si>
  <si>
    <t>SNY</t>
  </si>
  <si>
    <t>D</t>
  </si>
  <si>
    <t>KSU</t>
  </si>
  <si>
    <t>AVB</t>
  </si>
  <si>
    <t>TU</t>
  </si>
  <si>
    <t>BUD</t>
  </si>
  <si>
    <t>NOK</t>
  </si>
  <si>
    <t>DUK</t>
  </si>
  <si>
    <t>WPC</t>
  </si>
  <si>
    <t>OSK</t>
  </si>
  <si>
    <t>VIAC</t>
  </si>
  <si>
    <t>SO</t>
  </si>
  <si>
    <t>GS</t>
  </si>
  <si>
    <t>ESS</t>
  </si>
  <si>
    <t>PII</t>
  </si>
  <si>
    <t>VFC</t>
  </si>
  <si>
    <t>RCI</t>
  </si>
  <si>
    <t>TRSWF</t>
  </si>
  <si>
    <t>CPB</t>
  </si>
  <si>
    <t>SUUIF</t>
  </si>
  <si>
    <t>DD</t>
  </si>
  <si>
    <t>CAT</t>
  </si>
  <si>
    <t>SAN</t>
  </si>
  <si>
    <t>LRCX</t>
  </si>
  <si>
    <t>DOC</t>
  </si>
  <si>
    <t>COR</t>
  </si>
  <si>
    <t>PHG</t>
  </si>
  <si>
    <t>DEA</t>
  </si>
  <si>
    <t>CNP</t>
  </si>
  <si>
    <t>CMI</t>
  </si>
  <si>
    <t>MAR</t>
  </si>
  <si>
    <t>UL</t>
  </si>
  <si>
    <t>PAYX</t>
  </si>
  <si>
    <t>FLO</t>
  </si>
  <si>
    <t>GIS</t>
  </si>
  <si>
    <t>HPE</t>
  </si>
  <si>
    <t>SIEGY</t>
  </si>
  <si>
    <t>PKX</t>
  </si>
  <si>
    <t>TXN</t>
  </si>
  <si>
    <t>SKM</t>
  </si>
  <si>
    <t>STZ</t>
  </si>
  <si>
    <t>MA</t>
  </si>
  <si>
    <t>V</t>
  </si>
  <si>
    <t>CAG</t>
  </si>
  <si>
    <t>AEP</t>
  </si>
  <si>
    <t>ASML</t>
  </si>
  <si>
    <t>ERIC</t>
  </si>
  <si>
    <t>CME</t>
  </si>
  <si>
    <t>HBI</t>
  </si>
  <si>
    <t>CCI</t>
  </si>
  <si>
    <t>TT</t>
  </si>
  <si>
    <t>VALE</t>
  </si>
  <si>
    <t>MRVL</t>
  </si>
  <si>
    <t>DLR</t>
  </si>
  <si>
    <t>BEP</t>
  </si>
  <si>
    <t>PCAR</t>
  </si>
  <si>
    <t>NEM</t>
  </si>
  <si>
    <t>HMC</t>
  </si>
  <si>
    <t>DE</t>
  </si>
  <si>
    <t>WDC</t>
  </si>
  <si>
    <t>FAST</t>
  </si>
  <si>
    <t>TIF</t>
  </si>
  <si>
    <t>ACN</t>
  </si>
  <si>
    <t>RACE</t>
  </si>
  <si>
    <t>SNE</t>
  </si>
  <si>
    <t>OMI</t>
  </si>
  <si>
    <t>NVDA</t>
  </si>
  <si>
    <t>TRI</t>
  </si>
  <si>
    <t>LOGI</t>
  </si>
  <si>
    <t>AUY</t>
  </si>
  <si>
    <t>GOLD</t>
  </si>
  <si>
    <t>WPM</t>
  </si>
  <si>
    <t>MFGP</t>
  </si>
  <si>
    <t>BPY</t>
  </si>
  <si>
    <t>TFC</t>
  </si>
  <si>
    <t>IIPR</t>
  </si>
  <si>
    <t>IVZ</t>
  </si>
  <si>
    <t>HEP</t>
  </si>
  <si>
    <t>SPH</t>
  </si>
  <si>
    <t>USAC</t>
  </si>
  <si>
    <t>SYF</t>
  </si>
  <si>
    <t>PACW</t>
  </si>
  <si>
    <t>GEO</t>
  </si>
  <si>
    <t>CHL</t>
  </si>
  <si>
    <t>C</t>
  </si>
  <si>
    <t>UBA</t>
  </si>
  <si>
    <t>CTL</t>
  </si>
  <si>
    <t>DIN</t>
  </si>
  <si>
    <t>PSX</t>
  </si>
  <si>
    <t>IMBBY</t>
  </si>
  <si>
    <t>SPG</t>
  </si>
  <si>
    <t>IPPLF</t>
  </si>
  <si>
    <t>TEF</t>
  </si>
  <si>
    <t>ALLY</t>
  </si>
  <si>
    <t>SVC</t>
  </si>
  <si>
    <t>PFE</t>
  </si>
  <si>
    <t>KTB</t>
  </si>
  <si>
    <t>KMI</t>
  </si>
  <si>
    <t>STWD</t>
  </si>
  <si>
    <t>MGP</t>
  </si>
  <si>
    <t>XRX</t>
  </si>
  <si>
    <t>STOR</t>
  </si>
  <si>
    <t>IRM</t>
  </si>
  <si>
    <t>OUT</t>
  </si>
  <si>
    <t>WMB</t>
  </si>
  <si>
    <t>SKT</t>
  </si>
  <si>
    <t>PSEC</t>
  </si>
  <si>
    <t>AXS</t>
  </si>
  <si>
    <t>OHI</t>
  </si>
  <si>
    <t>USB</t>
  </si>
  <si>
    <t>GLAD</t>
  </si>
  <si>
    <t>LTC</t>
  </si>
  <si>
    <t>JPM</t>
  </si>
  <si>
    <t>TRGP</t>
  </si>
  <si>
    <t>TCP</t>
  </si>
  <si>
    <t>FE</t>
  </si>
  <si>
    <t>SBRA</t>
  </si>
  <si>
    <t>ABR</t>
  </si>
  <si>
    <t>TPR</t>
  </si>
  <si>
    <t>UBS</t>
  </si>
  <si>
    <t>DDAIF</t>
  </si>
  <si>
    <t>NYCB</t>
  </si>
  <si>
    <t>HTGC</t>
  </si>
  <si>
    <t>BXP</t>
  </si>
  <si>
    <t>MGA</t>
  </si>
  <si>
    <t>STX</t>
  </si>
  <si>
    <t>TRP</t>
  </si>
  <si>
    <t>HAS</t>
  </si>
  <si>
    <t>GSK</t>
  </si>
  <si>
    <t>LYB</t>
  </si>
  <si>
    <t>SSREY</t>
  </si>
  <si>
    <t>MPW</t>
  </si>
  <si>
    <t>TS</t>
  </si>
  <si>
    <t>HTA</t>
  </si>
  <si>
    <t>AEG</t>
  </si>
  <si>
    <t>AVGO</t>
  </si>
  <si>
    <t>PSO</t>
  </si>
  <si>
    <t>NTR</t>
  </si>
  <si>
    <t>CF</t>
  </si>
  <si>
    <t>AQN</t>
  </si>
  <si>
    <t>WRK</t>
  </si>
  <si>
    <t>GNL</t>
  </si>
  <si>
    <t>NLSN</t>
  </si>
  <si>
    <t>CAE</t>
  </si>
  <si>
    <t>LAMR</t>
  </si>
  <si>
    <t>BCE</t>
  </si>
  <si>
    <t>VER</t>
  </si>
  <si>
    <t>CC</t>
  </si>
  <si>
    <t>LAZ</t>
  </si>
  <si>
    <t>DHC</t>
  </si>
  <si>
    <t>STAG</t>
  </si>
  <si>
    <t>BMWYY</t>
  </si>
  <si>
    <t>ARCC</t>
  </si>
  <si>
    <t>APAM</t>
  </si>
  <si>
    <t>IDEXY</t>
  </si>
  <si>
    <t>QSR</t>
  </si>
  <si>
    <t>JCI</t>
  </si>
  <si>
    <t>DREUF</t>
  </si>
  <si>
    <t>EQR</t>
  </si>
  <si>
    <t>EXC</t>
  </si>
  <si>
    <t>DRETF</t>
  </si>
  <si>
    <t>PEAK</t>
  </si>
  <si>
    <t>MIC</t>
  </si>
  <si>
    <t>ALV</t>
  </si>
  <si>
    <t>TJX</t>
  </si>
  <si>
    <t>BGS</t>
  </si>
  <si>
    <t>BHP</t>
  </si>
  <si>
    <t>TCO</t>
  </si>
  <si>
    <t>GOOD</t>
  </si>
  <si>
    <t>KHC</t>
  </si>
  <si>
    <t>NWL</t>
  </si>
  <si>
    <t>GLW</t>
  </si>
  <si>
    <t>DRI</t>
  </si>
  <si>
    <t>GRP-UN</t>
  </si>
  <si>
    <t>IP</t>
  </si>
  <si>
    <t>AMCR</t>
  </si>
  <si>
    <t>CAJ</t>
  </si>
  <si>
    <t>TSM</t>
  </si>
  <si>
    <t>SCHL</t>
  </si>
  <si>
    <t>PDCO</t>
  </si>
  <si>
    <t>APTV</t>
  </si>
  <si>
    <t>GRMN</t>
  </si>
  <si>
    <t>BX</t>
  </si>
  <si>
    <t>RIO</t>
  </si>
  <si>
    <t>LAND</t>
  </si>
  <si>
    <t>WEN</t>
  </si>
  <si>
    <t>PPRQF</t>
  </si>
  <si>
    <t>WDR</t>
  </si>
  <si>
    <t>FLR</t>
  </si>
  <si>
    <t>LM</t>
  </si>
  <si>
    <t>ETN</t>
  </si>
  <si>
    <t>AZN</t>
  </si>
  <si>
    <t>KLIC</t>
  </si>
  <si>
    <t>CPTA</t>
  </si>
  <si>
    <t>CHRRF</t>
  </si>
  <si>
    <t>SNP</t>
  </si>
  <si>
    <t>GEL</t>
  </si>
  <si>
    <t>LUV</t>
  </si>
  <si>
    <t>BP</t>
  </si>
  <si>
    <t>NYMT</t>
  </si>
  <si>
    <t>KEY</t>
  </si>
  <si>
    <t>APLE</t>
  </si>
  <si>
    <t>RDS.B</t>
  </si>
  <si>
    <t>SFL</t>
  </si>
  <si>
    <t>TOT</t>
  </si>
  <si>
    <t>HFC</t>
  </si>
  <si>
    <t>FTI</t>
  </si>
  <si>
    <t>BRX</t>
  </si>
  <si>
    <t>SCM</t>
  </si>
  <si>
    <t>SU</t>
  </si>
  <si>
    <t>OZK</t>
  </si>
  <si>
    <t>XOM</t>
  </si>
  <si>
    <t>UFS</t>
  </si>
  <si>
    <t>HBAN</t>
  </si>
  <si>
    <t>OLN</t>
  </si>
  <si>
    <t>CEO</t>
  </si>
  <si>
    <t>LMRK</t>
  </si>
  <si>
    <t>MPC</t>
  </si>
  <si>
    <t>CIM</t>
  </si>
  <si>
    <t>WSR</t>
  </si>
  <si>
    <t>CVX</t>
  </si>
  <si>
    <t>LVS</t>
  </si>
  <si>
    <t>CRT</t>
  </si>
  <si>
    <t>VLO</t>
  </si>
  <si>
    <t>RCL</t>
  </si>
  <si>
    <t>CNQ</t>
  </si>
  <si>
    <t>INN</t>
  </si>
  <si>
    <t>SPKE</t>
  </si>
  <si>
    <t>AM</t>
  </si>
  <si>
    <t>NLY</t>
  </si>
  <si>
    <t>LADR</t>
  </si>
  <si>
    <t>RRD</t>
  </si>
  <si>
    <t>WFC</t>
  </si>
  <si>
    <t>BKR</t>
  </si>
  <si>
    <t>IMO</t>
  </si>
  <si>
    <t>ABEV</t>
  </si>
  <si>
    <t>BXMT</t>
  </si>
  <si>
    <t>ALARF</t>
  </si>
  <si>
    <t>CVA</t>
  </si>
  <si>
    <t>MAC</t>
  </si>
  <si>
    <t>COP</t>
  </si>
  <si>
    <t>HAL</t>
  </si>
  <si>
    <t>GAIN</t>
  </si>
  <si>
    <t>PBR</t>
  </si>
  <si>
    <t>ALK</t>
  </si>
  <si>
    <t>PTR</t>
  </si>
  <si>
    <t>SIX</t>
  </si>
  <si>
    <t>SLB</t>
  </si>
  <si>
    <t>SBR</t>
  </si>
  <si>
    <t>AGNC</t>
  </si>
  <si>
    <t>HST</t>
  </si>
  <si>
    <t>NOV</t>
  </si>
  <si>
    <t>VGR</t>
  </si>
  <si>
    <t>DTEGY</t>
  </si>
  <si>
    <t>ARI</t>
  </si>
  <si>
    <t>HSBC</t>
  </si>
  <si>
    <t>FUN</t>
  </si>
  <si>
    <t>R</t>
  </si>
  <si>
    <t>MAIN</t>
  </si>
  <si>
    <t>F</t>
  </si>
  <si>
    <t>CODI</t>
  </si>
  <si>
    <t>OGZPY</t>
  </si>
  <si>
    <t>WPP</t>
  </si>
  <si>
    <t>DDS</t>
  </si>
  <si>
    <t>M</t>
  </si>
  <si>
    <t>CLDT</t>
  </si>
  <si>
    <t>ARR</t>
  </si>
  <si>
    <t>TWO</t>
  </si>
  <si>
    <t>DOW</t>
  </si>
  <si>
    <t>KIM</t>
  </si>
  <si>
    <t>HP</t>
  </si>
  <si>
    <t>FL</t>
  </si>
  <si>
    <t>OXY</t>
  </si>
  <si>
    <t>EADSY</t>
  </si>
  <si>
    <t>EPR</t>
  </si>
  <si>
    <t>SJR</t>
  </si>
  <si>
    <t>AB</t>
  </si>
  <si>
    <t>ROST</t>
  </si>
  <si>
    <t>ORC</t>
  </si>
  <si>
    <t>VET</t>
  </si>
  <si>
    <t>EQM</t>
  </si>
  <si>
    <t>NRZ</t>
  </si>
  <si>
    <t>E</t>
  </si>
  <si>
    <t>BA</t>
  </si>
  <si>
    <t>PBA</t>
  </si>
  <si>
    <t>CBRL</t>
  </si>
  <si>
    <t>DAL</t>
  </si>
  <si>
    <t>JWN</t>
  </si>
  <si>
    <t>EQNR</t>
  </si>
  <si>
    <t>HOG</t>
  </si>
  <si>
    <t>WELL</t>
  </si>
  <si>
    <t>KSS</t>
  </si>
  <si>
    <t>PTEN</t>
  </si>
  <si>
    <t>AAL</t>
  </si>
  <si>
    <t>HA</t>
  </si>
  <si>
    <t>DX</t>
  </si>
  <si>
    <t>GLPI</t>
  </si>
  <si>
    <t>ABB</t>
  </si>
  <si>
    <t>CCL</t>
  </si>
  <si>
    <t>TM</t>
  </si>
  <si>
    <t>PRT</t>
  </si>
  <si>
    <t>CAKE</t>
  </si>
  <si>
    <t>WY</t>
  </si>
  <si>
    <t>MGM</t>
  </si>
  <si>
    <t>FCX</t>
  </si>
  <si>
    <t>VOD</t>
  </si>
  <si>
    <t>BBBY</t>
  </si>
  <si>
    <t>APO</t>
  </si>
  <si>
    <t>APA</t>
  </si>
  <si>
    <t>CORR</t>
  </si>
  <si>
    <t>NBR</t>
  </si>
  <si>
    <t>LB</t>
  </si>
  <si>
    <t>ANF</t>
  </si>
  <si>
    <t>WYNN</t>
  </si>
  <si>
    <t>NCLH</t>
  </si>
  <si>
    <t>CMA</t>
  </si>
  <si>
    <t>FCAU</t>
  </si>
  <si>
    <t>FRFHF</t>
  </si>
  <si>
    <t>FMS</t>
  </si>
  <si>
    <t>TKGBY</t>
  </si>
  <si>
    <t>MT</t>
  </si>
  <si>
    <t>BRK.B</t>
  </si>
  <si>
    <t>UAL</t>
  </si>
  <si>
    <t>BABA</t>
  </si>
  <si>
    <t>SCGLY</t>
  </si>
  <si>
    <t>NSANY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</si>
  <si>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</si>
  <si>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</si>
  <si>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</si>
  <si>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</si>
  <si>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</si>
  <si>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</si>
  <si>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</si>
  <si>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</si>
  <si>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</si>
  <si>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</si>
  <si>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</si>
  <si>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</si>
  <si>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</si>
  <si>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</si>
  <si>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</si>
  <si>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</si>
  <si>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</si>
  <si>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</si>
  <si>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</si>
  <si>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</si>
  <si>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</si>
  <si>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</si>
  <si>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</si>
  <si>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</si>
  <si>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</si>
  <si>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</si>
  <si>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</si>
  <si>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</si>
  <si>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</si>
  <si>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</si>
  <si>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</si>
  <si>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</si>
  <si>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</si>
  <si>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</si>
  <si>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</si>
  <si>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</si>
  <si>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</si>
  <si>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</si>
  <si>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Josh Arnold</t>
  </si>
  <si>
    <t>Nathan Parsh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</si>
  <si>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</si>
  <si>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</si>
  <si>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</si>
  <si>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</si>
  <si>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</si>
  <si>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</si>
  <si>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</si>
  <si>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</si>
  <si>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</si>
  <si>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Switzerland</t>
  </si>
  <si>
    <t>Ireland</t>
  </si>
  <si>
    <t>Mexico</t>
  </si>
  <si>
    <t>Germany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</si>
  <si>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</si>
  <si>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</si>
  <si>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</si>
  <si>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</si>
  <si>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</si>
  <si>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</si>
  <si>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</si>
  <si>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</si>
  <si>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Belgium</t>
  </si>
  <si>
    <t>South Korea</t>
  </si>
  <si>
    <t>Sweden</t>
  </si>
  <si>
    <t>Brazil</t>
  </si>
  <si>
    <t>Japan</t>
  </si>
  <si>
    <t>Italy</t>
  </si>
  <si>
    <t>Hong Kong</t>
  </si>
  <si>
    <t>Luxembourg</t>
  </si>
  <si>
    <t>Australia</t>
  </si>
  <si>
    <t>Taiwan</t>
  </si>
  <si>
    <t>Singapore</t>
  </si>
  <si>
    <t>Russia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</si>
  <si>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</si>
  <si>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</si>
  <si>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</si>
  <si>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</si>
  <si>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</si>
  <si>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</si>
  <si>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</si>
  <si>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</si>
  <si>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</si>
  <si>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</si>
  <si>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</si>
  <si>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Scott M. Cattanach</t>
  </si>
  <si>
    <t>William M. Brown</t>
  </si>
  <si>
    <t>Kathy J. Warden</t>
  </si>
  <si>
    <t>James Michael Cracchiolo</t>
  </si>
  <si>
    <t>Giovanni Caforio</t>
  </si>
  <si>
    <t>Siegfried Willi Kiefer</t>
  </si>
  <si>
    <t>David P. Bauer</t>
  </si>
  <si>
    <t>Alan B. Colberg</t>
  </si>
  <si>
    <t>Jennifer M. Johnson</t>
  </si>
  <si>
    <t>C. Michael Petters</t>
  </si>
  <si>
    <t>Stefano Pessina</t>
  </si>
  <si>
    <t>Thomas Ewart Faust</t>
  </si>
  <si>
    <t>Safra Ada Catz</t>
  </si>
  <si>
    <t>Kent A. Steinwert</t>
  </si>
  <si>
    <t>Yong Lin Xie / Bo Yao / Sin Ying Tan</t>
  </si>
  <si>
    <t>Phebe N. Novakovic</t>
  </si>
  <si>
    <t>Richard A. Gonzalez</t>
  </si>
  <si>
    <t>Marvin R. Ellison</t>
  </si>
  <si>
    <t>Brian Scott Tyler</t>
  </si>
  <si>
    <t>Raymond M. Thompson</t>
  </si>
  <si>
    <t>D. Christian Koch</t>
  </si>
  <si>
    <t>Juan Ricardo Luciano</t>
  </si>
  <si>
    <t>John L. Stauch</t>
  </si>
  <si>
    <t>David R. Harlow</t>
  </si>
  <si>
    <t>Daniel Paul Amos</t>
  </si>
  <si>
    <t>David Scott Wichmann</t>
  </si>
  <si>
    <t>Joseph F. Hanna</t>
  </si>
  <si>
    <t>Christopher J. Murphy</t>
  </si>
  <si>
    <t>Linden R. Evans</t>
  </si>
  <si>
    <t>Jeffrey M. Szyperski</t>
  </si>
  <si>
    <t>James J. Owens</t>
  </si>
  <si>
    <t>H. Chris Killingstad</t>
  </si>
  <si>
    <t>Scott C. Donnelly</t>
  </si>
  <si>
    <t>Vasant Narasimhan</t>
  </si>
  <si>
    <t>Hua Teng Ma</t>
  </si>
  <si>
    <t>Scott Salmirs</t>
  </si>
  <si>
    <t>Carlos A. Rodriguez</t>
  </si>
  <si>
    <t>Murray S. Kessler</t>
  </si>
  <si>
    <t>Kevin A. Lobo</t>
  </si>
  <si>
    <t>Evan G. Greenberg</t>
  </si>
  <si>
    <t>Michael C. Kaufmann</t>
  </si>
  <si>
    <t>Alfred P. West</t>
  </si>
  <si>
    <t>Robert Howard Coker</t>
  </si>
  <si>
    <t>J. Kevin Akers</t>
  </si>
  <si>
    <t>Paul D. Donahue</t>
  </si>
  <si>
    <t>Thomas L. Williams</t>
  </si>
  <si>
    <t>Richard E. Allison</t>
  </si>
  <si>
    <t>Tod E. Carpenter</t>
  </si>
  <si>
    <t>Thomas E. Polen</t>
  </si>
  <si>
    <t>Michael F. Roman</t>
  </si>
  <si>
    <t>Michael D. Hsu</t>
  </si>
  <si>
    <t>Geoffrey Straub Martha</t>
  </si>
  <si>
    <t>Alex Gorsky</t>
  </si>
  <si>
    <t>W. Rodney McMullen</t>
  </si>
  <si>
    <t>Todd J. Vasos</t>
  </si>
  <si>
    <t>J. Michael Nauman</t>
  </si>
  <si>
    <t>David N. Farr</t>
  </si>
  <si>
    <t>Brian C. Cornell</t>
  </si>
  <si>
    <t>Keith Edward Creel</t>
  </si>
  <si>
    <t>Thomas J. Murphy</t>
  </si>
  <si>
    <t>Richard Joseph Tobin</t>
  </si>
  <si>
    <t>James M. Foote</t>
  </si>
  <si>
    <t>Nishan J. Vartanian</t>
  </si>
  <si>
    <t>Jeffrey S. Gorman</t>
  </si>
  <si>
    <t>David Hugo Anderson</t>
  </si>
  <si>
    <t>Steven H. Collis</t>
  </si>
  <si>
    <t>Thomas R. Greco</t>
  </si>
  <si>
    <t>William Joseph Stromberg</t>
  </si>
  <si>
    <t>Donald G. Macpherson</t>
  </si>
  <si>
    <t>J. Powell Brown</t>
  </si>
  <si>
    <t>Walter Craig Jelinek</t>
  </si>
  <si>
    <t>Steven J. Johnston</t>
  </si>
  <si>
    <t>Norman L. Lowery</t>
  </si>
  <si>
    <t>Gregg C. Sengstack</t>
  </si>
  <si>
    <t>Ellen R. Gordon</t>
  </si>
  <si>
    <t>David S. Taylor</t>
  </si>
  <si>
    <t>Michael H. McGarry</t>
  </si>
  <si>
    <t>Douglas L. Peterson</t>
  </si>
  <si>
    <t>Matthew Thomas Farrell</t>
  </si>
  <si>
    <t>James M. Loree</t>
  </si>
  <si>
    <t>Eric W. Thornburg</t>
  </si>
  <si>
    <t>Robert B. Ford</t>
  </si>
  <si>
    <t>Jean-Jacques Ruest</t>
  </si>
  <si>
    <t>Steven A. Powless</t>
  </si>
  <si>
    <t>C. Douglas McMillon</t>
  </si>
  <si>
    <t>Noel R. Wallace</t>
  </si>
  <si>
    <t>F. Quinn Stepan</t>
  </si>
  <si>
    <t>David Alan Ciesinski</t>
  </si>
  <si>
    <t>James Bruce Flatt</t>
  </si>
  <si>
    <t>Satya Nadella</t>
  </si>
  <si>
    <t>John George Morikis</t>
  </si>
  <si>
    <t>Jerry Kent Masters</t>
  </si>
  <si>
    <t>Frank C. Sullivan</t>
  </si>
  <si>
    <t>Raymond W. McDaniel</t>
  </si>
  <si>
    <t>James P. Snee</t>
  </si>
  <si>
    <t>David L. Gitlin</t>
  </si>
  <si>
    <t>Jeffrey S. Musser</t>
  </si>
  <si>
    <t>Jeffrey M. Keebler</t>
  </si>
  <si>
    <t>Lawrence Erik Kurzius</t>
  </si>
  <si>
    <t>Jamie Iannone</t>
  </si>
  <si>
    <t>Douglas M. Baker</t>
  </si>
  <si>
    <t>Stephan B. Tanda</t>
  </si>
  <si>
    <t>Robert J. Sprowls</t>
  </si>
  <si>
    <t>Laurence Neil Hunn</t>
  </si>
  <si>
    <t>Lawson E. Whiting</t>
  </si>
  <si>
    <t>Judith F. Marks</t>
  </si>
  <si>
    <t>Sundaram Nagarajan</t>
  </si>
  <si>
    <t>Dennis W. Doll</t>
  </si>
  <si>
    <t>Timothy Donald Cook</t>
  </si>
  <si>
    <t>David B. Foss</t>
  </si>
  <si>
    <t>Seifollah Ghasemi</t>
  </si>
  <si>
    <t>Scott Douglas Farmer</t>
  </si>
  <si>
    <t>Martin A. Kropelnicki</t>
  </si>
  <si>
    <t>Kenneth C. Bockhorst</t>
  </si>
  <si>
    <t>Jonathan E. Michael</t>
  </si>
  <si>
    <t>Eric Mark Green</t>
  </si>
  <si>
    <t>Joseph Kim</t>
  </si>
  <si>
    <t>René F. Jones</t>
  </si>
  <si>
    <t>Frederick Wallace Smith</t>
  </si>
  <si>
    <t>John T. Stankey</t>
  </si>
  <si>
    <t>W. Randall Fowler / A. James Teague</t>
  </si>
  <si>
    <t>John P. Barnes</t>
  </si>
  <si>
    <t>Stephen J. Squeri</t>
  </si>
  <si>
    <t>John D. Wren</t>
  </si>
  <si>
    <t>Dean A. Connor</t>
  </si>
  <si>
    <t>Donald C. Wood</t>
  </si>
  <si>
    <t>James D. Taiclet</t>
  </si>
  <si>
    <t>Paul Anthony Mahon</t>
  </si>
  <si>
    <t>Brian A. Napack</t>
  </si>
  <si>
    <t>William F. Gifford</t>
  </si>
  <si>
    <t>Jeffrey J. Jones</t>
  </si>
  <si>
    <t>Michel A. Khalaf</t>
  </si>
  <si>
    <t>LeRoy T. Carlson</t>
  </si>
  <si>
    <t>Larry J. Merlo</t>
  </si>
  <si>
    <t>Daniel Hajj Aboumrad</t>
  </si>
  <si>
    <t>Jeffrey Walker Martin</t>
  </si>
  <si>
    <t>Brian L. Roberts</t>
  </si>
  <si>
    <t>Phillip D. Green</t>
  </si>
  <si>
    <t>Werner Baumann</t>
  </si>
  <si>
    <t>Noel W. White</t>
  </si>
  <si>
    <t>John L. Walsh</t>
  </si>
  <si>
    <t>Hans Erik Vestberg</t>
  </si>
  <si>
    <t>Jeffrey Craig Sprecher</t>
  </si>
  <si>
    <t>Pedro J. Pizarro</t>
  </si>
  <si>
    <t>Charles H. Robbins</t>
  </si>
  <si>
    <t>Peter G. Watson</t>
  </si>
  <si>
    <t>Louis Vachon</t>
  </si>
  <si>
    <t>Erik Niklas Engstrom</t>
  </si>
  <si>
    <t>Mark J. Costa</t>
  </si>
  <si>
    <t>Gerardo Norcia</t>
  </si>
  <si>
    <t>Gregory J. Hayes</t>
  </si>
  <si>
    <t>Gregory C. Case</t>
  </si>
  <si>
    <t>David L. Goodin</t>
  </si>
  <si>
    <t>Jeffrey D. Lorenger</t>
  </si>
  <si>
    <t>Gary E. Dickerson</t>
  </si>
  <si>
    <t>Arvind Krishna</t>
  </si>
  <si>
    <t>Jean R. Hale</t>
  </si>
  <si>
    <t>Bruce W. Duncan</t>
  </si>
  <si>
    <t>Marc Robert Bitzer</t>
  </si>
  <si>
    <t>Roberto Garcia Merino</t>
  </si>
  <si>
    <t>Robert Holmes Swan</t>
  </si>
  <si>
    <t>Robert James Gamgort</t>
  </si>
  <si>
    <t>Ivan M. Menezes</t>
  </si>
  <si>
    <t>Kevin Hourican</t>
  </si>
  <si>
    <t>Kenneth C. Frazier</t>
  </si>
  <si>
    <t>Brian J. Humphries</t>
  </si>
  <si>
    <t>Mark T. Smucker</t>
  </si>
  <si>
    <t>Daniel P. O'Day</t>
  </si>
  <si>
    <t>Dirk van de Put</t>
  </si>
  <si>
    <t>Richard M. Olson</t>
  </si>
  <si>
    <t>John O. Larsen</t>
  </si>
  <si>
    <t>James Quincey</t>
  </si>
  <si>
    <t>Horacio D. Rozanski</t>
  </si>
  <si>
    <t>Vincent Sorgi</t>
  </si>
  <si>
    <t>Darin S. Harris</t>
  </si>
  <si>
    <t>Barry V. Perry</t>
  </si>
  <si>
    <t>Robert A. Bradway</t>
  </si>
  <si>
    <t>James L. Robo</t>
  </si>
  <si>
    <t>George C. Freeman</t>
  </si>
  <si>
    <t>Alan D. Schnitzer</t>
  </si>
  <si>
    <t>Darius Adamczyk</t>
  </si>
  <si>
    <t>James A. Squires</t>
  </si>
  <si>
    <t>Donald W. Slager</t>
  </si>
  <si>
    <t>Juan C. Andrade</t>
  </si>
  <si>
    <t>Nicholas T. Pinchuk</t>
  </si>
  <si>
    <t>Lachlan Keith Murdoch</t>
  </si>
  <si>
    <t>Patrick K. Decker</t>
  </si>
  <si>
    <t>John J. McAvoy</t>
  </si>
  <si>
    <t>Richard M. Adams</t>
  </si>
  <si>
    <t>Dian C. Taylor</t>
  </si>
  <si>
    <t>Craig A. Menear</t>
  </si>
  <si>
    <t>Michele G. Buck</t>
  </si>
  <si>
    <t>Mark E. Tryniski</t>
  </si>
  <si>
    <t>Christian Klein</t>
  </si>
  <si>
    <t>Ralph Izzo</t>
  </si>
  <si>
    <t>John W. Kemper</t>
  </si>
  <si>
    <t>Sasan K. Goodarzi</t>
  </si>
  <si>
    <t>Kevin J. Wheeler</t>
  </si>
  <si>
    <t>Alan B. Miller</t>
  </si>
  <si>
    <t>Leo P. Denault</t>
  </si>
  <si>
    <t>Corie Sue Barry</t>
  </si>
  <si>
    <t>Ramon Luis Laguarta</t>
  </si>
  <si>
    <t>Stephen S. Romaine</t>
  </si>
  <si>
    <t>Lance M. Fritz</t>
  </si>
  <si>
    <t>Steven A. Cahillane</t>
  </si>
  <si>
    <t>Lars Fruergaard Jørgensen</t>
  </si>
  <si>
    <t>Patrick J. Gallagher</t>
  </si>
  <si>
    <t>Andreas Fibig</t>
  </si>
  <si>
    <t>Ulf Mark Schneider</t>
  </si>
  <si>
    <t>Christopher Kempczinski</t>
  </si>
  <si>
    <t>Leon J. Topalian</t>
  </si>
  <si>
    <t>Hikmet Ersek</t>
  </si>
  <si>
    <t>Liam K. Griffin</t>
  </si>
  <si>
    <t>Laurence Douglas Fink</t>
  </si>
  <si>
    <t>Steven M. Mollenkopf</t>
  </si>
  <si>
    <t>Joseph Kevin Fletcher</t>
  </si>
  <si>
    <t>Ernest Scott Santi</t>
  </si>
  <si>
    <t>David L. Payne</t>
  </si>
  <si>
    <t>Robert Chapek</t>
  </si>
  <si>
    <t>Salil S. Parekh</t>
  </si>
  <si>
    <t>Blake D. Moret</t>
  </si>
  <si>
    <t>John J. Donahoe</t>
  </si>
  <si>
    <t>Christopher H. Franklin</t>
  </si>
  <si>
    <t>James C. Fish</t>
  </si>
  <si>
    <t>Thomas A. Bartlett</t>
  </si>
  <si>
    <t>Sonia Syngal</t>
  </si>
  <si>
    <t>Benjamin G. S. Fowke</t>
  </si>
  <si>
    <t>Stephen F. Angel</t>
  </si>
  <si>
    <t>Robert C. Biesterfeld</t>
  </si>
  <si>
    <t>Michael J. Farrell</t>
  </si>
  <si>
    <t>Kunal Kapoor</t>
  </si>
  <si>
    <t>Laura Jean Alber</t>
  </si>
  <si>
    <t>David A. Ricks</t>
  </si>
  <si>
    <t>Benno O. Dorer</t>
  </si>
  <si>
    <t>Timothy G. NeCastro</t>
  </si>
  <si>
    <t>Harry A. Lawton</t>
  </si>
  <si>
    <t>Terry K. Spencer</t>
  </si>
  <si>
    <t>Kelcy L. Warren</t>
  </si>
  <si>
    <t>Roger C. Hochschild</t>
  </si>
  <si>
    <t>John F. Remondi</t>
  </si>
  <si>
    <t>John C. Butler</t>
  </si>
  <si>
    <t>Michael N. Mears</t>
  </si>
  <si>
    <t>Michael J. Hennigan</t>
  </si>
  <si>
    <t>Daniel Joseph Houston</t>
  </si>
  <si>
    <t>Frederick W. McTaggart</t>
  </si>
  <si>
    <t>George Kurian</t>
  </si>
  <si>
    <t>Torbjörn Magnusson</t>
  </si>
  <si>
    <t>Albert Monaco</t>
  </si>
  <si>
    <t>Brian Johnston Porter</t>
  </si>
  <si>
    <t>Charlie F. Lowrey</t>
  </si>
  <si>
    <t>Gavin D. K. Hattersley</t>
  </si>
  <si>
    <t>Thomas H. Harty</t>
  </si>
  <si>
    <t>Thomas Joseph Wilson</t>
  </si>
  <si>
    <t>Brian T. Moynihan</t>
  </si>
  <si>
    <t>Jack Marie Henry David Bowles</t>
  </si>
  <si>
    <t>Darryl White</t>
  </si>
  <si>
    <t>Ian C. Dundas</t>
  </si>
  <si>
    <t>David M. Blackman</t>
  </si>
  <si>
    <t>Erik David Gershwind</t>
  </si>
  <si>
    <t>Gabriel Tirador</t>
  </si>
  <si>
    <t>Mariner Kemper</t>
  </si>
  <si>
    <t>Samuel J. B. Pollock</t>
  </si>
  <si>
    <t>Thomas P. Gibbons</t>
  </si>
  <si>
    <t>Victor Dodig</t>
  </si>
  <si>
    <t>Craig R. Smiddy</t>
  </si>
  <si>
    <t>Bharat B. Masrani</t>
  </si>
  <si>
    <t>Dino E. Robusto</t>
  </si>
  <si>
    <t>Enrique Lores</t>
  </si>
  <si>
    <t>Charles S. MacFarlane</t>
  </si>
  <si>
    <t>David W. Gibbs</t>
  </si>
  <si>
    <t>Karl G. Glassman</t>
  </si>
  <si>
    <t>Debra A. Cafaro</t>
  </si>
  <si>
    <t>Sumit Roy</t>
  </si>
  <si>
    <t>Kevin R. Johnson</t>
  </si>
  <si>
    <t>Mary Teresa Barra</t>
  </si>
  <si>
    <t>H. Lawrence Culp</t>
  </si>
  <si>
    <t>Steven van Rijswijk</t>
  </si>
  <si>
    <t>Richard P. Wallace</t>
  </si>
  <si>
    <t>Joseph D. Russell</t>
  </si>
  <si>
    <t>Carol B. Tomé</t>
  </si>
  <si>
    <t>David Ian McKay</t>
  </si>
  <si>
    <t>André Calantzopoulos</t>
  </si>
  <si>
    <t>David L. Hoffmann</t>
  </si>
  <si>
    <t>Julian E. Whitehurst</t>
  </si>
  <si>
    <t>Paul Hudson</t>
  </si>
  <si>
    <t>Thomas F. Farrell</t>
  </si>
  <si>
    <t>Patrick J. Ottensmeyer</t>
  </si>
  <si>
    <t>Timothy J. Naughton</t>
  </si>
  <si>
    <t>Darren Entwistle</t>
  </si>
  <si>
    <t>Carlos Alves de Brito</t>
  </si>
  <si>
    <t>Rajeev Suri</t>
  </si>
  <si>
    <t>Lynn J. Good</t>
  </si>
  <si>
    <t>Jason E. Fox</t>
  </si>
  <si>
    <t>Wilson R. Jones</t>
  </si>
  <si>
    <t>Robert Marc Bakish</t>
  </si>
  <si>
    <t>Thomas A. Fanning</t>
  </si>
  <si>
    <t>David Michael Solomon</t>
  </si>
  <si>
    <t>Michael J. Schall</t>
  </si>
  <si>
    <t>Scott Wellington Wine</t>
  </si>
  <si>
    <t>Steven E. Rendle</t>
  </si>
  <si>
    <t>Joseph M. Natale</t>
  </si>
  <si>
    <t>Mark A. Clouse</t>
  </si>
  <si>
    <t>Luc Desjardins</t>
  </si>
  <si>
    <t>Edward D. Breen</t>
  </si>
  <si>
    <t>Donald James Umpleby</t>
  </si>
  <si>
    <t>José Antonio Álvarez Álvarez</t>
  </si>
  <si>
    <t>Timothy M. Archer</t>
  </si>
  <si>
    <t>John T. Thomas</t>
  </si>
  <si>
    <t>Paul E. Szurek</t>
  </si>
  <si>
    <t>Frans van Houten</t>
  </si>
  <si>
    <t>William Cattell Trimble</t>
  </si>
  <si>
    <t>David J. Lesar</t>
  </si>
  <si>
    <t>Norman Thomas Linebarger</t>
  </si>
  <si>
    <t>Arne M. Sorenson</t>
  </si>
  <si>
    <t>Alan Jope</t>
  </si>
  <si>
    <t>Martin Mucci</t>
  </si>
  <si>
    <t>Amos Ryals McMullian</t>
  </si>
  <si>
    <t>Jeffrey L. Harmening</t>
  </si>
  <si>
    <t>Antonio Fabio Neri</t>
  </si>
  <si>
    <t>Josef Kaeser</t>
  </si>
  <si>
    <t>Jeong-Woo Choi / In-Hwa Chang</t>
  </si>
  <si>
    <t>Richard K. Templeton</t>
  </si>
  <si>
    <t>Jung-Ho Park</t>
  </si>
  <si>
    <t>William A. Newlands</t>
  </si>
  <si>
    <t>Ajaypal S. Banga / Michael E. Miebach</t>
  </si>
  <si>
    <t>Alfred F. Kelly</t>
  </si>
  <si>
    <t>Sean M. Connolly</t>
  </si>
  <si>
    <t>Nicholas K. Akins</t>
  </si>
  <si>
    <t>Peter T. F. M. Wennink</t>
  </si>
  <si>
    <t>Erik Börje Ekholm</t>
  </si>
  <si>
    <t>Terrence A. Duffy</t>
  </si>
  <si>
    <t>Gerald W. Evans</t>
  </si>
  <si>
    <t>Jay A. Brown</t>
  </si>
  <si>
    <t>Michael W. Lamach</t>
  </si>
  <si>
    <t>Eduardo Bartolomeo</t>
  </si>
  <si>
    <t>Matthew J. Murphy</t>
  </si>
  <si>
    <t>Arthur William Stein</t>
  </si>
  <si>
    <t>Sachin G. Shah</t>
  </si>
  <si>
    <t>Preston R. Feight</t>
  </si>
  <si>
    <t>Thomas R. Palmer</t>
  </si>
  <si>
    <t>Takahiro Hachigo</t>
  </si>
  <si>
    <t>John C. May</t>
  </si>
  <si>
    <t>David V. Goeckeler</t>
  </si>
  <si>
    <t>Daniel Lars Florness</t>
  </si>
  <si>
    <t>Alessandro Bogliolo</t>
  </si>
  <si>
    <t>Julie Spellman Sweet</t>
  </si>
  <si>
    <t>Louis C. Camilleri</t>
  </si>
  <si>
    <t>Kenichiro Yoshida</t>
  </si>
  <si>
    <t>Edward A. Pesicka</t>
  </si>
  <si>
    <t>Jen-Hsun Huang</t>
  </si>
  <si>
    <t>Stephen John Hasker</t>
  </si>
  <si>
    <t>Bracken P. Darrell</t>
  </si>
  <si>
    <t>Daniel Racine</t>
  </si>
  <si>
    <t>Dennis Mark Bristow</t>
  </si>
  <si>
    <t>Randy Vernon Joseph Smallwood</t>
  </si>
  <si>
    <t>Stephen Edward Murdoch</t>
  </si>
  <si>
    <t>Brian William Kingston</t>
  </si>
  <si>
    <t>Kelly S. King</t>
  </si>
  <si>
    <t>Paul E. Smithers</t>
  </si>
  <si>
    <t>Martin L. Flanagan</t>
  </si>
  <si>
    <t>Michael C. Jennings</t>
  </si>
  <si>
    <t>Michael A. Stivala</t>
  </si>
  <si>
    <t>Eric Dee Long</t>
  </si>
  <si>
    <t>Margaret M. Keane</t>
  </si>
  <si>
    <t>Matthew P. Wagner</t>
  </si>
  <si>
    <t>George Christopher Zoley</t>
  </si>
  <si>
    <t>Michael Louis Corbat</t>
  </si>
  <si>
    <t>Willing L. Biddle</t>
  </si>
  <si>
    <t>Jeffrey K. Storey</t>
  </si>
  <si>
    <t>Stephen P. Joyce</t>
  </si>
  <si>
    <t>Greg C. Garland</t>
  </si>
  <si>
    <t>Stefan Bomhard</t>
  </si>
  <si>
    <t>David E. Simon</t>
  </si>
  <si>
    <t>Christian P. Bayle</t>
  </si>
  <si>
    <t>José María Álvarez-Pallete López</t>
  </si>
  <si>
    <t>Jeffrey Jonathan Brown</t>
  </si>
  <si>
    <t>John G. Murray</t>
  </si>
  <si>
    <t>Albert Bourla</t>
  </si>
  <si>
    <t>Scott H. Baxter</t>
  </si>
  <si>
    <t>Steven J. Kean</t>
  </si>
  <si>
    <t>Barry Stuart Sternlicht</t>
  </si>
  <si>
    <t>James C. Stewart</t>
  </si>
  <si>
    <t>John Visentin</t>
  </si>
  <si>
    <t>Christopher H. Volk</t>
  </si>
  <si>
    <t>William Leo Meaney</t>
  </si>
  <si>
    <t>Jeremy John Male</t>
  </si>
  <si>
    <t>Alan S. Armstrong</t>
  </si>
  <si>
    <t>Steven B. Tanger</t>
  </si>
  <si>
    <t>John Francis Barry</t>
  </si>
  <si>
    <t>Albert A. Benchimol</t>
  </si>
  <si>
    <t>Charles Taylor Pickett</t>
  </si>
  <si>
    <t>Andrew J. Cecere</t>
  </si>
  <si>
    <t>David J. Gladstone</t>
  </si>
  <si>
    <t>Wendy L. Simpson</t>
  </si>
  <si>
    <t>James Dimon</t>
  </si>
  <si>
    <t>Matthew J. Meloy</t>
  </si>
  <si>
    <t>Nathan A. Brown</t>
  </si>
  <si>
    <t>Charles E. Jones</t>
  </si>
  <si>
    <t>Richard K. Matros</t>
  </si>
  <si>
    <t>Ivan Kaufman</t>
  </si>
  <si>
    <t>Olajide James Zeitlin</t>
  </si>
  <si>
    <t>Sergio P. Ermotti</t>
  </si>
  <si>
    <t>Ola Kaellenius</t>
  </si>
  <si>
    <t>Joseph R. Ficalora</t>
  </si>
  <si>
    <t>Scott Bluestein</t>
  </si>
  <si>
    <t>Owen D. Thomas</t>
  </si>
  <si>
    <t>Donald J. Walker</t>
  </si>
  <si>
    <t>William David Mosley</t>
  </si>
  <si>
    <t>Russell K. Girling</t>
  </si>
  <si>
    <t>Brian D. Goldner</t>
  </si>
  <si>
    <t>Emma N. Walmsley</t>
  </si>
  <si>
    <t>Bhavesh Vaghjibhai Patel</t>
  </si>
  <si>
    <t>Christian Mumenthaler</t>
  </si>
  <si>
    <t>Edward K. Aldag</t>
  </si>
  <si>
    <t>Paolo Rocca</t>
  </si>
  <si>
    <t>Scott D. Peters</t>
  </si>
  <si>
    <t>Eilard Friese</t>
  </si>
  <si>
    <t>Hock E. Tan</t>
  </si>
  <si>
    <t>John Joseph Fallon</t>
  </si>
  <si>
    <t>Charles V. Magro</t>
  </si>
  <si>
    <t>W. Anthony Will</t>
  </si>
  <si>
    <t>Ian Edward Robertson</t>
  </si>
  <si>
    <t>Steven C. Voorhees</t>
  </si>
  <si>
    <t>James Larry Nelson</t>
  </si>
  <si>
    <t>David W. Kenny</t>
  </si>
  <si>
    <t>Marc Parent</t>
  </si>
  <si>
    <t>Sean Eugene Reilly</t>
  </si>
  <si>
    <t>Mirko Bibic</t>
  </si>
  <si>
    <t>Glenn J. Rufrano</t>
  </si>
  <si>
    <t>Mark P. Vergnano</t>
  </si>
  <si>
    <t>Kenneth Marc Jacobs</t>
  </si>
  <si>
    <t>Adam David Portnoy</t>
  </si>
  <si>
    <t>Benjamin S. Butcher</t>
  </si>
  <si>
    <t>Oliver Zipse</t>
  </si>
  <si>
    <t>R. Kipp deVeer</t>
  </si>
  <si>
    <t>Eric Richard Colson</t>
  </si>
  <si>
    <t>Carlos Crespo González</t>
  </si>
  <si>
    <t>José Eduardo Cil</t>
  </si>
  <si>
    <t>George R. Oliver</t>
  </si>
  <si>
    <t>Brian Pauls</t>
  </si>
  <si>
    <t>Mark J. Parrell</t>
  </si>
  <si>
    <t>Christopher M. Crane</t>
  </si>
  <si>
    <t>Michael J. Cooper / P. Jane Gavan</t>
  </si>
  <si>
    <t>Thomas M. Herzog</t>
  </si>
  <si>
    <t>Christopher Timothy Frost</t>
  </si>
  <si>
    <t>Mikael Bratt</t>
  </si>
  <si>
    <t>Ernie L. Herrman</t>
  </si>
  <si>
    <t>Kenneth G. Romanzi</t>
  </si>
  <si>
    <t>Mike Henry</t>
  </si>
  <si>
    <t>Robert S. Taubman</t>
  </si>
  <si>
    <t>Miguel Patricio</t>
  </si>
  <si>
    <t>Ravichandra K. Saligram</t>
  </si>
  <si>
    <t>Wendell P. Weeks</t>
  </si>
  <si>
    <t>Eugene I. Lee</t>
  </si>
  <si>
    <t>Mark S. Sutton</t>
  </si>
  <si>
    <t>Ronald Stephen Delia</t>
  </si>
  <si>
    <t>Fujio Mitarai</t>
  </si>
  <si>
    <t>Che Chia Wei</t>
  </si>
  <si>
    <t>Richard Robinson</t>
  </si>
  <si>
    <t>Mark Steven Walchirk</t>
  </si>
  <si>
    <t>Kevin P. Clark</t>
  </si>
  <si>
    <t>Clifton Albert Pemble</t>
  </si>
  <si>
    <t>Stephen Allen Schwarzman</t>
  </si>
  <si>
    <t>Jean-Sébastien Jacques</t>
  </si>
  <si>
    <t>Todd A. Penegor</t>
  </si>
  <si>
    <t>Rael L. Diamond</t>
  </si>
  <si>
    <t>Philip James Sanders</t>
  </si>
  <si>
    <t>Carlos Manuel Hernandez</t>
  </si>
  <si>
    <t>Joseph Andrew Sullivan</t>
  </si>
  <si>
    <t>Craig Arnold</t>
  </si>
  <si>
    <t>Pascal Soriot</t>
  </si>
  <si>
    <t>Fusen Ernie Chen</t>
  </si>
  <si>
    <t>Joe B. Alala</t>
  </si>
  <si>
    <t>Joseph D. Randell</t>
  </si>
  <si>
    <t>Yong Sheng Ma</t>
  </si>
  <si>
    <t>Grant E. Sims</t>
  </si>
  <si>
    <t>Gary C. Kelly</t>
  </si>
  <si>
    <t>Bernard Looney</t>
  </si>
  <si>
    <t>Steven R. Mumma</t>
  </si>
  <si>
    <t>Christopher M. Gorman</t>
  </si>
  <si>
    <t>Justin G. Knight</t>
  </si>
  <si>
    <t>Bernardus Cornelis Adriana Margriet van Beurden</t>
  </si>
  <si>
    <t>Ole Bjarte Bjarte Hjertaker</t>
  </si>
  <si>
    <t>Patrick Pouyanné</t>
  </si>
  <si>
    <t>Douglas J. Pferdehirt</t>
  </si>
  <si>
    <t>James M. Taylor</t>
  </si>
  <si>
    <t>Rob Thomsen Ladd</t>
  </si>
  <si>
    <t>Mark S. Little</t>
  </si>
  <si>
    <t>George G. Gleason</t>
  </si>
  <si>
    <t>Darren W. Woods</t>
  </si>
  <si>
    <t>John David Williams</t>
  </si>
  <si>
    <t>Stephen D. Steinour</t>
  </si>
  <si>
    <t>John E. Fischer</t>
  </si>
  <si>
    <t>Ke Qiang Xu</t>
  </si>
  <si>
    <t>Arthur P. Brazy</t>
  </si>
  <si>
    <t>Matthew John Lambiase</t>
  </si>
  <si>
    <t>James C. Mastandrea</t>
  </si>
  <si>
    <t>Michael K. Wirth</t>
  </si>
  <si>
    <t>Sheldon Gary Adelson</t>
  </si>
  <si>
    <t>Joseph W. Gorder</t>
  </si>
  <si>
    <t>Richard D. Fain</t>
  </si>
  <si>
    <t>Daniel P. Hansen</t>
  </si>
  <si>
    <t>William Keith Maxwell</t>
  </si>
  <si>
    <t>Paul M. Rady</t>
  </si>
  <si>
    <t>David L. Finkelstein</t>
  </si>
  <si>
    <t>Brian Richard Harris</t>
  </si>
  <si>
    <t>Daniel L. Knotts</t>
  </si>
  <si>
    <t>Charles William Scharf</t>
  </si>
  <si>
    <t>Lorenzo Simonelli</t>
  </si>
  <si>
    <t>Bradley W. Corson</t>
  </si>
  <si>
    <t>Jereissati Jean Neto</t>
  </si>
  <si>
    <t>Stephen D. Plavin</t>
  </si>
  <si>
    <t>Stephen Walter King</t>
  </si>
  <si>
    <t>Stephen J. Jones</t>
  </si>
  <si>
    <t>Thomas E. O'Hern</t>
  </si>
  <si>
    <t>Ryan M. Lance</t>
  </si>
  <si>
    <t>Jeffrey Allen Miller</t>
  </si>
  <si>
    <t>Roberto da Cunha Castello Branco</t>
  </si>
  <si>
    <t>Bradley D. Tilden</t>
  </si>
  <si>
    <t>Michael Spanos</t>
  </si>
  <si>
    <t>Olivier Le Peuch</t>
  </si>
  <si>
    <t>Gary D. Kain</t>
  </si>
  <si>
    <t>James F. Risoleo</t>
  </si>
  <si>
    <t>Clay C. Williams</t>
  </si>
  <si>
    <t>Howard Mark Lorber</t>
  </si>
  <si>
    <t>Timotheus Höttges</t>
  </si>
  <si>
    <t>Stuart A. Rothstein</t>
  </si>
  <si>
    <t>Noel Paul Quinn</t>
  </si>
  <si>
    <t>Richard A. Zimmerman</t>
  </si>
  <si>
    <t>Robert E. Sanchez</t>
  </si>
  <si>
    <t>Dwayne Louis Hyzak</t>
  </si>
  <si>
    <t>James P. Hackett</t>
  </si>
  <si>
    <t>Elias J. Sabo</t>
  </si>
  <si>
    <t>Alexei Borisovich Miller</t>
  </si>
  <si>
    <t>Mark Julian Read</t>
  </si>
  <si>
    <t>William Thomas Dillard</t>
  </si>
  <si>
    <t>Jeffrey Gennette</t>
  </si>
  <si>
    <t>Jeffrey H. Fisher</t>
  </si>
  <si>
    <t>Scott J. Ulm / Jeffrey J. Zimmer</t>
  </si>
  <si>
    <t>William Greenberg</t>
  </si>
  <si>
    <t>James R. Fitterling</t>
  </si>
  <si>
    <t>Conor C. Flynn</t>
  </si>
  <si>
    <t>John W. Lindsay</t>
  </si>
  <si>
    <t>Richard A. Johnson</t>
  </si>
  <si>
    <t>Vicki A. Hollub</t>
  </si>
  <si>
    <t>Guillaume Faury</t>
  </si>
  <si>
    <t>Gregory K. Silvers</t>
  </si>
  <si>
    <t>Bradley S. Shaw</t>
  </si>
  <si>
    <t>Seth Perry Bernstein</t>
  </si>
  <si>
    <t>Barbara Rentler</t>
  </si>
  <si>
    <t>Robert E. Cauley</t>
  </si>
  <si>
    <t>Thomas F. Karam</t>
  </si>
  <si>
    <t>Michael Nierenberg</t>
  </si>
  <si>
    <t>Claudio Descalzi</t>
  </si>
  <si>
    <t>David L. Calhoun</t>
  </si>
  <si>
    <t>Michael H. Dilger</t>
  </si>
  <si>
    <t>Sandra B. Cochran</t>
  </si>
  <si>
    <t>Edward Herman Bastian</t>
  </si>
  <si>
    <t>Erik B. Nordstrom</t>
  </si>
  <si>
    <t>Eldar Sætre</t>
  </si>
  <si>
    <t>Jochen Zeitz</t>
  </si>
  <si>
    <t>Thomas J. DeRosa</t>
  </si>
  <si>
    <t>Michelle D. Gass</t>
  </si>
  <si>
    <t>William Andrew Hendricks</t>
  </si>
  <si>
    <t>William Douglas Parker</t>
  </si>
  <si>
    <t>Peter R. Ingram</t>
  </si>
  <si>
    <t>Byron L. Boston</t>
  </si>
  <si>
    <t>Peter M. Carlino</t>
  </si>
  <si>
    <t>Björn Klas Otto Rosengren</t>
  </si>
  <si>
    <t>Arnold W. Donald</t>
  </si>
  <si>
    <t>Akio Toyoda</t>
  </si>
  <si>
    <t>David M. Overton</t>
  </si>
  <si>
    <t>Devin W. Stockfish</t>
  </si>
  <si>
    <t>William Joseph Hornbuckle</t>
  </si>
  <si>
    <t>Richard C. Adkerson</t>
  </si>
  <si>
    <t>Nicholas Jonathan Read</t>
  </si>
  <si>
    <t>Mark J. Tritton</t>
  </si>
  <si>
    <t>Leon David Black</t>
  </si>
  <si>
    <t>John J. Christmann</t>
  </si>
  <si>
    <t>David John Schulte</t>
  </si>
  <si>
    <t>Anthony G. Petrello</t>
  </si>
  <si>
    <t>Andrew Meslow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</si>
  <si>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</si>
  <si>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</si>
  <si>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</si>
  <si>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</si>
  <si>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</si>
  <si>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</si>
  <si>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</si>
  <si>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Recep Bastug</t>
  </si>
  <si>
    <t>Lakshmi Niwas Mittal</t>
  </si>
  <si>
    <t>Warren Edward Buffett</t>
  </si>
  <si>
    <t>J. Scott Kirby</t>
  </si>
  <si>
    <t>Yong Zhang</t>
  </si>
  <si>
    <t>Frédéric Oudéa</t>
  </si>
  <si>
    <t>Makoto Uchida</t>
  </si>
  <si>
    <t>Jean-Laurent Bonnafé</t>
  </si>
  <si>
    <t>Wilmot Reed Hastings / Theodore A. Sarandos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</si>
  <si>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</si>
  <si>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</si>
  <si>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</si>
  <si>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</si>
  <si>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</si>
  <si>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</si>
  <si>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</si>
  <si>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Healthcare</t>
  </si>
  <si>
    <t>Utilities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</si>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</sst>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0.065180102915951</v>
      </c>
      <c r="E2">
        <v>0.1284232707909754</v>
      </c>
      <c r="F2">
        <v>0.03</v>
      </c>
      <c r="G2">
        <v>0.1989254961779627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0.039691714836223</v>
      </c>
      <c r="E3">
        <v>0.07352675438998335</v>
      </c>
      <c r="F3">
        <v>0.055</v>
      </c>
      <c r="G3">
        <v>0.1591921145992121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0.05079365079365</v>
      </c>
      <c r="E4">
        <v>0.1110603128156895</v>
      </c>
      <c r="F4">
        <v>0.01</v>
      </c>
      <c r="G4">
        <v>0.1561716506988764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0.03066479400749</v>
      </c>
      <c r="E5">
        <v>0.04009837995080767</v>
      </c>
      <c r="F5">
        <v>0.09</v>
      </c>
      <c r="G5">
        <v>0.1557948205553836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0.031596150354094</v>
      </c>
      <c r="E6">
        <v>0.06087283441500091</v>
      </c>
      <c r="F6">
        <v>0.06</v>
      </c>
      <c r="G6">
        <v>0.1486731179762728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631</v>
      </c>
      <c r="D7">
        <v>0.022222222222222</v>
      </c>
      <c r="E7">
        <v>0.07631692251481081</v>
      </c>
      <c r="F7">
        <v>0.04</v>
      </c>
      <c r="G7">
        <v>0.1369786798070236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0.01650388326665</v>
      </c>
      <c r="E8">
        <v>0.01378283378413747</v>
      </c>
      <c r="F8">
        <v>0.1</v>
      </c>
      <c r="G8">
        <v>0.1320257825137678</v>
      </c>
      <c r="H8" t="s">
        <v>635</v>
      </c>
      <c r="I8" t="s">
        <v>383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631</v>
      </c>
      <c r="D9">
        <v>0.017207665232694</v>
      </c>
      <c r="E9">
        <v>0.01465965711232586</v>
      </c>
      <c r="F9">
        <v>0.1</v>
      </c>
      <c r="G9">
        <v>0.1298378457616172</v>
      </c>
      <c r="H9" t="s">
        <v>635</v>
      </c>
      <c r="I9" t="s">
        <v>383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631</v>
      </c>
      <c r="D10">
        <v>0.025298298233031</v>
      </c>
      <c r="E10">
        <v>0.02438010944267321</v>
      </c>
      <c r="F10">
        <v>0.08</v>
      </c>
      <c r="G10">
        <v>0.128372061416675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631</v>
      </c>
      <c r="D11">
        <v>0.028481536678257</v>
      </c>
      <c r="E11">
        <v>0.06308934298244706</v>
      </c>
      <c r="F11">
        <v>0.04</v>
      </c>
      <c r="G11">
        <v>0.1278630476145746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HYPERLINK("https://www.suredividend.com/sure-analysis-CDUAF/","Canadian Utilities Ltd.")</f>
        <v>0</v>
      </c>
      <c r="C12" t="s">
        <v>631</v>
      </c>
      <c r="D12">
        <v>0.050510859273364</v>
      </c>
      <c r="E12">
        <v>0.03433906826801025</v>
      </c>
      <c r="F12">
        <v>0.05</v>
      </c>
      <c r="G12">
        <v>0.123186529160741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631</v>
      </c>
      <c r="D13">
        <v>0.04254278728606301</v>
      </c>
      <c r="E13">
        <v>0.04099666760094478</v>
      </c>
      <c r="F13">
        <v>0.05</v>
      </c>
      <c r="G13">
        <v>0.1231692400828106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HYPERLINK("https://www.suredividend.com/sure-analysis-AIZ/","Assurant, Inc.")</f>
        <v>0</v>
      </c>
      <c r="C14" t="s">
        <v>631</v>
      </c>
      <c r="D14">
        <v>0.023903235096476</v>
      </c>
      <c r="E14">
        <v>0.04529804375980118</v>
      </c>
      <c r="F14">
        <v>0.05</v>
      </c>
      <c r="G14">
        <v>0.1169492684954347</v>
      </c>
      <c r="H14" t="s">
        <v>635</v>
      </c>
      <c r="I14" t="s">
        <v>636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631</v>
      </c>
      <c r="D15">
        <v>0.050356294536817</v>
      </c>
      <c r="E15">
        <v>0.03499340316972499</v>
      </c>
      <c r="F15">
        <v>0.04</v>
      </c>
      <c r="G15">
        <v>0.1155982412273264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HYPERLINK("https://www.suredividend.com/sure-analysis-HII/","Huntington Ingalls Industries, Inc.")</f>
        <v>0</v>
      </c>
      <c r="C16" t="s">
        <v>631</v>
      </c>
      <c r="D16">
        <v>0.020889748549323</v>
      </c>
      <c r="E16">
        <v>0.0407986907633513</v>
      </c>
      <c r="F16">
        <v>0.05</v>
      </c>
      <c r="G16">
        <v>0.1146635562825249</v>
      </c>
      <c r="H16" t="s">
        <v>635</v>
      </c>
      <c r="I16" t="s">
        <v>383</v>
      </c>
    </row>
    <row r="17" spans="1:9">
      <c r="A17" s="1" t="s">
        <v>24</v>
      </c>
      <c r="B17">
        <f>HYPERLINK("https://www.suredividend.com/sure-analysis-WBA/","Walgreens Boots Alliance, Inc.")</f>
        <v>0</v>
      </c>
      <c r="C17" t="s">
        <v>631</v>
      </c>
      <c r="D17">
        <v>0.044181554804442</v>
      </c>
      <c r="E17">
        <v>0.02559891487911448</v>
      </c>
      <c r="F17">
        <v>0.05</v>
      </c>
      <c r="G17">
        <v>0.1134055884966669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HYPERLINK("https://www.suredividend.com/sure-analysis-EV/","Eaton Vance Corp.")</f>
        <v>0</v>
      </c>
      <c r="C18" t="s">
        <v>631</v>
      </c>
      <c r="D18">
        <v>0.039501874665238</v>
      </c>
      <c r="E18">
        <v>0.008737250490523651</v>
      </c>
      <c r="F18">
        <v>0.065</v>
      </c>
      <c r="G18">
        <v>0.1090553287180216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631</v>
      </c>
      <c r="D19">
        <v>0.017486338797814</v>
      </c>
      <c r="E19">
        <v>0.007535836430130116</v>
      </c>
      <c r="F19">
        <v>0.08</v>
      </c>
      <c r="G19">
        <v>0.1030968156913692</v>
      </c>
      <c r="H19" t="s">
        <v>635</v>
      </c>
      <c r="I19" t="s">
        <v>383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631</v>
      </c>
      <c r="D20">
        <v>0.019722222222222</v>
      </c>
      <c r="E20">
        <v>0.03424021252947318</v>
      </c>
      <c r="F20">
        <v>0.05</v>
      </c>
      <c r="G20">
        <v>0.1022816589341351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631</v>
      </c>
      <c r="D21">
        <v>0.018402361489554</v>
      </c>
      <c r="E21">
        <v>0.008746647248316197</v>
      </c>
      <c r="F21">
        <v>0.07000000000000001</v>
      </c>
      <c r="G21">
        <v>0.101950639751049</v>
      </c>
      <c r="H21" t="s">
        <v>635</v>
      </c>
      <c r="I21" t="s">
        <v>383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631</v>
      </c>
      <c r="D22">
        <v>0.027936337384997</v>
      </c>
      <c r="E22">
        <v>0.01192108369386125</v>
      </c>
      <c r="F22">
        <v>0.06</v>
      </c>
      <c r="G22">
        <v>0.09955028073347538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631</v>
      </c>
      <c r="D23">
        <v>0.044629574531389</v>
      </c>
      <c r="E23">
        <v>0.0003369740502310314</v>
      </c>
      <c r="F23">
        <v>0.055</v>
      </c>
      <c r="G23">
        <v>0.09761182006250557</v>
      </c>
      <c r="H23" t="s">
        <v>635</v>
      </c>
      <c r="I23" t="s">
        <v>635</v>
      </c>
    </row>
    <row r="24" spans="1:9">
      <c r="A24" s="1" t="s">
        <v>31</v>
      </c>
      <c r="B24">
        <f>HYPERLINK("https://www.suredividend.com/sure-analysis-LOW/","Lowe's Cos., Inc.")</f>
        <v>0</v>
      </c>
      <c r="C24" t="s">
        <v>631</v>
      </c>
      <c r="D24">
        <v>0.015236512223838</v>
      </c>
      <c r="E24">
        <v>-0.01778318901435272</v>
      </c>
      <c r="F24">
        <v>0.1</v>
      </c>
      <c r="G24">
        <v>0.09601185880588425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631</v>
      </c>
      <c r="D25">
        <v>0.010464440281635</v>
      </c>
      <c r="E25">
        <v>0.02246727873855359</v>
      </c>
      <c r="F25">
        <v>0.06</v>
      </c>
      <c r="G25">
        <v>0.09310275967121506</v>
      </c>
      <c r="H25" t="s">
        <v>635</v>
      </c>
      <c r="I25" t="s">
        <v>383</v>
      </c>
    </row>
    <row r="26" spans="1:9">
      <c r="A26" s="1" t="s">
        <v>33</v>
      </c>
      <c r="B26">
        <f>HYPERLINK("https://www.suredividend.com/sure-analysis-TYCB/","Calvin B. Taylor Bankshares, Inc.")</f>
        <v>0</v>
      </c>
      <c r="C26" t="s">
        <v>631</v>
      </c>
      <c r="D26">
        <v>0.031479847013827</v>
      </c>
      <c r="E26">
        <v>0.005873521437378404</v>
      </c>
      <c r="F26">
        <v>0.06</v>
      </c>
      <c r="G26">
        <v>0.09241350598367171</v>
      </c>
      <c r="H26" t="s">
        <v>635</v>
      </c>
      <c r="I26" t="s">
        <v>635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631</v>
      </c>
      <c r="D27">
        <v>0.015212169735788</v>
      </c>
      <c r="E27">
        <v>0.004915410545899057</v>
      </c>
      <c r="F27">
        <v>0.07000000000000001</v>
      </c>
      <c r="G27">
        <v>0.09046080656914213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631</v>
      </c>
      <c r="D28">
        <v>0.03424823900898701</v>
      </c>
      <c r="E28">
        <v>0.01794972493890468</v>
      </c>
      <c r="F28">
        <v>0.04</v>
      </c>
      <c r="G28">
        <v>0.08870222525018745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HYPERLINK("https://www.suredividend.com/sure-analysis-PNR/","Pentair Plc")</f>
        <v>0</v>
      </c>
      <c r="C29" t="s">
        <v>631</v>
      </c>
      <c r="D29">
        <v>0.017510194291196</v>
      </c>
      <c r="E29">
        <v>0.006206948524329903</v>
      </c>
      <c r="F29">
        <v>0.065</v>
      </c>
      <c r="G29">
        <v>0.08767206669591032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HYPERLINK("https://www.suredividend.com/sure-analysis-BANF/","BancFirst Corp. (Oklahoma)")</f>
        <v>0</v>
      </c>
      <c r="C30" t="s">
        <v>631</v>
      </c>
      <c r="D30">
        <v>0.032347738185494</v>
      </c>
      <c r="E30">
        <v>0.02605181443760296</v>
      </c>
      <c r="F30">
        <v>0.03</v>
      </c>
      <c r="G30">
        <v>0.08702337947383842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HYPERLINK("https://www.suredividend.com/sure-analysis-AFL/","Aflac, Inc.")</f>
        <v>0</v>
      </c>
      <c r="C31" t="s">
        <v>631</v>
      </c>
      <c r="D31">
        <v>0.030093870789618</v>
      </c>
      <c r="E31">
        <v>0.02005199382139544</v>
      </c>
      <c r="F31">
        <v>0.04</v>
      </c>
      <c r="G31">
        <v>0.08700487269049773</v>
      </c>
      <c r="H31" t="s">
        <v>635</v>
      </c>
      <c r="I31" t="s">
        <v>635</v>
      </c>
    </row>
    <row r="32" spans="1:9">
      <c r="A32" s="1" t="s">
        <v>39</v>
      </c>
      <c r="B32">
        <f>HYPERLINK("https://www.suredividend.com/sure-analysis-UNH/","UnitedHealth Group, Inc.")</f>
        <v>0</v>
      </c>
      <c r="C32" t="s">
        <v>631</v>
      </c>
      <c r="D32">
        <v>0.014647832186082</v>
      </c>
      <c r="E32">
        <v>-0.02943150839999986</v>
      </c>
      <c r="F32">
        <v>0.1</v>
      </c>
      <c r="G32">
        <v>0.08591361284662269</v>
      </c>
      <c r="H32" t="s">
        <v>635</v>
      </c>
      <c r="I32" t="s">
        <v>383</v>
      </c>
    </row>
    <row r="33" spans="1:9">
      <c r="A33" s="1" t="s">
        <v>40</v>
      </c>
      <c r="B33">
        <f>HYPERLINK("https://www.suredividend.com/sure-analysis-MGRC/","McGrath RentCorp")</f>
        <v>0</v>
      </c>
      <c r="C33" t="s">
        <v>631</v>
      </c>
      <c r="D33">
        <v>0.028250137136588</v>
      </c>
      <c r="E33">
        <v>0.02869475431380231</v>
      </c>
      <c r="F33">
        <v>0.03</v>
      </c>
      <c r="G33">
        <v>0.08498203629863577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HYPERLINK("https://www.suredividend.com/sure-analysis-SRCE/","1st Source Corp.")</f>
        <v>0</v>
      </c>
      <c r="C34" t="s">
        <v>631</v>
      </c>
      <c r="D34">
        <v>0.032729398012857</v>
      </c>
      <c r="E34">
        <v>0.03681380304364312</v>
      </c>
      <c r="F34">
        <v>0.02</v>
      </c>
      <c r="G34">
        <v>0.0842285669740126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HYPERLINK("https://www.suredividend.com/sure-analysis-BKH/","Black Hills Corp.")</f>
        <v>0</v>
      </c>
      <c r="C35" t="s">
        <v>631</v>
      </c>
      <c r="D35">
        <v>0.034210526315789</v>
      </c>
      <c r="E35">
        <v>0.01031145931793609</v>
      </c>
      <c r="F35">
        <v>0.04</v>
      </c>
      <c r="G35">
        <v>0.08227103457108309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HYPERLINK("https://www.suredividend.com/sure-analysis-CPKF/","Chesapeake Financial Shares, Inc. (Maryland)")</f>
        <v>0</v>
      </c>
      <c r="C36" t="s">
        <v>631</v>
      </c>
      <c r="D36">
        <v>0.026822876721903</v>
      </c>
      <c r="E36">
        <v>0.03717500753470904</v>
      </c>
      <c r="F36">
        <v>0.02</v>
      </c>
      <c r="G36">
        <v>0.08142579391722937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HYPERLINK("https://www.suredividend.com/sure-analysis-FUL/","H.B. Fuller Co.")</f>
        <v>0</v>
      </c>
      <c r="C37" t="s">
        <v>631</v>
      </c>
      <c r="D37">
        <v>0.013841016803102</v>
      </c>
      <c r="E37">
        <v>-0.03923827751682585</v>
      </c>
      <c r="F37">
        <v>0.11</v>
      </c>
      <c r="G37">
        <v>0.07872523785612917</v>
      </c>
      <c r="H37" t="s">
        <v>635</v>
      </c>
      <c r="I37" t="s">
        <v>636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631</v>
      </c>
      <c r="D38">
        <v>0.013122576796898</v>
      </c>
      <c r="E38">
        <v>-0.01241291912411124</v>
      </c>
      <c r="F38">
        <v>0.08</v>
      </c>
      <c r="G38">
        <v>0.07808914305525239</v>
      </c>
      <c r="H38" t="s">
        <v>635</v>
      </c>
      <c r="I38" t="s">
        <v>383</v>
      </c>
    </row>
    <row r="39" spans="1:9">
      <c r="A39" s="1" t="s">
        <v>46</v>
      </c>
      <c r="B39">
        <f>HYPERLINK("https://www.suredividend.com/sure-analysis-TXT/","Textron, Inc.")</f>
        <v>0</v>
      </c>
      <c r="C39" t="s">
        <v>631</v>
      </c>
      <c r="D39">
        <v>0.002392344497607</v>
      </c>
      <c r="E39">
        <v>-0.06418717105203331</v>
      </c>
      <c r="F39">
        <v>0.15</v>
      </c>
      <c r="G39">
        <v>0.0779623844428079</v>
      </c>
      <c r="H39" t="s">
        <v>635</v>
      </c>
      <c r="I39" t="s">
        <v>300</v>
      </c>
    </row>
    <row r="40" spans="1:9">
      <c r="A40" s="1" t="s">
        <v>47</v>
      </c>
      <c r="B40">
        <f>HYPERLINK("https://www.suredividend.com/sure-analysis-NVS/","Novartis AG")</f>
        <v>0</v>
      </c>
      <c r="C40" t="s">
        <v>631</v>
      </c>
      <c r="D40">
        <v>0.022760462742429</v>
      </c>
      <c r="E40">
        <v>0.006338551614891275</v>
      </c>
      <c r="F40">
        <v>0.04</v>
      </c>
      <c r="G40">
        <v>0.07760885937602957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HYPERLINK("https://www.suredividend.com/sure-analysis-TCEHY/","Tencent Holdings Ltd.")</f>
        <v>0</v>
      </c>
      <c r="C41" t="s">
        <v>631</v>
      </c>
      <c r="D41">
        <v>0.002291296625222</v>
      </c>
      <c r="E41">
        <v>-0.07399434652507864</v>
      </c>
      <c r="F41">
        <v>0.16</v>
      </c>
      <c r="G41">
        <v>0.07750516055601331</v>
      </c>
      <c r="H41" t="s">
        <v>635</v>
      </c>
      <c r="I41" t="s">
        <v>300</v>
      </c>
    </row>
    <row r="42" spans="1:9">
      <c r="A42" s="1" t="s">
        <v>49</v>
      </c>
      <c r="B42">
        <f>HYPERLINK("https://www.suredividend.com/sure-analysis-ABM/","ABM Industries, Inc.")</f>
        <v>0</v>
      </c>
      <c r="C42" t="s">
        <v>631</v>
      </c>
      <c r="D42">
        <v>0.020227209753394</v>
      </c>
      <c r="E42">
        <v>0.004992841698793882</v>
      </c>
      <c r="F42">
        <v>0.05</v>
      </c>
      <c r="G42">
        <v>0.0727637955767082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HYPERLINK("https://www.suredividend.com/sure-analysis-ADP/","Automatic Data Processing, Inc.")</f>
        <v>0</v>
      </c>
      <c r="C43" t="s">
        <v>631</v>
      </c>
      <c r="D43">
        <v>0.023035230352303</v>
      </c>
      <c r="E43">
        <v>-0.02961634507544053</v>
      </c>
      <c r="F43">
        <v>0.08</v>
      </c>
      <c r="G43">
        <v>0.07273088433506536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HYPERLINK("https://www.suredividend.com/sure-analysis-PRGO/","Perrigo Co. Plc")</f>
        <v>0</v>
      </c>
      <c r="C44" t="s">
        <v>631</v>
      </c>
      <c r="D44">
        <v>0.014605398018448</v>
      </c>
      <c r="E44">
        <v>0.008266698583790033</v>
      </c>
      <c r="F44">
        <v>0.05</v>
      </c>
      <c r="G44">
        <v>0.07252489799909623</v>
      </c>
      <c r="H44" t="s">
        <v>635</v>
      </c>
      <c r="I44" t="s">
        <v>383</v>
      </c>
    </row>
    <row r="45" spans="1:9">
      <c r="A45" s="1" t="s">
        <v>52</v>
      </c>
      <c r="B45">
        <f>HYPERLINK("https://www.suredividend.com/sure-analysis-SYK/","Stryker Corp.")</f>
        <v>0</v>
      </c>
      <c r="C45" t="s">
        <v>631</v>
      </c>
      <c r="D45">
        <v>0.011344211344211</v>
      </c>
      <c r="E45">
        <v>-0.0543365366403894</v>
      </c>
      <c r="F45">
        <v>0.12</v>
      </c>
      <c r="G45">
        <v>0.07227867495488183</v>
      </c>
      <c r="H45" t="s">
        <v>635</v>
      </c>
      <c r="I45" t="s">
        <v>383</v>
      </c>
    </row>
    <row r="46" spans="1:9">
      <c r="A46" s="1" t="s">
        <v>53</v>
      </c>
      <c r="B46">
        <f>HYPERLINK("https://www.suredividend.com/sure-analysis-CB/","Chubb Ltd.")</f>
        <v>0</v>
      </c>
      <c r="C46" t="s">
        <v>631</v>
      </c>
      <c r="D46">
        <v>0.022066936373666</v>
      </c>
      <c r="E46">
        <v>0.001539935434636375</v>
      </c>
      <c r="F46">
        <v>0.05</v>
      </c>
      <c r="G46">
        <v>0.0720519662351391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HYPERLINK("https://www.suredividend.com/sure-analysis-CAH/","Cardinal Health, Inc.")</f>
        <v>0</v>
      </c>
      <c r="C47" t="s">
        <v>631</v>
      </c>
      <c r="D47">
        <v>0.036220591003199</v>
      </c>
      <c r="E47">
        <v>-0.0004898453687097737</v>
      </c>
      <c r="F47">
        <v>0.04</v>
      </c>
      <c r="G47">
        <v>0.07177546944828395</v>
      </c>
      <c r="H47" t="s">
        <v>635</v>
      </c>
      <c r="I47" t="s">
        <v>635</v>
      </c>
    </row>
    <row r="48" spans="1:9">
      <c r="A48" s="1" t="s">
        <v>55</v>
      </c>
      <c r="B48">
        <f>HYPERLINK("https://www.suredividend.com/sure-analysis-SEIC/","SEI Investments Co.")</f>
        <v>0</v>
      </c>
      <c r="C48" t="s">
        <v>631</v>
      </c>
      <c r="D48">
        <v>0.011898512685914</v>
      </c>
      <c r="E48">
        <v>-0.03835157501349762</v>
      </c>
      <c r="F48">
        <v>0.1</v>
      </c>
      <c r="G48">
        <v>0.06993935422696929</v>
      </c>
      <c r="H48" t="s">
        <v>635</v>
      </c>
      <c r="I48" t="s">
        <v>383</v>
      </c>
    </row>
    <row r="49" spans="1:9">
      <c r="A49" s="1" t="s">
        <v>56</v>
      </c>
      <c r="B49">
        <f>HYPERLINK("https://www.suredividend.com/sure-analysis-SON/","Sonoco Products Co.")</f>
        <v>0</v>
      </c>
      <c r="C49" t="s">
        <v>631</v>
      </c>
      <c r="D49">
        <v>0.03144424131627</v>
      </c>
      <c r="E49">
        <v>-0.01390996517732923</v>
      </c>
      <c r="F49">
        <v>0.05</v>
      </c>
      <c r="G49">
        <v>0.06539593053611847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HYPERLINK("https://www.suredividend.com/sure-analysis-ATO/","Atmos Energy Corp.")</f>
        <v>0</v>
      </c>
      <c r="C50" t="s">
        <v>631</v>
      </c>
      <c r="D50">
        <v>0.021769245992479</v>
      </c>
      <c r="E50">
        <v>-0.02729605858279238</v>
      </c>
      <c r="F50">
        <v>0.07000000000000001</v>
      </c>
      <c r="G50">
        <v>0.06428789576186178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631</v>
      </c>
      <c r="D51">
        <v>0.035027316184839</v>
      </c>
      <c r="E51">
        <v>0.0003184858919804689</v>
      </c>
      <c r="F51">
        <v>0.03</v>
      </c>
      <c r="G51">
        <v>0.06306593651476211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HYPERLINK("https://www.suredividend.com/sure-analysis-PH/","Parker-Hannifin Corp.")</f>
        <v>0</v>
      </c>
      <c r="C52" t="s">
        <v>631</v>
      </c>
      <c r="D52">
        <v>0.019031141868512</v>
      </c>
      <c r="E52">
        <v>-0.05282929091976085</v>
      </c>
      <c r="F52">
        <v>0.1</v>
      </c>
      <c r="G52">
        <v>0.06072290539028669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HYPERLINK("https://www.suredividend.com/sure-analysis-DPZ/","Domino's Pizza, Inc.")</f>
        <v>0</v>
      </c>
      <c r="C53" t="s">
        <v>631</v>
      </c>
      <c r="D53">
        <v>0.007329198913433001</v>
      </c>
      <c r="E53">
        <v>-0.06223205783844155</v>
      </c>
      <c r="F53">
        <v>0.12</v>
      </c>
      <c r="G53">
        <v>0.05975276232608828</v>
      </c>
      <c r="H53" t="s">
        <v>635</v>
      </c>
      <c r="I53" t="s">
        <v>300</v>
      </c>
    </row>
    <row r="54" spans="1:9">
      <c r="A54" s="1" t="s">
        <v>61</v>
      </c>
      <c r="B54">
        <f>HYPERLINK("https://www.suredividend.com/sure-analysis-DCI/","Donaldson Co., Inc.")</f>
        <v>0</v>
      </c>
      <c r="C54" t="s">
        <v>631</v>
      </c>
      <c r="D54">
        <v>0.017467248908296</v>
      </c>
      <c r="E54">
        <v>-0.03616866197613056</v>
      </c>
      <c r="F54">
        <v>0.08</v>
      </c>
      <c r="G54">
        <v>0.05910414482111048</v>
      </c>
      <c r="H54" t="s">
        <v>635</v>
      </c>
      <c r="I54" t="s">
        <v>383</v>
      </c>
    </row>
    <row r="55" spans="1:9">
      <c r="A55" s="1" t="s">
        <v>62</v>
      </c>
      <c r="B55">
        <f>HYPERLINK("https://www.suredividend.com/sure-analysis-BDX/","Becton, Dickinson &amp; Co.")</f>
        <v>0</v>
      </c>
      <c r="C55" t="s">
        <v>631</v>
      </c>
      <c r="D55">
        <v>0.011686268634354</v>
      </c>
      <c r="E55">
        <v>-0.04961773507660394</v>
      </c>
      <c r="F55">
        <v>0.1</v>
      </c>
      <c r="G55">
        <v>0.05840468679681066</v>
      </c>
      <c r="H55" t="s">
        <v>635</v>
      </c>
      <c r="I55" t="s">
        <v>383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631</v>
      </c>
      <c r="D56">
        <v>0.036225990114496</v>
      </c>
      <c r="E56">
        <v>-0.02754099969724744</v>
      </c>
      <c r="F56">
        <v>0.05</v>
      </c>
      <c r="G56">
        <v>0.05471463469428572</v>
      </c>
      <c r="H56" t="s">
        <v>635</v>
      </c>
      <c r="I56" t="s">
        <v>635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631</v>
      </c>
      <c r="D57">
        <v>0.028814850730761</v>
      </c>
      <c r="E57">
        <v>-0.01479735670722659</v>
      </c>
      <c r="F57">
        <v>0.04</v>
      </c>
      <c r="G57">
        <v>0.05321092639444469</v>
      </c>
      <c r="H57" t="s">
        <v>635</v>
      </c>
      <c r="I57" t="s">
        <v>636</v>
      </c>
    </row>
    <row r="58" spans="1:9">
      <c r="A58" s="1" t="s">
        <v>65</v>
      </c>
      <c r="B58">
        <f>HYPERLINK("https://www.suredividend.com/sure-analysis-MDT/","Medtronic Plc")</f>
        <v>0</v>
      </c>
      <c r="C58" t="s">
        <v>631</v>
      </c>
      <c r="D58">
        <v>0.021911138161898</v>
      </c>
      <c r="E58">
        <v>-0.04090807469838487</v>
      </c>
      <c r="F58">
        <v>0.07000000000000001</v>
      </c>
      <c r="G58">
        <v>0.05185945307554962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631</v>
      </c>
      <c r="D59">
        <v>0.025845329762303</v>
      </c>
      <c r="E59">
        <v>-0.03651869623134751</v>
      </c>
      <c r="F59">
        <v>0.06</v>
      </c>
      <c r="G59">
        <v>0.04942376575440877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HYPERLINK("https://www.suredividend.com/sure-analysis-KR/","The Kroger Co.")</f>
        <v>0</v>
      </c>
      <c r="C60" t="s">
        <v>631</v>
      </c>
      <c r="D60">
        <v>0.018906942392909</v>
      </c>
      <c r="E60">
        <v>-0.01117767959831328</v>
      </c>
      <c r="F60">
        <v>0.04</v>
      </c>
      <c r="G60">
        <v>0.04760160841082306</v>
      </c>
      <c r="H60" t="s">
        <v>635</v>
      </c>
      <c r="I60" t="s">
        <v>383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631</v>
      </c>
      <c r="D61">
        <v>0.007003395585738001</v>
      </c>
      <c r="E61">
        <v>-0.05505917129179183</v>
      </c>
      <c r="F61">
        <v>0.1</v>
      </c>
      <c r="G61">
        <v>0.04759755569009627</v>
      </c>
      <c r="H61" t="s">
        <v>635</v>
      </c>
      <c r="I61" t="s">
        <v>300</v>
      </c>
    </row>
    <row r="62" spans="1:9">
      <c r="A62" s="1" t="s">
        <v>69</v>
      </c>
      <c r="B62">
        <f>HYPERLINK("https://www.suredividend.com/sure-analysis-BRC/","Brady Corp.")</f>
        <v>0</v>
      </c>
      <c r="C62" t="s">
        <v>631</v>
      </c>
      <c r="D62">
        <v>0.01831850910631</v>
      </c>
      <c r="E62">
        <v>-0.01854928765791508</v>
      </c>
      <c r="F62">
        <v>0.05</v>
      </c>
      <c r="G62">
        <v>0.04689075395426667</v>
      </c>
      <c r="H62" t="s">
        <v>635</v>
      </c>
      <c r="I62" t="s">
        <v>636</v>
      </c>
    </row>
    <row r="63" spans="1:9">
      <c r="A63" s="1" t="s">
        <v>70</v>
      </c>
      <c r="B63">
        <f>HYPERLINK("https://www.suredividend.com/sure-analysis-EMR/","Emerson Electric Co.")</f>
        <v>0</v>
      </c>
      <c r="C63" t="s">
        <v>631</v>
      </c>
      <c r="D63">
        <v>0.031166378089091</v>
      </c>
      <c r="E63">
        <v>-0.03198300761493933</v>
      </c>
      <c r="F63">
        <v>0.05</v>
      </c>
      <c r="G63">
        <v>0.04681592948098245</v>
      </c>
      <c r="H63" t="s">
        <v>635</v>
      </c>
      <c r="I63" t="s">
        <v>635</v>
      </c>
    </row>
    <row r="64" spans="1:9">
      <c r="A64" s="1" t="s">
        <v>71</v>
      </c>
      <c r="B64">
        <f>HYPERLINK("https://www.suredividend.com/sure-analysis-TGT/","Target Corp.")</f>
        <v>0</v>
      </c>
      <c r="C64" t="s">
        <v>631</v>
      </c>
      <c r="D64">
        <v>0.021698035670255</v>
      </c>
      <c r="E64">
        <v>-0.03465326345930597</v>
      </c>
      <c r="F64">
        <v>0.06</v>
      </c>
      <c r="G64">
        <v>0.0458845200471909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631</v>
      </c>
      <c r="D65">
        <v>0.009103483704927001</v>
      </c>
      <c r="E65">
        <v>-0.04038245251558148</v>
      </c>
      <c r="F65">
        <v>0.075</v>
      </c>
      <c r="G65">
        <v>0.04541130921339143</v>
      </c>
      <c r="H65" t="s">
        <v>635</v>
      </c>
      <c r="I65" t="s">
        <v>300</v>
      </c>
    </row>
    <row r="66" spans="1:9">
      <c r="A66" s="1" t="s">
        <v>73</v>
      </c>
      <c r="B66">
        <f>HYPERLINK("https://www.suredividend.com/sure-analysis-AROW/","Arrow Financial Corp.")</f>
        <v>0</v>
      </c>
      <c r="C66" t="s">
        <v>631</v>
      </c>
      <c r="D66">
        <v>0.036099330750264</v>
      </c>
      <c r="E66">
        <v>-0.002762668849212613</v>
      </c>
      <c r="F66">
        <v>0.01</v>
      </c>
      <c r="G66">
        <v>0.04453175637848061</v>
      </c>
      <c r="H66" t="s">
        <v>635</v>
      </c>
      <c r="I66" t="s">
        <v>635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631</v>
      </c>
      <c r="D67">
        <v>0.01882602819077</v>
      </c>
      <c r="E67">
        <v>-0.05273773551709438</v>
      </c>
      <c r="F67">
        <v>0.08</v>
      </c>
      <c r="G67">
        <v>0.04233897296223987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631</v>
      </c>
      <c r="D68">
        <v>0.013580931263858</v>
      </c>
      <c r="E68">
        <v>-0.05985277387068488</v>
      </c>
      <c r="F68">
        <v>0.09</v>
      </c>
      <c r="G68">
        <v>0.04220885506354621</v>
      </c>
      <c r="H68" t="s">
        <v>635</v>
      </c>
      <c r="I68" t="s">
        <v>383</v>
      </c>
    </row>
    <row r="69" spans="1:9">
      <c r="A69" s="1" t="s">
        <v>76</v>
      </c>
      <c r="B69">
        <f>HYPERLINK("https://www.suredividend.com/sure-analysis-MSA/","MSA Safety, Inc.")</f>
        <v>0</v>
      </c>
      <c r="C69" t="s">
        <v>631</v>
      </c>
      <c r="D69">
        <v>0.014541387024608</v>
      </c>
      <c r="E69">
        <v>-0.04155014393754064</v>
      </c>
      <c r="F69">
        <v>0.07000000000000001</v>
      </c>
      <c r="G69">
        <v>0.04203162427954577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631</v>
      </c>
      <c r="D70">
        <v>0.01784007645747</v>
      </c>
      <c r="E70">
        <v>-0.05227140328512447</v>
      </c>
      <c r="F70">
        <v>0.08</v>
      </c>
      <c r="G70">
        <v>0.04113583366762374</v>
      </c>
      <c r="H70" t="s">
        <v>635</v>
      </c>
      <c r="I70" t="s">
        <v>636</v>
      </c>
    </row>
    <row r="71" spans="1:9">
      <c r="A71" s="1" t="s">
        <v>78</v>
      </c>
      <c r="B71">
        <f>HYPERLINK("https://www.suredividend.com/sure-analysis-NWN/","Northwest Natural Holding Co.")</f>
        <v>0</v>
      </c>
      <c r="C71" t="s">
        <v>631</v>
      </c>
      <c r="D71">
        <v>0.035694236526946</v>
      </c>
      <c r="E71">
        <v>-0.02535539829234157</v>
      </c>
      <c r="F71">
        <v>0.029</v>
      </c>
      <c r="G71">
        <v>0.03818138467870158</v>
      </c>
      <c r="H71" t="s">
        <v>635</v>
      </c>
      <c r="I71" t="s">
        <v>635</v>
      </c>
    </row>
    <row r="72" spans="1:9">
      <c r="A72" s="1" t="s">
        <v>79</v>
      </c>
      <c r="B72">
        <f>HYPERLINK("https://www.suredividend.com/sure-analysis-ABC/","AmerisourceBergen Corp.")</f>
        <v>0</v>
      </c>
      <c r="C72" t="s">
        <v>631</v>
      </c>
      <c r="D72">
        <v>0.015509813307802</v>
      </c>
      <c r="E72">
        <v>-0.02934071542016403</v>
      </c>
      <c r="F72">
        <v>0.05</v>
      </c>
      <c r="G72">
        <v>0.0369271638969817</v>
      </c>
      <c r="H72" t="s">
        <v>635</v>
      </c>
      <c r="I72" t="s">
        <v>383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631</v>
      </c>
      <c r="D73">
        <v>0.002968383266602</v>
      </c>
      <c r="E73">
        <v>-0.06412688437668201</v>
      </c>
      <c r="F73">
        <v>0.1</v>
      </c>
      <c r="G73">
        <v>0.03650817864995481</v>
      </c>
      <c r="H73" t="s">
        <v>635</v>
      </c>
      <c r="I73" t="s">
        <v>300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0.023772146221125</v>
      </c>
      <c r="E74">
        <v>-0.04012748960943202</v>
      </c>
      <c r="F74">
        <v>0.05</v>
      </c>
      <c r="G74">
        <v>0.03416825411552171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HYPERLINK("https://www.suredividend.com/sure-analysis-GWW/","W.W. Grainger, Inc.")</f>
        <v>0</v>
      </c>
      <c r="C75" t="s">
        <v>631</v>
      </c>
      <c r="D75">
        <v>0.017440276137705</v>
      </c>
      <c r="E75">
        <v>-0.06185833789578354</v>
      </c>
      <c r="F75">
        <v>0.08</v>
      </c>
      <c r="G75">
        <v>0.03122117768551824</v>
      </c>
      <c r="H75" t="s">
        <v>635</v>
      </c>
      <c r="I75" t="s">
        <v>636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631</v>
      </c>
      <c r="D76">
        <v>0.00766590389016</v>
      </c>
      <c r="E76">
        <v>-0.05461980356287444</v>
      </c>
      <c r="F76">
        <v>0.08</v>
      </c>
      <c r="G76">
        <v>0.03015062549879821</v>
      </c>
      <c r="H76" t="s">
        <v>635</v>
      </c>
      <c r="I76" t="s">
        <v>383</v>
      </c>
    </row>
    <row r="77" spans="1:9">
      <c r="A77" s="1" t="s">
        <v>84</v>
      </c>
      <c r="B77">
        <f>HYPERLINK("https://www.suredividend.com/sure-analysis-COST/","Costco Wholesale Corp.")</f>
        <v>0</v>
      </c>
      <c r="C77" t="s">
        <v>631</v>
      </c>
      <c r="D77">
        <v>0.008159118199451001</v>
      </c>
      <c r="E77">
        <v>-0.07411313110916296</v>
      </c>
      <c r="F77">
        <v>0.1</v>
      </c>
      <c r="G77">
        <v>0.02901732120239031</v>
      </c>
      <c r="H77" t="s">
        <v>635</v>
      </c>
      <c r="I77" t="s">
        <v>300</v>
      </c>
    </row>
    <row r="78" spans="1:9">
      <c r="A78" s="1" t="s">
        <v>85</v>
      </c>
      <c r="B78">
        <f>HYPERLINK("https://www.suredividend.com/sure-analysis-CINF/","Cincinnati Financial Corp.")</f>
        <v>0</v>
      </c>
      <c r="C78" t="s">
        <v>631</v>
      </c>
      <c r="D78">
        <v>0.029741716671014</v>
      </c>
      <c r="E78">
        <v>-0.01801275899689725</v>
      </c>
      <c r="F78">
        <v>0.01</v>
      </c>
      <c r="G78">
        <v>0.0267733211751835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HYPERLINK("https://www.suredividend.com/sure-analysis-THFF/","First Financial Corp. (Indiana)")</f>
        <v>0</v>
      </c>
      <c r="C79" t="s">
        <v>631</v>
      </c>
      <c r="D79">
        <v>0.030127462340672</v>
      </c>
      <c r="E79">
        <v>-0.0150462494641288</v>
      </c>
      <c r="F79">
        <v>0.01</v>
      </c>
      <c r="G79">
        <v>0.02553318459657272</v>
      </c>
      <c r="H79" t="s">
        <v>635</v>
      </c>
      <c r="I79" t="s">
        <v>635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631</v>
      </c>
      <c r="D80">
        <v>0.01108605787298</v>
      </c>
      <c r="E80">
        <v>-0.09673533434864556</v>
      </c>
      <c r="F80">
        <v>0.12</v>
      </c>
      <c r="G80">
        <v>0.02489796059131799</v>
      </c>
      <c r="H80" t="s">
        <v>635</v>
      </c>
      <c r="I80" t="s">
        <v>383</v>
      </c>
    </row>
    <row r="81" spans="1:9">
      <c r="A81" s="1" t="s">
        <v>88</v>
      </c>
      <c r="B81">
        <f>HYPERLINK("https://www.suredividend.com/sure-analysis-TR/","Tootsie Roll Industries, Inc.")</f>
        <v>0</v>
      </c>
      <c r="C81" t="s">
        <v>631</v>
      </c>
      <c r="D81">
        <v>0.01025639902262</v>
      </c>
      <c r="E81">
        <v>-0.01732040265251122</v>
      </c>
      <c r="F81">
        <v>0.03</v>
      </c>
      <c r="G81">
        <v>0.02210195068331</v>
      </c>
      <c r="H81" t="s">
        <v>635</v>
      </c>
      <c r="I81" t="s">
        <v>383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631</v>
      </c>
      <c r="D82">
        <v>0.023749104513253</v>
      </c>
      <c r="E82">
        <v>-0.05237704014348432</v>
      </c>
      <c r="F82">
        <v>0.05</v>
      </c>
      <c r="G82">
        <v>0.02127429008148018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HYPERLINK("https://www.suredividend.com/sure-analysis-PPG/","PPG Industries, Inc.")</f>
        <v>0</v>
      </c>
      <c r="C83" t="s">
        <v>631</v>
      </c>
      <c r="D83">
        <v>0.018233821952091</v>
      </c>
      <c r="E83">
        <v>-0.07687234625458961</v>
      </c>
      <c r="F83">
        <v>0.08</v>
      </c>
      <c r="G83">
        <v>0.02057811945047283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HYPERLINK("https://www.suredividend.com/sure-analysis-SPGI/","S&amp;P Global, Inc.")</f>
        <v>0</v>
      </c>
      <c r="C84" t="s">
        <v>631</v>
      </c>
      <c r="D84">
        <v>0.006710084862837</v>
      </c>
      <c r="E84">
        <v>-0.07514753273612051</v>
      </c>
      <c r="F84">
        <v>0.09</v>
      </c>
      <c r="G84">
        <v>0.01828770296473659</v>
      </c>
      <c r="H84" t="s">
        <v>635</v>
      </c>
      <c r="I84" t="s">
        <v>383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631</v>
      </c>
      <c r="D85">
        <v>0.010869565217391</v>
      </c>
      <c r="E85">
        <v>-0.06086614353474917</v>
      </c>
      <c r="F85">
        <v>0.07000000000000001</v>
      </c>
      <c r="G85">
        <v>0.01819051289356</v>
      </c>
      <c r="H85" t="s">
        <v>635</v>
      </c>
      <c r="I85" t="s">
        <v>383</v>
      </c>
    </row>
    <row r="86" spans="1:9">
      <c r="A86" s="1" t="s">
        <v>93</v>
      </c>
      <c r="B86">
        <f>HYPERLINK("https://www.suredividend.com/sure-analysis-SWK/","Stanley Black &amp; Decker, Inc.")</f>
        <v>0</v>
      </c>
      <c r="C86" t="s">
        <v>631</v>
      </c>
      <c r="D86">
        <v>0.017801251956181</v>
      </c>
      <c r="E86">
        <v>-0.07832541009667204</v>
      </c>
      <c r="F86">
        <v>0.08</v>
      </c>
      <c r="G86">
        <v>0.01763906464380627</v>
      </c>
      <c r="H86" t="s">
        <v>635</v>
      </c>
      <c r="I86" t="s">
        <v>636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631</v>
      </c>
      <c r="D87">
        <v>0.018751921303412</v>
      </c>
      <c r="E87">
        <v>-0.0752427953887751</v>
      </c>
      <c r="F87">
        <v>0.076</v>
      </c>
      <c r="G87">
        <v>0.01562858710635995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0.014105793450881</v>
      </c>
      <c r="E88">
        <v>-0.06217804376643699</v>
      </c>
      <c r="F88">
        <v>0.06</v>
      </c>
      <c r="G88">
        <v>0.01131334424343233</v>
      </c>
      <c r="H88" t="s">
        <v>635</v>
      </c>
      <c r="I88" t="s">
        <v>383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0.017196148056364</v>
      </c>
      <c r="E89">
        <v>-0.07706380617302588</v>
      </c>
      <c r="F89">
        <v>0.07000000000000001</v>
      </c>
      <c r="G89">
        <v>0.00880900289493991</v>
      </c>
      <c r="H89" t="s">
        <v>635</v>
      </c>
      <c r="I89" t="s">
        <v>383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631</v>
      </c>
      <c r="D90">
        <v>0.015254237288135</v>
      </c>
      <c r="E90">
        <v>-0.07998543114428036</v>
      </c>
      <c r="F90">
        <v>0.07000000000000001</v>
      </c>
      <c r="G90">
        <v>0.004679765272556757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631</v>
      </c>
      <c r="D91">
        <v>0.016168210110824</v>
      </c>
      <c r="E91">
        <v>-0.06329855706438414</v>
      </c>
      <c r="F91">
        <v>0.05</v>
      </c>
      <c r="G91">
        <v>0.003089969460843944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HYPERLINK("https://www.suredividend.com/sure-analysis-CL/","Colgate-Palmolive Co.")</f>
        <v>0</v>
      </c>
      <c r="C92" t="s">
        <v>631</v>
      </c>
      <c r="D92">
        <v>0.022872340425531</v>
      </c>
      <c r="E92">
        <v>-0.06408763767082515</v>
      </c>
      <c r="F92">
        <v>0.04</v>
      </c>
      <c r="G92">
        <v>0.001910679804039583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HYPERLINK("https://www.suredividend.com/sure-analysis-SCL/","Stepan Co.")</f>
        <v>0</v>
      </c>
      <c r="C93" t="s">
        <v>631</v>
      </c>
      <c r="D93">
        <v>0.010517880396674</v>
      </c>
      <c r="E93">
        <v>-0.0506072065205786</v>
      </c>
      <c r="F93">
        <v>0.04</v>
      </c>
      <c r="G93">
        <v>0.001661228497634948</v>
      </c>
      <c r="H93" t="s">
        <v>635</v>
      </c>
      <c r="I93" t="s">
        <v>383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631</v>
      </c>
      <c r="D94">
        <v>0.017224880382775</v>
      </c>
      <c r="E94">
        <v>-0.05843547377774438</v>
      </c>
      <c r="F94">
        <v>0.04</v>
      </c>
      <c r="G94">
        <v>0.0007859860652403849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HYPERLINK("https://www.suredividend.com/sure-analysis-BAM/","Brookfield Asset Management, Inc.")</f>
        <v>0</v>
      </c>
      <c r="C95" t="s">
        <v>631</v>
      </c>
      <c r="D95">
        <v>0.01277638677575</v>
      </c>
      <c r="E95">
        <v>-0.04822810366038688</v>
      </c>
      <c r="F95">
        <v>0.03</v>
      </c>
      <c r="G95">
        <v>-0.002371564990271025</v>
      </c>
      <c r="H95" t="s">
        <v>635</v>
      </c>
      <c r="I95" t="s">
        <v>300</v>
      </c>
    </row>
    <row r="96" spans="1:9">
      <c r="A96" s="1" t="s">
        <v>103</v>
      </c>
      <c r="B96">
        <f>HYPERLINK("https://www.suredividend.com/sure-analysis-MSFT/","Microsoft Corp.")</f>
        <v>0</v>
      </c>
      <c r="C96" t="s">
        <v>631</v>
      </c>
      <c r="D96">
        <v>0.009808753943217001</v>
      </c>
      <c r="E96">
        <v>-0.09820208508117667</v>
      </c>
      <c r="F96">
        <v>0.09</v>
      </c>
      <c r="G96">
        <v>-0.003209279378387775</v>
      </c>
      <c r="H96" t="s">
        <v>635</v>
      </c>
      <c r="I96" t="s">
        <v>300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631</v>
      </c>
      <c r="D97">
        <v>0.007752954482125001</v>
      </c>
      <c r="E97">
        <v>-0.08096253289794331</v>
      </c>
      <c r="F97">
        <v>0.07000000000000001</v>
      </c>
      <c r="G97">
        <v>-0.004316220348799749</v>
      </c>
      <c r="H97" t="s">
        <v>635</v>
      </c>
      <c r="I97" t="s">
        <v>383</v>
      </c>
    </row>
    <row r="98" spans="1:9">
      <c r="A98" s="1" t="s">
        <v>105</v>
      </c>
      <c r="B98">
        <f>HYPERLINK("https://www.suredividend.com/sure-analysis-ALB/","Albemarle Corp.")</f>
        <v>0</v>
      </c>
      <c r="C98" t="s">
        <v>631</v>
      </c>
      <c r="D98">
        <v>0.016815509834953</v>
      </c>
      <c r="E98">
        <v>-0.1008103865354057</v>
      </c>
      <c r="F98">
        <v>0.08</v>
      </c>
      <c r="G98">
        <v>-0.006275155407449828</v>
      </c>
      <c r="H98" t="s">
        <v>635</v>
      </c>
      <c r="I98" t="s">
        <v>383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631</v>
      </c>
      <c r="D99">
        <v>0.018205128205128</v>
      </c>
      <c r="E99">
        <v>-0.07789208851827223</v>
      </c>
      <c r="F99">
        <v>0.05</v>
      </c>
      <c r="G99">
        <v>-0.008535596298946069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HYPERLINK("https://www.suredividend.com/sure-analysis-MCO/","Moody's Corp.")</f>
        <v>0</v>
      </c>
      <c r="C100" t="s">
        <v>631</v>
      </c>
      <c r="D100">
        <v>0.007042494273700001</v>
      </c>
      <c r="E100">
        <v>-0.09254236819232753</v>
      </c>
      <c r="F100">
        <v>0.08</v>
      </c>
      <c r="G100">
        <v>-0.00873778749123999</v>
      </c>
      <c r="H100" t="s">
        <v>635</v>
      </c>
      <c r="I100" t="s">
        <v>300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631</v>
      </c>
      <c r="D101">
        <v>0.017728365384615</v>
      </c>
      <c r="E101">
        <v>-0.07944896073530106</v>
      </c>
      <c r="F101">
        <v>0.05</v>
      </c>
      <c r="G101">
        <v>-0.00979881474495381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HYPERLINK("https://www.suredividend.com/sure-analysis-CARR/","Carrier Global Corp.")</f>
        <v>0</v>
      </c>
      <c r="C102" t="s">
        <v>631</v>
      </c>
      <c r="D102">
        <v>0.003021148036253</v>
      </c>
      <c r="E102">
        <v>-0.084820700716705</v>
      </c>
      <c r="F102">
        <v>0.05</v>
      </c>
      <c r="G102">
        <v>-0.0119707972198434</v>
      </c>
      <c r="H102" t="s">
        <v>635</v>
      </c>
      <c r="I102" t="s">
        <v>383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631</v>
      </c>
      <c r="D103">
        <v>0.012558081125204</v>
      </c>
      <c r="E103">
        <v>-0.07474080687864426</v>
      </c>
      <c r="F103">
        <v>0.05</v>
      </c>
      <c r="G103">
        <v>-0.01201264288336734</v>
      </c>
      <c r="H103" t="s">
        <v>635</v>
      </c>
      <c r="I103" t="s">
        <v>383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631</v>
      </c>
      <c r="D104">
        <v>0.021193446565459</v>
      </c>
      <c r="E104">
        <v>-0.07521878779872981</v>
      </c>
      <c r="F104">
        <v>0.04</v>
      </c>
      <c r="G104">
        <v>-0.01273022670104673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HYPERLINK("https://www.suredividend.com/sure-analysis-MKC/","McCormick &amp; Co., Inc.")</f>
        <v>0</v>
      </c>
      <c r="C105" t="s">
        <v>631</v>
      </c>
      <c r="D105">
        <v>0.012467913458012</v>
      </c>
      <c r="E105">
        <v>-0.1043838806370551</v>
      </c>
      <c r="F105">
        <v>0.08</v>
      </c>
      <c r="G105">
        <v>-0.01409020086080948</v>
      </c>
      <c r="H105" t="s">
        <v>635</v>
      </c>
      <c r="I105" t="s">
        <v>383</v>
      </c>
    </row>
    <row r="106" spans="1:9">
      <c r="A106" s="1" t="s">
        <v>113</v>
      </c>
      <c r="B106">
        <f>HYPERLINK("https://www.suredividend.com/sure-analysis-EBAY/","eBay, Inc.")</f>
        <v>0</v>
      </c>
      <c r="C106" t="s">
        <v>631</v>
      </c>
      <c r="D106">
        <v>0.009977636332358</v>
      </c>
      <c r="E106">
        <v>-0.09138388401396547</v>
      </c>
      <c r="F106">
        <v>0.07000000000000001</v>
      </c>
      <c r="G106">
        <v>-0.01417781787624872</v>
      </c>
      <c r="H106" t="s">
        <v>635</v>
      </c>
      <c r="I106" t="s">
        <v>300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631</v>
      </c>
      <c r="D107">
        <v>0.008841985168282001</v>
      </c>
      <c r="E107">
        <v>-0.1561682357208831</v>
      </c>
      <c r="F107">
        <v>0.15</v>
      </c>
      <c r="G107">
        <v>-0.01676715179468624</v>
      </c>
      <c r="H107" t="s">
        <v>635</v>
      </c>
      <c r="I107" t="s">
        <v>383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631</v>
      </c>
      <c r="D108">
        <v>0.012060301507537</v>
      </c>
      <c r="E108">
        <v>-0.08880487548581784</v>
      </c>
      <c r="F108">
        <v>0.06</v>
      </c>
      <c r="G108">
        <v>-0.0185521986557623</v>
      </c>
      <c r="H108" t="s">
        <v>635</v>
      </c>
      <c r="I108" t="s">
        <v>383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631</v>
      </c>
      <c r="D109">
        <v>0.014889889889889</v>
      </c>
      <c r="E109">
        <v>-0.06536104934582054</v>
      </c>
      <c r="F109">
        <v>0.027</v>
      </c>
      <c r="G109">
        <v>-0.01969737719076792</v>
      </c>
      <c r="H109" t="s">
        <v>635</v>
      </c>
      <c r="I109" t="s">
        <v>636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631</v>
      </c>
      <c r="D110">
        <v>0.004767026842028</v>
      </c>
      <c r="E110">
        <v>-0.09597177938650181</v>
      </c>
      <c r="F110">
        <v>0.07000000000000001</v>
      </c>
      <c r="G110">
        <v>-0.02534061997212977</v>
      </c>
      <c r="H110" t="s">
        <v>635</v>
      </c>
      <c r="I110" t="s">
        <v>383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0.010090437361008</v>
      </c>
      <c r="E111">
        <v>-0.1037760807074989</v>
      </c>
      <c r="F111">
        <v>0.07000000000000001</v>
      </c>
      <c r="G111">
        <v>-0.02677383261237221</v>
      </c>
      <c r="H111" t="s">
        <v>635</v>
      </c>
      <c r="I111" t="s">
        <v>300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0.003415883859948</v>
      </c>
      <c r="E112">
        <v>-0.1138145488316185</v>
      </c>
      <c r="F112">
        <v>0.07000000000000001</v>
      </c>
      <c r="G112">
        <v>-0.03185998417728997</v>
      </c>
      <c r="H112" t="s">
        <v>635</v>
      </c>
      <c r="I112" t="s">
        <v>383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631</v>
      </c>
      <c r="D113">
        <v>0.007821111752663</v>
      </c>
      <c r="E113">
        <v>-0.1157320396239649</v>
      </c>
      <c r="F113">
        <v>0.08</v>
      </c>
      <c r="G113">
        <v>-0.03314525778102606</v>
      </c>
      <c r="H113" t="s">
        <v>635</v>
      </c>
      <c r="I113" t="s">
        <v>383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631</v>
      </c>
      <c r="D114">
        <v>0.014918082068239</v>
      </c>
      <c r="E114">
        <v>-0.07521878779872981</v>
      </c>
      <c r="F114">
        <v>0.02</v>
      </c>
      <c r="G114">
        <v>-0.03618488006839871</v>
      </c>
      <c r="H114" t="s">
        <v>635</v>
      </c>
      <c r="I114" t="s">
        <v>383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631</v>
      </c>
      <c r="D115">
        <v>0.007993563624094001</v>
      </c>
      <c r="E115">
        <v>-0.122910437151703</v>
      </c>
      <c r="F115">
        <v>0.08</v>
      </c>
      <c r="G115">
        <v>-0.03970814769279407</v>
      </c>
      <c r="H115" t="s">
        <v>635</v>
      </c>
      <c r="I115" t="s">
        <v>300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631</v>
      </c>
      <c r="D116">
        <v>0.008976759555017</v>
      </c>
      <c r="E116">
        <v>-0.1388355606648485</v>
      </c>
      <c r="F116">
        <v>0.095</v>
      </c>
      <c r="G116">
        <v>-0.04187617557646361</v>
      </c>
      <c r="H116" t="s">
        <v>635</v>
      </c>
      <c r="I116" t="s">
        <v>300</v>
      </c>
    </row>
    <row r="117" spans="1:9">
      <c r="A117" s="1" t="s">
        <v>124</v>
      </c>
      <c r="B117">
        <f>HYPERLINK("https://www.suredividend.com/sure-analysis-APD/","Air Products &amp; Chemicals, Inc.")</f>
        <v>0</v>
      </c>
      <c r="C117" t="s">
        <v>631</v>
      </c>
      <c r="D117">
        <v>0.016394557823129</v>
      </c>
      <c r="E117">
        <v>-0.1224561638727135</v>
      </c>
      <c r="F117">
        <v>0.06</v>
      </c>
      <c r="G117">
        <v>-0.04316982437635586</v>
      </c>
      <c r="H117" t="s">
        <v>635</v>
      </c>
      <c r="I117" t="s">
        <v>383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631</v>
      </c>
      <c r="D118">
        <v>0.007319860029993</v>
      </c>
      <c r="E118">
        <v>-0.1150504745728027</v>
      </c>
      <c r="F118">
        <v>0.06</v>
      </c>
      <c r="G118">
        <v>-0.0466581096367682</v>
      </c>
      <c r="H118" t="s">
        <v>635</v>
      </c>
      <c r="I118" t="s">
        <v>383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0.016321978913219</v>
      </c>
      <c r="E119">
        <v>-0.1135216383059823</v>
      </c>
      <c r="F119">
        <v>0.04</v>
      </c>
      <c r="G119">
        <v>-0.05297732100255326</v>
      </c>
      <c r="H119" t="s">
        <v>635</v>
      </c>
      <c r="I119" t="s">
        <v>383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0.01091492776886</v>
      </c>
      <c r="E120">
        <v>-0.1038867666339698</v>
      </c>
      <c r="F120">
        <v>0.034</v>
      </c>
      <c r="G120">
        <v>-0.05471009966954021</v>
      </c>
      <c r="H120" t="s">
        <v>635</v>
      </c>
      <c r="I120" t="s">
        <v>300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0.011219512195121</v>
      </c>
      <c r="E121">
        <v>-0.1252436825867802</v>
      </c>
      <c r="F121">
        <v>0.03</v>
      </c>
      <c r="G121">
        <v>-0.08009939558224111</v>
      </c>
      <c r="H121" t="s">
        <v>635</v>
      </c>
      <c r="I121" t="s">
        <v>383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0.002551227018708</v>
      </c>
      <c r="E122">
        <v>-0.2206484903762177</v>
      </c>
      <c r="F122">
        <v>0.08</v>
      </c>
      <c r="G122">
        <v>-0.1522025593479054</v>
      </c>
      <c r="H122" t="s">
        <v>635</v>
      </c>
      <c r="I122" t="s">
        <v>383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0.14214377959535</v>
      </c>
      <c r="E123">
        <v>0.09156765471495087</v>
      </c>
      <c r="F123">
        <v>0.015</v>
      </c>
      <c r="G123">
        <v>0.1893433798403592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631</v>
      </c>
      <c r="D124">
        <v>0.04228755537656</v>
      </c>
      <c r="E124">
        <v>0.06487943376361804</v>
      </c>
      <c r="F124">
        <v>0.057</v>
      </c>
      <c r="G124">
        <v>0.1544244505694283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HYPERLINK("https://www.suredividend.com/sure-analysis-FDX/","FedEx Corp.")</f>
        <v>0</v>
      </c>
      <c r="C125" t="s">
        <v>631</v>
      </c>
      <c r="D125">
        <v>0.015664537896132</v>
      </c>
      <c r="E125">
        <v>0.07018788966821066</v>
      </c>
      <c r="F125">
        <v>0.06</v>
      </c>
      <c r="G125">
        <v>0.1454859064255059</v>
      </c>
      <c r="H125" t="s">
        <v>636</v>
      </c>
      <c r="I125" t="s">
        <v>300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631</v>
      </c>
      <c r="D126">
        <v>0.068099173553719</v>
      </c>
      <c r="E126">
        <v>0.05212622444375081</v>
      </c>
      <c r="F126">
        <v>0.04</v>
      </c>
      <c r="G126">
        <v>0.1407753177141375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0.09713813979086401</v>
      </c>
      <c r="E127">
        <v>0.02937323885751075</v>
      </c>
      <c r="F127">
        <v>0.037</v>
      </c>
      <c r="G127">
        <v>0.1382172529656316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0.06255506607929501</v>
      </c>
      <c r="E128">
        <v>0.04286102024739691</v>
      </c>
      <c r="F128">
        <v>0.05</v>
      </c>
      <c r="G128">
        <v>0.1375180631006145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HYPERLINK("https://www.suredividend.com/sure-analysis-AXP/","American Express Co.")</f>
        <v>0</v>
      </c>
      <c r="C129" t="s">
        <v>631</v>
      </c>
      <c r="D129">
        <v>0.01765076696785</v>
      </c>
      <c r="E129">
        <v>0.04568349256506332</v>
      </c>
      <c r="F129">
        <v>0.07000000000000001</v>
      </c>
      <c r="G129">
        <v>0.1331348122675722</v>
      </c>
      <c r="H129" t="s">
        <v>636</v>
      </c>
      <c r="I129" t="s">
        <v>383</v>
      </c>
    </row>
    <row r="130" spans="1:9">
      <c r="A130" s="1" t="s">
        <v>137</v>
      </c>
      <c r="B130">
        <f>HYPERLINK("https://www.suredividend.com/sure-analysis-OMC/","Omnicom Group, Inc.")</f>
        <v>0</v>
      </c>
      <c r="C130" t="s">
        <v>631</v>
      </c>
      <c r="D130">
        <v>0.046687017417848</v>
      </c>
      <c r="E130">
        <v>0.05850009264811229</v>
      </c>
      <c r="F130">
        <v>0.035</v>
      </c>
      <c r="G130">
        <v>0.1313137409059135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631</v>
      </c>
      <c r="D131">
        <v>0.04145523453847801</v>
      </c>
      <c r="E131">
        <v>0.02457665003224108</v>
      </c>
      <c r="F131">
        <v>0.07000000000000001</v>
      </c>
      <c r="G131">
        <v>0.130394242437962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633</v>
      </c>
      <c r="D132">
        <v>0.05316843044753201</v>
      </c>
      <c r="E132">
        <v>0.01859900415338211</v>
      </c>
      <c r="F132">
        <v>0.06900000000000001</v>
      </c>
      <c r="G132">
        <v>0.1294252859863139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631</v>
      </c>
      <c r="D133">
        <v>0.024966078697421</v>
      </c>
      <c r="E133">
        <v>0.006694038286113813</v>
      </c>
      <c r="F133">
        <v>0.1</v>
      </c>
      <c r="G133">
        <v>0.1284994118427694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631</v>
      </c>
      <c r="D134">
        <v>0.07042675804161</v>
      </c>
      <c r="E134">
        <v>0.03257543946445485</v>
      </c>
      <c r="F134">
        <v>0.04</v>
      </c>
      <c r="G134">
        <v>0.1271873003293045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HYPERLINK("https://www.suredividend.com/sure-analysis-JW.A/","John Wiley &amp; Sons, Inc.")</f>
        <v>0</v>
      </c>
      <c r="C135" t="s">
        <v>631</v>
      </c>
      <c r="D135">
        <v>0.038020687727145</v>
      </c>
      <c r="E135">
        <v>0.0515932222180211</v>
      </c>
      <c r="F135">
        <v>0.045</v>
      </c>
      <c r="G135">
        <v>0.1260886292253751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631</v>
      </c>
      <c r="D136">
        <v>0.07992296581608001</v>
      </c>
      <c r="E136">
        <v>0.02500568267935077</v>
      </c>
      <c r="F136">
        <v>0.032</v>
      </c>
      <c r="G136">
        <v>0.1214789982852778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HYPERLINK("https://www.suredividend.com/sure-analysis-HRB/","H&amp;R Block, Inc.")</f>
        <v>0</v>
      </c>
      <c r="C137" t="s">
        <v>631</v>
      </c>
      <c r="D137">
        <v>0.07055630936227901</v>
      </c>
      <c r="E137">
        <v>0.04077057284809182</v>
      </c>
      <c r="F137">
        <v>0.026</v>
      </c>
      <c r="G137">
        <v>0.1193576869149457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0.045749935014296</v>
      </c>
      <c r="E138">
        <v>0.03639934317047389</v>
      </c>
      <c r="F138">
        <v>0.04</v>
      </c>
      <c r="G138">
        <v>0.1151250214555237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HYPERLINK("https://www.suredividend.com/sure-analysis-TDS/","Telephone &amp; Data Systems, Inc.")</f>
        <v>0</v>
      </c>
      <c r="C139" t="s">
        <v>631</v>
      </c>
      <c r="D139">
        <v>0.032758620689655</v>
      </c>
      <c r="E139">
        <v>0.07394092378577932</v>
      </c>
      <c r="F139">
        <v>0.015</v>
      </c>
      <c r="G139">
        <v>0.1148761063251946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HYPERLINK("https://www.suredividend.com/sure-analysis-CVS/","CVS Health Corp.")</f>
        <v>0</v>
      </c>
      <c r="C140" t="s">
        <v>631</v>
      </c>
      <c r="D140">
        <v>0.030599755201958</v>
      </c>
      <c r="E140">
        <v>0.0359922625492215</v>
      </c>
      <c r="F140">
        <v>0.05</v>
      </c>
      <c r="G140">
        <v>0.1120307663348725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631</v>
      </c>
      <c r="D141">
        <v>0.027688087774294</v>
      </c>
      <c r="E141">
        <v>-0.04757702080139914</v>
      </c>
      <c r="F141">
        <v>0.14</v>
      </c>
      <c r="G141">
        <v>0.1099963652103901</v>
      </c>
      <c r="H141" t="s">
        <v>636</v>
      </c>
      <c r="I141" t="s">
        <v>383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631</v>
      </c>
      <c r="D142">
        <v>0.031625540778721</v>
      </c>
      <c r="E142">
        <v>0.01879610935416576</v>
      </c>
      <c r="F142">
        <v>0.06</v>
      </c>
      <c r="G142">
        <v>0.1078535548702768</v>
      </c>
      <c r="H142" t="s">
        <v>636</v>
      </c>
      <c r="I142" t="s">
        <v>383</v>
      </c>
    </row>
    <row r="143" spans="1:9">
      <c r="A143" s="1" t="s">
        <v>150</v>
      </c>
      <c r="B143">
        <f>HYPERLINK("https://www.suredividend.com/sure-analysis-CMCSA/","Comcast Corp.")</f>
        <v>0</v>
      </c>
      <c r="C143" t="s">
        <v>631</v>
      </c>
      <c r="D143">
        <v>0.020388809862494</v>
      </c>
      <c r="E143">
        <v>0.01749023810408734</v>
      </c>
      <c r="F143">
        <v>0.07000000000000001</v>
      </c>
      <c r="G143">
        <v>0.1071799250238701</v>
      </c>
      <c r="H143" t="s">
        <v>636</v>
      </c>
      <c r="I143" t="s">
        <v>383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631</v>
      </c>
      <c r="D144">
        <v>0.040681850737716</v>
      </c>
      <c r="E144">
        <v>0.02243425864228787</v>
      </c>
      <c r="F144">
        <v>0.05</v>
      </c>
      <c r="G144">
        <v>0.10692653063141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HYPERLINK("https://www.suredividend.com/sure-analysis-BAYRY/","Bayer AG")</f>
        <v>0</v>
      </c>
      <c r="C145" t="s">
        <v>631</v>
      </c>
      <c r="D145">
        <v>0.042319644839067</v>
      </c>
      <c r="E145">
        <v>0.03108127907176872</v>
      </c>
      <c r="F145">
        <v>0.035</v>
      </c>
      <c r="G145">
        <v>0.103451565214284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631</v>
      </c>
      <c r="D146">
        <v>0.026882604406445</v>
      </c>
      <c r="E146">
        <v>0.01648155869130141</v>
      </c>
      <c r="F146">
        <v>0.06</v>
      </c>
      <c r="G146">
        <v>0.1009308817053447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HYPERLINK("https://www.suredividend.com/sure-analysis-UGI/","UGI Corp.")</f>
        <v>0</v>
      </c>
      <c r="C147" t="s">
        <v>631</v>
      </c>
      <c r="D147">
        <v>0.039224526600541</v>
      </c>
      <c r="E147">
        <v>0.01018996193491151</v>
      </c>
      <c r="F147">
        <v>0.056</v>
      </c>
      <c r="G147">
        <v>0.09780567808545504</v>
      </c>
      <c r="H147" t="s">
        <v>636</v>
      </c>
      <c r="I147" t="s">
        <v>635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631</v>
      </c>
      <c r="D148">
        <v>0.043472468916518</v>
      </c>
      <c r="E148">
        <v>0.02274280029674425</v>
      </c>
      <c r="F148">
        <v>0.04</v>
      </c>
      <c r="G148">
        <v>0.09767785246275484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HYPERLINK("https://www.suredividend.com/sure-analysis-ICE/","Intercontinental Exchange, Inc.")</f>
        <v>0</v>
      </c>
      <c r="C149" t="s">
        <v>631</v>
      </c>
      <c r="D149">
        <v>0.011989768730683</v>
      </c>
      <c r="E149">
        <v>-0.03138842604480219</v>
      </c>
      <c r="F149">
        <v>0.12</v>
      </c>
      <c r="G149">
        <v>0.0976590585910575</v>
      </c>
      <c r="H149" t="s">
        <v>636</v>
      </c>
      <c r="I149" t="s">
        <v>300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631</v>
      </c>
      <c r="D150">
        <v>0.04435770049680601</v>
      </c>
      <c r="E150">
        <v>0.01925802854736625</v>
      </c>
      <c r="F150">
        <v>0.04</v>
      </c>
      <c r="G150">
        <v>0.09761732356055131</v>
      </c>
      <c r="H150" t="s">
        <v>636</v>
      </c>
      <c r="I150" t="s">
        <v>635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631</v>
      </c>
      <c r="D151">
        <v>0.030160427807486</v>
      </c>
      <c r="E151">
        <v>0.009445538645739271</v>
      </c>
      <c r="F151">
        <v>0.06</v>
      </c>
      <c r="G151">
        <v>0.09675028836833333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HYPERLINK("https://www.suredividend.com/sure-analysis-GEF/","Greif, Inc.")</f>
        <v>0</v>
      </c>
      <c r="C152" t="s">
        <v>631</v>
      </c>
      <c r="D152">
        <v>0.048245614035087</v>
      </c>
      <c r="E152">
        <v>0.0285819340923652</v>
      </c>
      <c r="F152">
        <v>0.03</v>
      </c>
      <c r="G152">
        <v>0.09568907131163962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HYPERLINK("https://www.suredividend.com/sure-analysis-NTIOF/","National Bank of Canada")</f>
        <v>0</v>
      </c>
      <c r="C153" t="s">
        <v>631</v>
      </c>
      <c r="D153">
        <v>0.044536570385876</v>
      </c>
      <c r="E153">
        <v>0.01370602421054867</v>
      </c>
      <c r="F153">
        <v>0.036</v>
      </c>
      <c r="G153">
        <v>0.09496741384711682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HYPERLINK("https://www.suredividend.com/sure-analysis-RELX/","RELX Plc")</f>
        <v>0</v>
      </c>
      <c r="C154" t="s">
        <v>631</v>
      </c>
      <c r="D154">
        <v>0.024403055434308</v>
      </c>
      <c r="E154">
        <v>0.009339409406485366</v>
      </c>
      <c r="F154">
        <v>0.06</v>
      </c>
      <c r="G154">
        <v>0.0938284305960424</v>
      </c>
      <c r="H154" t="s">
        <v>636</v>
      </c>
      <c r="I154" t="s">
        <v>383</v>
      </c>
    </row>
    <row r="155" spans="1:9">
      <c r="A155" s="1" t="s">
        <v>162</v>
      </c>
      <c r="B155">
        <f>HYPERLINK("https://www.suredividend.com/sure-analysis-EMN/","Eastman Chemical Co.")</f>
        <v>0</v>
      </c>
      <c r="C155" t="s">
        <v>631</v>
      </c>
      <c r="D155">
        <v>0.033733034655422</v>
      </c>
      <c r="E155">
        <v>0.00290832067013258</v>
      </c>
      <c r="F155">
        <v>0.06</v>
      </c>
      <c r="G155">
        <v>0.09378952169509014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631</v>
      </c>
      <c r="D156">
        <v>0.035108958837772</v>
      </c>
      <c r="E156">
        <v>-0.0009163941871350723</v>
      </c>
      <c r="F156">
        <v>0.06</v>
      </c>
      <c r="G156">
        <v>0.09148464148375313</v>
      </c>
      <c r="H156" t="s">
        <v>636</v>
      </c>
      <c r="I156" t="s">
        <v>383</v>
      </c>
    </row>
    <row r="157" spans="1:9">
      <c r="A157" s="1" t="s">
        <v>164</v>
      </c>
      <c r="B157">
        <f>HYPERLINK("https://www.suredividend.com/sure-analysis-RTX/","Raytheon Technologies Corp.")</f>
        <v>0</v>
      </c>
      <c r="C157" t="s">
        <v>631</v>
      </c>
      <c r="D157">
        <v>0.047266881028938</v>
      </c>
      <c r="E157">
        <v>0.002559214542259491</v>
      </c>
      <c r="F157">
        <v>0.06</v>
      </c>
      <c r="G157">
        <v>0.08988970557106168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HYPERLINK("https://www.suredividend.com/sure-analysis-AON/","Aon Plc")</f>
        <v>0</v>
      </c>
      <c r="C158" t="s">
        <v>631</v>
      </c>
      <c r="D158">
        <v>0.002160463517627</v>
      </c>
      <c r="E158">
        <v>-0.01903571061086673</v>
      </c>
      <c r="F158">
        <v>0.1</v>
      </c>
      <c r="G158">
        <v>0.08797949400430793</v>
      </c>
      <c r="H158" t="s">
        <v>636</v>
      </c>
      <c r="I158" t="s">
        <v>558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631</v>
      </c>
      <c r="D159">
        <v>0.03727272727272701</v>
      </c>
      <c r="E159">
        <v>0.03397522653195018</v>
      </c>
      <c r="F159">
        <v>0.02</v>
      </c>
      <c r="G159">
        <v>0.08489099954504598</v>
      </c>
      <c r="H159" t="s">
        <v>636</v>
      </c>
      <c r="I159" t="s">
        <v>635</v>
      </c>
    </row>
    <row r="160" spans="1:9">
      <c r="A160" s="1" t="s">
        <v>167</v>
      </c>
      <c r="B160">
        <f>HYPERLINK("https://www.suredividend.com/sure-analysis-HNI/","HNI Corp.")</f>
        <v>0</v>
      </c>
      <c r="C160" t="s">
        <v>631</v>
      </c>
      <c r="D160">
        <v>0.039726473461413</v>
      </c>
      <c r="E160">
        <v>-0.004667264868791654</v>
      </c>
      <c r="F160">
        <v>0.055</v>
      </c>
      <c r="G160">
        <v>0.08475731254751584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HYPERLINK("https://www.suredividend.com/sure-analysis-AMAT/","Applied Materials, Inc.")</f>
        <v>0</v>
      </c>
      <c r="C161" t="s">
        <v>631</v>
      </c>
      <c r="D161">
        <v>0.013643659711075</v>
      </c>
      <c r="E161">
        <v>-0.01762486423180998</v>
      </c>
      <c r="F161">
        <v>0.09</v>
      </c>
      <c r="G161">
        <v>0.08405134553863625</v>
      </c>
      <c r="H161" t="s">
        <v>636</v>
      </c>
      <c r="I161" t="s">
        <v>300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631</v>
      </c>
      <c r="D162">
        <v>0.051794420909599</v>
      </c>
      <c r="E162">
        <v>-0.005021809460162951</v>
      </c>
      <c r="F162">
        <v>0.04</v>
      </c>
      <c r="G162">
        <v>0.08283876011014923</v>
      </c>
      <c r="H162" t="s">
        <v>636</v>
      </c>
      <c r="I162" t="s">
        <v>635</v>
      </c>
    </row>
    <row r="163" spans="1:9">
      <c r="A163" s="1" t="s">
        <v>170</v>
      </c>
      <c r="B163">
        <f>HYPERLINK("https://www.suredividend.com/sure-analysis-CTBI/","Community Trust Bancorp, Inc. (Kentucky)")</f>
        <v>0</v>
      </c>
      <c r="C163" t="s">
        <v>631</v>
      </c>
      <c r="D163">
        <v>0.047514848390121</v>
      </c>
      <c r="E163">
        <v>-0.01943417824675919</v>
      </c>
      <c r="F163">
        <v>0.06</v>
      </c>
      <c r="G163">
        <v>0.08201710740002266</v>
      </c>
      <c r="H163" t="s">
        <v>636</v>
      </c>
      <c r="I163" t="s">
        <v>635</v>
      </c>
    </row>
    <row r="164" spans="1:9">
      <c r="A164" s="1" t="s">
        <v>171</v>
      </c>
      <c r="B164">
        <f>HYPERLINK("https://www.suredividend.com/sure-analysis-CONE/","CyrusOne, Inc.")</f>
        <v>0</v>
      </c>
      <c r="C164" t="s">
        <v>633</v>
      </c>
      <c r="D164">
        <v>0.026227753245015</v>
      </c>
      <c r="E164">
        <v>-0.03978835065664932</v>
      </c>
      <c r="F164">
        <v>0.1</v>
      </c>
      <c r="G164">
        <v>0.08148753793002306</v>
      </c>
      <c r="H164" t="s">
        <v>636</v>
      </c>
      <c r="I164" t="s">
        <v>383</v>
      </c>
    </row>
    <row r="165" spans="1:9">
      <c r="A165" s="1" t="s">
        <v>172</v>
      </c>
      <c r="B165">
        <f>HYPERLINK("https://www.suredividend.com/sure-analysis-WHR/","Whirlpool Corp.")</f>
        <v>0</v>
      </c>
      <c r="C165" t="s">
        <v>631</v>
      </c>
      <c r="D165">
        <v>0.033670033670033</v>
      </c>
      <c r="E165">
        <v>-0.033867455145836</v>
      </c>
      <c r="F165">
        <v>0.09</v>
      </c>
      <c r="G165">
        <v>0.08066702273262938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HYPERLINK("https://www.suredividend.com/sure-analysis-RDEIY/","Red Eléctrica Corp. SA")</f>
        <v>0</v>
      </c>
      <c r="C166" t="s">
        <v>631</v>
      </c>
      <c r="D166">
        <v>0.060754132231404</v>
      </c>
      <c r="E166">
        <v>-0.0224754415405255</v>
      </c>
      <c r="F166">
        <v>0.05</v>
      </c>
      <c r="G166">
        <v>0.07984082458750463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HYPERLINK("https://www.suredividend.com/sure-analysis-INTC/","Intel Corp.")</f>
        <v>0</v>
      </c>
      <c r="C167" t="s">
        <v>631</v>
      </c>
      <c r="D167">
        <v>0.021249999999999</v>
      </c>
      <c r="E167">
        <v>0.009805797673485328</v>
      </c>
      <c r="F167">
        <v>0.05</v>
      </c>
      <c r="G167">
        <v>0.07973369345030301</v>
      </c>
      <c r="H167" t="s">
        <v>636</v>
      </c>
      <c r="I167" t="s">
        <v>383</v>
      </c>
    </row>
    <row r="168" spans="1:9">
      <c r="A168" s="1" t="s">
        <v>175</v>
      </c>
      <c r="B168">
        <f>HYPERLINK("https://www.suredividend.com/sure-analysis-KDP/","Keurig Dr Pepper, Inc.")</f>
        <v>0</v>
      </c>
      <c r="C168" t="s">
        <v>631</v>
      </c>
      <c r="D168">
        <v>0.020147750167897</v>
      </c>
      <c r="E168">
        <v>-0.03438709107644156</v>
      </c>
      <c r="F168">
        <v>0.1</v>
      </c>
      <c r="G168">
        <v>0.07755112759381522</v>
      </c>
      <c r="H168" t="s">
        <v>636</v>
      </c>
      <c r="I168" t="s">
        <v>300</v>
      </c>
    </row>
    <row r="169" spans="1:9">
      <c r="A169" s="1" t="s">
        <v>176</v>
      </c>
      <c r="B169">
        <f>HYPERLINK("https://www.suredividend.com/sure-analysis-DEO/","Diageo Plc")</f>
        <v>0</v>
      </c>
      <c r="C169" t="s">
        <v>631</v>
      </c>
      <c r="D169">
        <v>0.024076842105263</v>
      </c>
      <c r="E169">
        <v>-0.02431161240320701</v>
      </c>
      <c r="F169">
        <v>0.08</v>
      </c>
      <c r="G169">
        <v>0.07620870407479474</v>
      </c>
      <c r="H169" t="s">
        <v>636</v>
      </c>
      <c r="I169" t="s">
        <v>383</v>
      </c>
    </row>
    <row r="170" spans="1:9">
      <c r="A170" s="1" t="s">
        <v>177</v>
      </c>
      <c r="B170">
        <f>HYPERLINK("https://www.suredividend.com/sure-analysis-SYY/","Sysco Corp.")</f>
        <v>0</v>
      </c>
      <c r="C170" t="s">
        <v>631</v>
      </c>
      <c r="D170">
        <v>0.031013476093778</v>
      </c>
      <c r="E170">
        <v>-0.004357545451252332</v>
      </c>
      <c r="F170">
        <v>0.052</v>
      </c>
      <c r="G170">
        <v>0.07567413545812474</v>
      </c>
      <c r="H170" t="s">
        <v>636</v>
      </c>
      <c r="I170" t="s">
        <v>636</v>
      </c>
    </row>
    <row r="171" spans="1:9">
      <c r="A171" s="1" t="s">
        <v>178</v>
      </c>
      <c r="B171">
        <f>HYPERLINK("https://www.suredividend.com/sure-analysis-MRK/","Merck &amp; Co., Inc.")</f>
        <v>0</v>
      </c>
      <c r="C171" t="s">
        <v>631</v>
      </c>
      <c r="D171">
        <v>0.029047201702766</v>
      </c>
      <c r="E171">
        <v>-0.002188094715449562</v>
      </c>
      <c r="F171">
        <v>0.05</v>
      </c>
      <c r="G171">
        <v>0.07557609454665171</v>
      </c>
      <c r="H171" t="s">
        <v>636</v>
      </c>
      <c r="I171" t="s">
        <v>383</v>
      </c>
    </row>
    <row r="172" spans="1:9">
      <c r="A172" s="1" t="s">
        <v>179</v>
      </c>
      <c r="B172">
        <f>HYPERLINK("https://www.suredividend.com/sure-analysis-CTSH/","Cognizant Technology Solutions Corp.")</f>
        <v>0</v>
      </c>
      <c r="C172" t="s">
        <v>631</v>
      </c>
      <c r="D172">
        <v>0.013348526778447</v>
      </c>
      <c r="E172">
        <v>-0.008039681742614158</v>
      </c>
      <c r="F172">
        <v>0.07000000000000001</v>
      </c>
      <c r="G172">
        <v>0.07497698269942377</v>
      </c>
      <c r="H172" t="s">
        <v>636</v>
      </c>
      <c r="I172" t="s">
        <v>300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631</v>
      </c>
      <c r="D173">
        <v>0.032986599194077</v>
      </c>
      <c r="E173">
        <v>-0.005131583306153154</v>
      </c>
      <c r="F173">
        <v>0.05</v>
      </c>
      <c r="G173">
        <v>0.07493394355204375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HYPERLINK("https://www.suredividend.com/sure-analysis-GILD/","Gilead Sciences, Inc.")</f>
        <v>0</v>
      </c>
      <c r="C174" t="s">
        <v>631</v>
      </c>
      <c r="D174">
        <v>0.033157011998451</v>
      </c>
      <c r="E174">
        <v>-0.009225554434497019</v>
      </c>
      <c r="F174">
        <v>0.05</v>
      </c>
      <c r="G174">
        <v>0.07479233882935143</v>
      </c>
      <c r="H174" t="s">
        <v>636</v>
      </c>
      <c r="I174" t="s">
        <v>636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631</v>
      </c>
      <c r="D175">
        <v>0.020621416682078</v>
      </c>
      <c r="E175">
        <v>-0.01552945450987619</v>
      </c>
      <c r="F175">
        <v>0.07000000000000001</v>
      </c>
      <c r="G175">
        <v>0.07366961920762782</v>
      </c>
      <c r="H175" t="s">
        <v>636</v>
      </c>
      <c r="I175" t="s">
        <v>300</v>
      </c>
    </row>
    <row r="176" spans="1:9">
      <c r="A176" s="1" t="s">
        <v>183</v>
      </c>
      <c r="B176">
        <f>HYPERLINK("https://www.suredividend.com/sure-analysis-TTC/","The Toro Co.")</f>
        <v>0</v>
      </c>
      <c r="C176" t="s">
        <v>631</v>
      </c>
      <c r="D176">
        <v>0.013433257918552</v>
      </c>
      <c r="E176">
        <v>-0.05605492798606959</v>
      </c>
      <c r="F176">
        <v>0.12</v>
      </c>
      <c r="G176">
        <v>0.07199879479326321</v>
      </c>
      <c r="H176" t="s">
        <v>636</v>
      </c>
      <c r="I176" t="s">
        <v>300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631</v>
      </c>
      <c r="D177">
        <v>0.028461689974394</v>
      </c>
      <c r="E177">
        <v>-0.01115820385733068</v>
      </c>
      <c r="F177">
        <v>0.055</v>
      </c>
      <c r="G177">
        <v>0.07103656979381423</v>
      </c>
      <c r="H177" t="s">
        <v>636</v>
      </c>
      <c r="I177" t="s">
        <v>383</v>
      </c>
    </row>
    <row r="178" spans="1:9">
      <c r="A178" s="1" t="s">
        <v>185</v>
      </c>
      <c r="B178">
        <f>HYPERLINK("https://www.suredividend.com/sure-analysis-KO/","The Coca-Cola Co.")</f>
        <v>0</v>
      </c>
      <c r="C178" t="s">
        <v>631</v>
      </c>
      <c r="D178">
        <v>0.034387014096539</v>
      </c>
      <c r="E178">
        <v>-0.03099567291928329</v>
      </c>
      <c r="F178">
        <v>0.07000000000000001</v>
      </c>
      <c r="G178">
        <v>0.07071944508650518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HYPERLINK("https://www.suredividend.com/sure-analysis-BAH/","Booz Allen Hamilton Holding Corp.")</f>
        <v>0</v>
      </c>
      <c r="C179" t="s">
        <v>631</v>
      </c>
      <c r="D179">
        <v>0.01439446366782</v>
      </c>
      <c r="E179">
        <v>-0.02702755820404812</v>
      </c>
      <c r="F179">
        <v>0.08</v>
      </c>
      <c r="G179">
        <v>0.07014434371813438</v>
      </c>
      <c r="H179" t="s">
        <v>636</v>
      </c>
      <c r="I179" t="s">
        <v>300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631</v>
      </c>
      <c r="D180">
        <v>0.06355769230769201</v>
      </c>
      <c r="E180">
        <v>-0.007813457628780496</v>
      </c>
      <c r="F180">
        <v>0.02</v>
      </c>
      <c r="G180">
        <v>0.06964205831310366</v>
      </c>
      <c r="H180" t="s">
        <v>636</v>
      </c>
      <c r="I180" t="s">
        <v>635</v>
      </c>
    </row>
    <row r="181" spans="1:9">
      <c r="A181" s="1" t="s">
        <v>188</v>
      </c>
      <c r="B181">
        <f>HYPERLINK("https://www.suredividend.com/sure-analysis-JACK/","Jack in the Box, Inc.")</f>
        <v>0</v>
      </c>
      <c r="C181" t="s">
        <v>631</v>
      </c>
      <c r="D181">
        <v>0.020661157024793</v>
      </c>
      <c r="E181">
        <v>-0.04660493816788391</v>
      </c>
      <c r="F181">
        <v>0.12</v>
      </c>
      <c r="G181">
        <v>0.06780246925197009</v>
      </c>
      <c r="H181" t="s">
        <v>636</v>
      </c>
      <c r="I181" t="s">
        <v>300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631</v>
      </c>
      <c r="D182">
        <v>0.03456079053648</v>
      </c>
      <c r="E182">
        <v>-0.02245928330856373</v>
      </c>
      <c r="F182">
        <v>0.05</v>
      </c>
      <c r="G182">
        <v>0.06118180110097349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HYPERLINK("https://www.suredividend.com/sure-analysis-AMGN/","Amgen, Inc.")</f>
        <v>0</v>
      </c>
      <c r="C183" t="s">
        <v>631</v>
      </c>
      <c r="D183">
        <v>0.023020970362918</v>
      </c>
      <c r="E183">
        <v>-0.05382265269188524</v>
      </c>
      <c r="F183">
        <v>0.09</v>
      </c>
      <c r="G183">
        <v>0.05843202167248318</v>
      </c>
      <c r="H183" t="s">
        <v>636</v>
      </c>
      <c r="I183" t="s">
        <v>383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632</v>
      </c>
      <c r="D184">
        <v>0.034864818617385</v>
      </c>
      <c r="E184">
        <v>-0.01935203268083685</v>
      </c>
      <c r="F184">
        <v>0.04</v>
      </c>
      <c r="G184">
        <v>0.05792459868336097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HYPERLINK("https://www.suredividend.com/sure-analysis-UVV/","Universal Corp.")</f>
        <v>0</v>
      </c>
      <c r="C185" t="s">
        <v>631</v>
      </c>
      <c r="D185">
        <v>0.07496917385943201</v>
      </c>
      <c r="E185">
        <v>-0.02900847982597765</v>
      </c>
      <c r="F185">
        <v>0.015</v>
      </c>
      <c r="G185">
        <v>0.057316779564069</v>
      </c>
      <c r="H185" t="s">
        <v>636</v>
      </c>
      <c r="I185" t="s">
        <v>635</v>
      </c>
    </row>
    <row r="186" spans="1:9">
      <c r="A186" s="1" t="s">
        <v>193</v>
      </c>
      <c r="B186">
        <f>HYPERLINK("https://www.suredividend.com/sure-analysis-TRV/","The Travelers Cos., Inc.")</f>
        <v>0</v>
      </c>
      <c r="C186" t="s">
        <v>631</v>
      </c>
      <c r="D186">
        <v>0.027526015441423</v>
      </c>
      <c r="E186">
        <v>-0.03252850998851087</v>
      </c>
      <c r="F186">
        <v>0.06</v>
      </c>
      <c r="G186">
        <v>0.05632069686109253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HYPERLINK("https://www.suredividend.com/sure-analysis-HON/","Honeywell International, Inc.")</f>
        <v>0</v>
      </c>
      <c r="C187" t="s">
        <v>631</v>
      </c>
      <c r="D187">
        <v>0.022193548387096</v>
      </c>
      <c r="E187">
        <v>-0.05469744284046052</v>
      </c>
      <c r="F187">
        <v>0.09</v>
      </c>
      <c r="G187">
        <v>0.05596353552902289</v>
      </c>
      <c r="H187" t="s">
        <v>636</v>
      </c>
      <c r="I187" t="s">
        <v>383</v>
      </c>
    </row>
    <row r="188" spans="1:9">
      <c r="A188" s="1" t="s">
        <v>195</v>
      </c>
      <c r="B188">
        <f>HYPERLINK("https://www.suredividend.com/sure-analysis-NSC/","Norfolk Southern Corp.")</f>
        <v>0</v>
      </c>
      <c r="C188" t="s">
        <v>631</v>
      </c>
      <c r="D188">
        <v>0.019548472775564</v>
      </c>
      <c r="E188">
        <v>-0.02839324863956905</v>
      </c>
      <c r="F188">
        <v>0.065</v>
      </c>
      <c r="G188">
        <v>0.05594106831218992</v>
      </c>
      <c r="H188" t="s">
        <v>636</v>
      </c>
      <c r="I188" t="s">
        <v>300</v>
      </c>
    </row>
    <row r="189" spans="1:9">
      <c r="A189" s="1" t="s">
        <v>196</v>
      </c>
      <c r="B189">
        <f>HYPERLINK("https://www.suredividend.com/sure-analysis-RSG/","Republic Services, Inc.")</f>
        <v>0</v>
      </c>
      <c r="C189" t="s">
        <v>631</v>
      </c>
      <c r="D189">
        <v>0.018280064382616</v>
      </c>
      <c r="E189">
        <v>-0.02155810546976633</v>
      </c>
      <c r="F189">
        <v>0.06</v>
      </c>
      <c r="G189">
        <v>0.05571918923493313</v>
      </c>
      <c r="H189" t="s">
        <v>636</v>
      </c>
      <c r="I189" t="s">
        <v>300</v>
      </c>
    </row>
    <row r="190" spans="1:9">
      <c r="A190" s="1" t="s">
        <v>197</v>
      </c>
      <c r="B190">
        <f>HYPERLINK("https://www.suredividend.com/sure-analysis-RE/","Everest Re Group Ltd.")</f>
        <v>0</v>
      </c>
      <c r="C190" t="s">
        <v>631</v>
      </c>
      <c r="D190">
        <v>0.026502560416853</v>
      </c>
      <c r="E190">
        <v>-0.02316727087730786</v>
      </c>
      <c r="F190">
        <v>0.05</v>
      </c>
      <c r="G190">
        <v>0.05413097300577641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631</v>
      </c>
      <c r="D191">
        <v>0.029010360843158</v>
      </c>
      <c r="E191">
        <v>0.01931769530169425</v>
      </c>
      <c r="F191">
        <v>0</v>
      </c>
      <c r="G191">
        <v>0.05322788926411248</v>
      </c>
      <c r="H191" t="s">
        <v>636</v>
      </c>
      <c r="I191" t="s">
        <v>383</v>
      </c>
    </row>
    <row r="192" spans="1:9">
      <c r="A192" s="1" t="s">
        <v>199</v>
      </c>
      <c r="B192">
        <f>HYPERLINK("https://www.suredividend.com/sure-analysis-FOXA/","Fox Corp.")</f>
        <v>0</v>
      </c>
      <c r="C192" t="s">
        <v>631</v>
      </c>
      <c r="D192">
        <v>0.018196202531645</v>
      </c>
      <c r="E192">
        <v>0.06723041804848751</v>
      </c>
      <c r="F192">
        <v>-0.03</v>
      </c>
      <c r="G192">
        <v>0.05059352938094475</v>
      </c>
      <c r="H192" t="s">
        <v>636</v>
      </c>
      <c r="I192" t="s">
        <v>383</v>
      </c>
    </row>
    <row r="193" spans="1:9">
      <c r="A193" s="1" t="s">
        <v>200</v>
      </c>
      <c r="B193">
        <f>HYPERLINK("https://www.suredividend.com/sure-analysis-XYL/","Xylem, Inc.")</f>
        <v>0</v>
      </c>
      <c r="C193" t="s">
        <v>631</v>
      </c>
      <c r="D193">
        <v>0.013198653198653</v>
      </c>
      <c r="E193">
        <v>-0.05150361601901776</v>
      </c>
      <c r="F193">
        <v>0.09</v>
      </c>
      <c r="G193">
        <v>0.04962019953454644</v>
      </c>
      <c r="H193" t="s">
        <v>636</v>
      </c>
      <c r="I193" t="s">
        <v>300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631</v>
      </c>
      <c r="D194">
        <v>0.040637235047927</v>
      </c>
      <c r="E194">
        <v>-0.02578636774497989</v>
      </c>
      <c r="F194">
        <v>0.035</v>
      </c>
      <c r="G194">
        <v>0.04919128672522599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HYPERLINK("https://www.suredividend.com/sure-analysis-UBSI/","United Bankshares, Inc. (West Virginia)")</f>
        <v>0</v>
      </c>
      <c r="C195" t="s">
        <v>631</v>
      </c>
      <c r="D195">
        <v>0.051205936920222</v>
      </c>
      <c r="E195">
        <v>-0.02291916598963473</v>
      </c>
      <c r="F195">
        <v>0.02</v>
      </c>
      <c r="G195">
        <v>0.0472136769652447</v>
      </c>
      <c r="H195" t="s">
        <v>636</v>
      </c>
      <c r="I195" t="s">
        <v>635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631</v>
      </c>
      <c r="D196">
        <v>0.027192454893384</v>
      </c>
      <c r="E196">
        <v>-0.014521751006353</v>
      </c>
      <c r="F196">
        <v>0.036</v>
      </c>
      <c r="G196">
        <v>0.04710946459268683</v>
      </c>
      <c r="H196" t="s">
        <v>636</v>
      </c>
      <c r="I196" t="s">
        <v>383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0.021430217374606</v>
      </c>
      <c r="E197">
        <v>-0.04763262614660613</v>
      </c>
      <c r="F197">
        <v>0.07000000000000001</v>
      </c>
      <c r="G197">
        <v>0.0440788158467178</v>
      </c>
      <c r="H197" t="s">
        <v>636</v>
      </c>
      <c r="I197" t="s">
        <v>300</v>
      </c>
    </row>
    <row r="198" spans="1:9">
      <c r="A198" s="1" t="s">
        <v>205</v>
      </c>
      <c r="B198">
        <f>HYPERLINK("https://www.suredividend.com/sure-analysis-HSY/","The Hershey Co.")</f>
        <v>0</v>
      </c>
      <c r="C198" t="s">
        <v>631</v>
      </c>
      <c r="D198">
        <v>0.022294721407624</v>
      </c>
      <c r="E198">
        <v>-0.03865177124638752</v>
      </c>
      <c r="F198">
        <v>0.06</v>
      </c>
      <c r="G198">
        <v>0.04299969142782434</v>
      </c>
      <c r="H198" t="s">
        <v>636</v>
      </c>
      <c r="I198" t="s">
        <v>383</v>
      </c>
    </row>
    <row r="199" spans="1:9">
      <c r="A199" s="1" t="s">
        <v>206</v>
      </c>
      <c r="B199">
        <f>HYPERLINK("https://www.suredividend.com/sure-analysis-CBU/","Community Bank System, Inc.")</f>
        <v>0</v>
      </c>
      <c r="C199" t="s">
        <v>631</v>
      </c>
      <c r="D199">
        <v>0.028465346534653</v>
      </c>
      <c r="E199">
        <v>-0.0282885149811074</v>
      </c>
      <c r="F199">
        <v>0.04</v>
      </c>
      <c r="G199">
        <v>0.0426852968157152</v>
      </c>
      <c r="H199" t="s">
        <v>636</v>
      </c>
      <c r="I199" t="s">
        <v>383</v>
      </c>
    </row>
    <row r="200" spans="1:9">
      <c r="A200" s="1" t="s">
        <v>207</v>
      </c>
      <c r="B200">
        <f>HYPERLINK("https://www.suredividend.com/sure-analysis-SAP/","SAP SE")</f>
        <v>0</v>
      </c>
      <c r="C200" t="s">
        <v>631</v>
      </c>
      <c r="D200">
        <v>0.011093550038392</v>
      </c>
      <c r="E200">
        <v>-0.0546432685698035</v>
      </c>
      <c r="F200">
        <v>0.09</v>
      </c>
      <c r="G200">
        <v>0.04262243799850318</v>
      </c>
      <c r="H200" t="s">
        <v>636</v>
      </c>
      <c r="I200" t="s">
        <v>300</v>
      </c>
    </row>
    <row r="201" spans="1:9">
      <c r="A201" s="1" t="s">
        <v>208</v>
      </c>
      <c r="B201">
        <f>HYPERLINK("https://www.suredividend.com/sure-analysis-PEG/","Public Service Enterprise Group, Inc.")</f>
        <v>0</v>
      </c>
      <c r="C201" t="s">
        <v>631</v>
      </c>
      <c r="D201">
        <v>0.034495279593318</v>
      </c>
      <c r="E201">
        <v>-0.02312177371217183</v>
      </c>
      <c r="F201">
        <v>0.03</v>
      </c>
      <c r="G201">
        <v>0.04252847036566454</v>
      </c>
      <c r="H201" t="s">
        <v>636</v>
      </c>
      <c r="I201" t="s">
        <v>383</v>
      </c>
    </row>
    <row r="202" spans="1:9">
      <c r="A202" s="1" t="s">
        <v>209</v>
      </c>
      <c r="B202">
        <f>HYPERLINK("https://www.suredividend.com/sure-analysis-CBSH/","Commerce Bancshares, Inc. (Missouri)")</f>
        <v>0</v>
      </c>
      <c r="C202" t="s">
        <v>631</v>
      </c>
      <c r="D202">
        <v>0.017939392489455</v>
      </c>
      <c r="E202">
        <v>-0.03601251249560744</v>
      </c>
      <c r="F202">
        <v>0.06</v>
      </c>
      <c r="G202">
        <v>0.04252170944130507</v>
      </c>
      <c r="H202" t="s">
        <v>636</v>
      </c>
      <c r="I202" t="s">
        <v>300</v>
      </c>
    </row>
    <row r="203" spans="1:9">
      <c r="A203" s="1" t="s">
        <v>210</v>
      </c>
      <c r="B203">
        <f>HYPERLINK("https://www.suredividend.com/sure-analysis-INTU/","Intuit, Inc.")</f>
        <v>0</v>
      </c>
      <c r="C203" t="s">
        <v>631</v>
      </c>
      <c r="D203">
        <v>0.007121374494416001</v>
      </c>
      <c r="E203">
        <v>-0.08063060775292263</v>
      </c>
      <c r="F203">
        <v>0.12</v>
      </c>
      <c r="G203">
        <v>0.03881405566785445</v>
      </c>
      <c r="H203" t="s">
        <v>636</v>
      </c>
      <c r="I203" t="s">
        <v>300</v>
      </c>
    </row>
    <row r="204" spans="1:9">
      <c r="A204" s="1" t="s">
        <v>211</v>
      </c>
      <c r="B204">
        <f>HYPERLINK("https://www.suredividend.com/sure-analysis-AOS/","A. O. Smith Corp.")</f>
        <v>0</v>
      </c>
      <c r="C204" t="s">
        <v>631</v>
      </c>
      <c r="D204">
        <v>0.018207005739164</v>
      </c>
      <c r="E204">
        <v>-0.04093749650116751</v>
      </c>
      <c r="F204">
        <v>0.06</v>
      </c>
      <c r="G204">
        <v>0.03820319629400792</v>
      </c>
      <c r="H204" t="s">
        <v>636</v>
      </c>
      <c r="I204" t="s">
        <v>383</v>
      </c>
    </row>
    <row r="205" spans="1:9">
      <c r="A205" s="1" t="s">
        <v>212</v>
      </c>
      <c r="B205">
        <f>HYPERLINK("https://www.suredividend.com/sure-analysis-UHT/","Universal Health Realty Income Trust")</f>
        <v>0</v>
      </c>
      <c r="C205" t="s">
        <v>633</v>
      </c>
      <c r="D205">
        <v>0.040330920372285</v>
      </c>
      <c r="E205">
        <v>-0.03042659181487506</v>
      </c>
      <c r="F205">
        <v>0.03</v>
      </c>
      <c r="G205">
        <v>0.03776298278436596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631</v>
      </c>
      <c r="D206">
        <v>0.036638789326961</v>
      </c>
      <c r="E206">
        <v>-0.03511730738480945</v>
      </c>
      <c r="F206">
        <v>0.035</v>
      </c>
      <c r="G206">
        <v>0.03590109025099419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631</v>
      </c>
      <c r="D207">
        <v>0.023306048203728</v>
      </c>
      <c r="E207">
        <v>-0.05582663915277397</v>
      </c>
      <c r="F207">
        <v>0.06</v>
      </c>
      <c r="G207">
        <v>0.0305757722273996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631</v>
      </c>
      <c r="D208">
        <v>0.02886900341601</v>
      </c>
      <c r="E208">
        <v>-0.05590314102634042</v>
      </c>
      <c r="F208">
        <v>0.055</v>
      </c>
      <c r="G208">
        <v>0.02998671485338655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HYPERLINK("https://www.suredividend.com/sure-analysis-TMP/","Tompkins Financial Corp.")</f>
        <v>0</v>
      </c>
      <c r="C209" t="s">
        <v>631</v>
      </c>
      <c r="D209">
        <v>0.03287141475990901</v>
      </c>
      <c r="E209">
        <v>-0.006728679731642484</v>
      </c>
      <c r="F209">
        <v>0</v>
      </c>
      <c r="G209">
        <v>0.0293412282251635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HYPERLINK("https://www.suredividend.com/sure-analysis-UNP/","Union Pacific Corp.")</f>
        <v>0</v>
      </c>
      <c r="C210" t="s">
        <v>631</v>
      </c>
      <c r="D210">
        <v>0.020910344827586</v>
      </c>
      <c r="E210">
        <v>-0.06002841519195845</v>
      </c>
      <c r="F210">
        <v>0.07000000000000001</v>
      </c>
      <c r="G210">
        <v>0.02894569951236248</v>
      </c>
      <c r="H210" t="s">
        <v>636</v>
      </c>
      <c r="I210" t="s">
        <v>383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631</v>
      </c>
      <c r="D211">
        <v>0.033075914323182</v>
      </c>
      <c r="E211">
        <v>-0.0364546245268843</v>
      </c>
      <c r="F211">
        <v>0.03</v>
      </c>
      <c r="G211">
        <v>0.0283102149902148</v>
      </c>
      <c r="H211" t="s">
        <v>636</v>
      </c>
      <c r="I211" t="s">
        <v>383</v>
      </c>
    </row>
    <row r="212" spans="1:9">
      <c r="A212" s="1" t="s">
        <v>219</v>
      </c>
      <c r="B212">
        <f>HYPERLINK("https://www.suredividend.com/sure-analysis-NVO/","Novo Nordisk A/S")</f>
        <v>0</v>
      </c>
      <c r="C212" t="s">
        <v>631</v>
      </c>
      <c r="D212">
        <v>0.01834152151258</v>
      </c>
      <c r="E212">
        <v>-0.05359077349473385</v>
      </c>
      <c r="F212">
        <v>0.06</v>
      </c>
      <c r="G212">
        <v>0.0259998783035027</v>
      </c>
      <c r="H212" t="s">
        <v>636</v>
      </c>
      <c r="I212" t="s">
        <v>300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631</v>
      </c>
      <c r="D213">
        <v>0.016803476581361</v>
      </c>
      <c r="E213">
        <v>-0.05029663511226534</v>
      </c>
      <c r="F213">
        <v>0.06</v>
      </c>
      <c r="G213">
        <v>0.0252195380257656</v>
      </c>
      <c r="H213" t="s">
        <v>636</v>
      </c>
      <c r="I213" t="s">
        <v>300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631</v>
      </c>
      <c r="D214">
        <v>0.022749828231162</v>
      </c>
      <c r="E214">
        <v>-0.03965091459681391</v>
      </c>
      <c r="F214">
        <v>0.04</v>
      </c>
      <c r="G214">
        <v>0.02344292962274497</v>
      </c>
      <c r="H214" t="s">
        <v>636</v>
      </c>
      <c r="I214" t="s">
        <v>383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631</v>
      </c>
      <c r="D215">
        <v>0.020010354646647</v>
      </c>
      <c r="E215">
        <v>-0.04930916031739041</v>
      </c>
      <c r="F215">
        <v>0.05</v>
      </c>
      <c r="G215">
        <v>0.02318058600926642</v>
      </c>
      <c r="H215" t="s">
        <v>636</v>
      </c>
      <c r="I215" t="s">
        <v>300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631</v>
      </c>
      <c r="D216">
        <v>0.02517234175893</v>
      </c>
      <c r="E216">
        <v>-0.05540027532208847</v>
      </c>
      <c r="F216">
        <v>0.05</v>
      </c>
      <c r="G216">
        <v>0.02132889285446415</v>
      </c>
      <c r="H216" t="s">
        <v>636</v>
      </c>
      <c r="I216" t="s">
        <v>383</v>
      </c>
    </row>
    <row r="217" spans="1:9">
      <c r="A217" s="1" t="s">
        <v>224</v>
      </c>
      <c r="B217">
        <f>HYPERLINK("https://www.suredividend.com/sure-analysis-NUE/","Nucor Corp.")</f>
        <v>0</v>
      </c>
      <c r="C217" t="s">
        <v>631</v>
      </c>
      <c r="D217">
        <v>0.038899660688317</v>
      </c>
      <c r="E217">
        <v>-0.2062516678742284</v>
      </c>
      <c r="F217">
        <v>0.231</v>
      </c>
      <c r="G217">
        <v>0.0191258978647606</v>
      </c>
      <c r="H217" t="s">
        <v>636</v>
      </c>
      <c r="I217" t="s">
        <v>636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0.037517053206002</v>
      </c>
      <c r="E218">
        <v>-0.03925207502264749</v>
      </c>
      <c r="F218">
        <v>0.01</v>
      </c>
      <c r="G218">
        <v>0.01886278221404059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631</v>
      </c>
      <c r="D219">
        <v>0.012691302724897</v>
      </c>
      <c r="E219">
        <v>-0.08910710699451319</v>
      </c>
      <c r="F219">
        <v>0.1</v>
      </c>
      <c r="G219">
        <v>0.01844722289461376</v>
      </c>
      <c r="H219" t="s">
        <v>636</v>
      </c>
      <c r="I219" t="s">
        <v>300</v>
      </c>
    </row>
    <row r="220" spans="1:9">
      <c r="A220" s="1" t="s">
        <v>227</v>
      </c>
      <c r="B220">
        <f>HYPERLINK("https://www.suredividend.com/sure-analysis-BLK/","BlackRock, Inc.")</f>
        <v>0</v>
      </c>
      <c r="C220" t="s">
        <v>631</v>
      </c>
      <c r="D220">
        <v>0.023582658408766</v>
      </c>
      <c r="E220">
        <v>-0.07733421495476167</v>
      </c>
      <c r="F220">
        <v>0.07000000000000001</v>
      </c>
      <c r="G220">
        <v>0.01736822829696205</v>
      </c>
      <c r="H220" t="s">
        <v>636</v>
      </c>
      <c r="I220" t="s">
        <v>383</v>
      </c>
    </row>
    <row r="221" spans="1:9">
      <c r="A221" s="1" t="s">
        <v>228</v>
      </c>
      <c r="B221">
        <f>HYPERLINK("https://www.suredividend.com/sure-analysis-QCOM/","QUALCOMM, Inc.")</f>
        <v>0</v>
      </c>
      <c r="C221" t="s">
        <v>631</v>
      </c>
      <c r="D221">
        <v>0.026889298492898</v>
      </c>
      <c r="E221">
        <v>-0.08239492183901576</v>
      </c>
      <c r="F221">
        <v>0.07000000000000001</v>
      </c>
      <c r="G221">
        <v>0.01663537249124003</v>
      </c>
      <c r="H221" t="s">
        <v>636</v>
      </c>
      <c r="I221" t="s">
        <v>383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631</v>
      </c>
      <c r="D222">
        <v>0.026538164144482</v>
      </c>
      <c r="E222">
        <v>-0.0670089219478035</v>
      </c>
      <c r="F222">
        <v>0.052</v>
      </c>
      <c r="G222">
        <v>0.01437989756323721</v>
      </c>
      <c r="H222" t="s">
        <v>636</v>
      </c>
      <c r="I222" t="s">
        <v>383</v>
      </c>
    </row>
    <row r="223" spans="1:9">
      <c r="A223" s="1" t="s">
        <v>230</v>
      </c>
      <c r="B223">
        <f>HYPERLINK("https://www.suredividend.com/sure-analysis-ITW/","Illinois Tool Works, Inc.")</f>
        <v>0</v>
      </c>
      <c r="C223" t="s">
        <v>631</v>
      </c>
      <c r="D223">
        <v>0.023121704745166</v>
      </c>
      <c r="E223">
        <v>-0.09424206624574094</v>
      </c>
      <c r="F223">
        <v>0.09</v>
      </c>
      <c r="G223">
        <v>0.0129585073220706</v>
      </c>
      <c r="H223" t="s">
        <v>636</v>
      </c>
      <c r="I223" t="s">
        <v>636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631</v>
      </c>
      <c r="D224">
        <v>0.028246641405442</v>
      </c>
      <c r="E224">
        <v>-0.03734018932483441</v>
      </c>
      <c r="F224">
        <v>0.02</v>
      </c>
      <c r="G224">
        <v>0.01223293073801379</v>
      </c>
      <c r="H224" t="s">
        <v>636</v>
      </c>
      <c r="I224" t="s">
        <v>383</v>
      </c>
    </row>
    <row r="225" spans="1:9">
      <c r="A225" s="1" t="s">
        <v>232</v>
      </c>
      <c r="B225">
        <f>HYPERLINK("https://www.suredividend.com/sure-analysis-DIS/","The Walt Disney Co.")</f>
        <v>0</v>
      </c>
      <c r="C225" t="s">
        <v>631</v>
      </c>
      <c r="D225">
        <v>0.014833544037083</v>
      </c>
      <c r="E225">
        <v>-0.04148106156512166</v>
      </c>
      <c r="F225">
        <v>0.036</v>
      </c>
      <c r="G225">
        <v>0.009916044919832112</v>
      </c>
      <c r="H225" t="s">
        <v>636</v>
      </c>
      <c r="I225" t="s">
        <v>300</v>
      </c>
    </row>
    <row r="226" spans="1:9">
      <c r="A226" s="1" t="s">
        <v>233</v>
      </c>
      <c r="B226">
        <f>HYPERLINK("https://www.suredividend.com/sure-analysis-INFY/","Infosys Ltd.")</f>
        <v>0</v>
      </c>
      <c r="C226" t="s">
        <v>631</v>
      </c>
      <c r="D226">
        <v>0.019478402607986</v>
      </c>
      <c r="E226">
        <v>-0.081986464033307</v>
      </c>
      <c r="F226">
        <v>0.07000000000000001</v>
      </c>
      <c r="G226">
        <v>0.009472364099395003</v>
      </c>
      <c r="H226" t="s">
        <v>636</v>
      </c>
      <c r="I226" t="s">
        <v>300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631</v>
      </c>
      <c r="D227">
        <v>0.01766690340909</v>
      </c>
      <c r="E227">
        <v>-0.07446305640019468</v>
      </c>
      <c r="F227">
        <v>0.065</v>
      </c>
      <c r="G227">
        <v>0.008245405215006274</v>
      </c>
      <c r="H227" t="s">
        <v>636</v>
      </c>
      <c r="I227" t="s">
        <v>300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631</v>
      </c>
      <c r="D228">
        <v>0.009918986289987001</v>
      </c>
      <c r="E228">
        <v>-0.09639550555959142</v>
      </c>
      <c r="F228">
        <v>0.1</v>
      </c>
      <c r="G228">
        <v>0.007353552565394272</v>
      </c>
      <c r="H228" t="s">
        <v>636</v>
      </c>
      <c r="I228" t="s">
        <v>300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631</v>
      </c>
      <c r="D229">
        <v>0.020619548199507</v>
      </c>
      <c r="E229">
        <v>-0.08935171864677094</v>
      </c>
      <c r="F229">
        <v>0.07000000000000001</v>
      </c>
      <c r="G229">
        <v>0.001617896990115275</v>
      </c>
      <c r="H229" t="s">
        <v>636</v>
      </c>
      <c r="I229" t="s">
        <v>383</v>
      </c>
    </row>
    <row r="230" spans="1:9">
      <c r="A230" s="1" t="s">
        <v>237</v>
      </c>
      <c r="B230">
        <f>HYPERLINK("https://www.suredividend.com/sure-analysis-WM/","Waste Management, Inc.")</f>
        <v>0</v>
      </c>
      <c r="C230" t="s">
        <v>631</v>
      </c>
      <c r="D230">
        <v>0.019158233670653</v>
      </c>
      <c r="E230">
        <v>-0.06907046385103777</v>
      </c>
      <c r="F230">
        <v>0.05</v>
      </c>
      <c r="G230">
        <v>0.0004165094478847386</v>
      </c>
      <c r="H230" t="s">
        <v>636</v>
      </c>
      <c r="I230" t="s">
        <v>300</v>
      </c>
    </row>
    <row r="231" spans="1:9">
      <c r="A231" s="1" t="s">
        <v>238</v>
      </c>
      <c r="B231">
        <f>HYPERLINK("https://www.suredividend.com/sure-analysis-AMT/","American Tower Corp.")</f>
        <v>0</v>
      </c>
      <c r="C231" t="s">
        <v>633</v>
      </c>
      <c r="D231">
        <v>0.015283084404307</v>
      </c>
      <c r="E231">
        <v>-0.07975728684978256</v>
      </c>
      <c r="F231">
        <v>0.06</v>
      </c>
      <c r="G231">
        <v>-0.003469013908454999</v>
      </c>
      <c r="H231" t="s">
        <v>636</v>
      </c>
      <c r="I231" t="s">
        <v>300</v>
      </c>
    </row>
    <row r="232" spans="1:9">
      <c r="A232" s="1" t="s">
        <v>239</v>
      </c>
      <c r="B232">
        <f>HYPERLINK("https://www.suredividend.com/sure-analysis-GPS/","Gap, Inc.")</f>
        <v>0</v>
      </c>
      <c r="C232" t="s">
        <v>631</v>
      </c>
      <c r="D232">
        <v>0.037626066718386</v>
      </c>
      <c r="E232">
        <v>-0.01420714576401161</v>
      </c>
      <c r="F232">
        <v>0.01</v>
      </c>
      <c r="G232">
        <v>-0.004349217221651713</v>
      </c>
      <c r="H232" t="s">
        <v>636</v>
      </c>
      <c r="I232" t="s">
        <v>636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631</v>
      </c>
      <c r="D233">
        <v>0.024777827986142</v>
      </c>
      <c r="E233">
        <v>-0.0789780053692829</v>
      </c>
      <c r="F233">
        <v>0.04</v>
      </c>
      <c r="G233">
        <v>-0.009756506416739419</v>
      </c>
      <c r="H233" t="s">
        <v>636</v>
      </c>
      <c r="I233" t="s">
        <v>383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631</v>
      </c>
      <c r="D234">
        <v>0.014789777411376</v>
      </c>
      <c r="E234">
        <v>-0.08688393245743165</v>
      </c>
      <c r="F234">
        <v>0.06</v>
      </c>
      <c r="G234">
        <v>-0.01080184000470463</v>
      </c>
      <c r="H234" t="s">
        <v>636</v>
      </c>
      <c r="I234" t="s">
        <v>300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631</v>
      </c>
      <c r="D235">
        <v>0.018701430750236</v>
      </c>
      <c r="E235">
        <v>-0.1017883242922422</v>
      </c>
      <c r="F235">
        <v>0.07000000000000001</v>
      </c>
      <c r="G235">
        <v>-0.01123255964126679</v>
      </c>
      <c r="H235" t="s">
        <v>636</v>
      </c>
      <c r="I235" t="s">
        <v>300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631</v>
      </c>
      <c r="D236">
        <v>0.023412146499768</v>
      </c>
      <c r="E236">
        <v>-0.09286244549355771</v>
      </c>
      <c r="F236">
        <v>0.05</v>
      </c>
      <c r="G236">
        <v>-0.01599427858307279</v>
      </c>
      <c r="H236" t="s">
        <v>636</v>
      </c>
      <c r="I236" t="s">
        <v>383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0.007738693467336</v>
      </c>
      <c r="E237">
        <v>-0.1320901847582497</v>
      </c>
      <c r="F237">
        <v>0.12</v>
      </c>
      <c r="G237">
        <v>-0.01643120671352727</v>
      </c>
      <c r="H237" t="s">
        <v>636</v>
      </c>
      <c r="I237" t="s">
        <v>300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0.007347817824792001</v>
      </c>
      <c r="E238">
        <v>-0.08727472265329772</v>
      </c>
      <c r="F238">
        <v>0.06</v>
      </c>
      <c r="G238">
        <v>-0.0217713167386322</v>
      </c>
      <c r="H238" t="s">
        <v>636</v>
      </c>
      <c r="I238" t="s">
        <v>300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0.022911694510739</v>
      </c>
      <c r="E239">
        <v>-0.1017640924321761</v>
      </c>
      <c r="F239">
        <v>0.05</v>
      </c>
      <c r="G239">
        <v>-0.02542199229212172</v>
      </c>
      <c r="H239" t="s">
        <v>636</v>
      </c>
      <c r="I239" t="s">
        <v>383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631</v>
      </c>
      <c r="D240">
        <v>0.0161183417691</v>
      </c>
      <c r="E240">
        <v>-0.0874909621317862</v>
      </c>
      <c r="F240">
        <v>0.04</v>
      </c>
      <c r="G240">
        <v>-0.03031453936039896</v>
      </c>
      <c r="H240" t="s">
        <v>636</v>
      </c>
      <c r="I240" t="s">
        <v>300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631</v>
      </c>
      <c r="D241">
        <v>0.018565548646991</v>
      </c>
      <c r="E241">
        <v>-0.09584226177389532</v>
      </c>
      <c r="F241">
        <v>0.04</v>
      </c>
      <c r="G241">
        <v>-0.03432338685583847</v>
      </c>
      <c r="H241" t="s">
        <v>636</v>
      </c>
      <c r="I241" t="s">
        <v>383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0.01830585001963</v>
      </c>
      <c r="E242">
        <v>-0.1143934715843039</v>
      </c>
      <c r="F242">
        <v>0.055</v>
      </c>
      <c r="G242">
        <v>-0.03845914729896205</v>
      </c>
      <c r="H242" t="s">
        <v>636</v>
      </c>
      <c r="I242" t="s">
        <v>300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0.009945300845350001</v>
      </c>
      <c r="E243">
        <v>-0.1159828380043445</v>
      </c>
      <c r="F243">
        <v>0.065</v>
      </c>
      <c r="G243">
        <v>-0.0432653655632611</v>
      </c>
      <c r="H243" t="s">
        <v>636</v>
      </c>
      <c r="I243" t="s">
        <v>300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0.128182769445413</v>
      </c>
      <c r="E244">
        <v>0.1039109290182172</v>
      </c>
      <c r="F244">
        <v>0.05</v>
      </c>
      <c r="G244">
        <v>0.2348511028190021</v>
      </c>
      <c r="H244" t="s">
        <v>383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0.18856259659969</v>
      </c>
      <c r="E245">
        <v>0.05359815411586566</v>
      </c>
      <c r="F245">
        <v>0.074</v>
      </c>
      <c r="G245">
        <v>0.2253300062317594</v>
      </c>
      <c r="H245" t="s">
        <v>383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0.0351092059604</v>
      </c>
      <c r="E246">
        <v>0.1057972762882391</v>
      </c>
      <c r="F246">
        <v>0.075</v>
      </c>
      <c r="G246">
        <v>0.2095201303579932</v>
      </c>
      <c r="H246" t="s">
        <v>383</v>
      </c>
      <c r="I246" t="s">
        <v>383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0.08926080892608</v>
      </c>
      <c r="E247">
        <v>0.1263797634464974</v>
      </c>
      <c r="F247">
        <v>0.01</v>
      </c>
      <c r="G247">
        <v>0.1865438968951199</v>
      </c>
      <c r="H247" t="s">
        <v>383</v>
      </c>
      <c r="I247" t="s">
        <v>635</v>
      </c>
    </row>
    <row r="248" spans="1:9">
      <c r="A248" s="1" t="s">
        <v>255</v>
      </c>
      <c r="B248">
        <f>HYPERLINK("https://www.suredividend.com/sure-analysis-NC/","NACCO Industries, Inc.")</f>
        <v>0</v>
      </c>
      <c r="C248" t="s">
        <v>631</v>
      </c>
      <c r="D248">
        <v>0.03295750216825601</v>
      </c>
      <c r="E248">
        <v>0.1430642500337123</v>
      </c>
      <c r="F248">
        <v>0.01</v>
      </c>
      <c r="G248">
        <v>0.1796498438887133</v>
      </c>
      <c r="H248" t="s">
        <v>383</v>
      </c>
      <c r="I248" t="s">
        <v>383</v>
      </c>
    </row>
    <row r="249" spans="1:9">
      <c r="A249" s="1" t="s">
        <v>256</v>
      </c>
      <c r="B249">
        <f>HYPERLINK("https://www.suredividend.com/sure-analysis-MMP/","Magellan Midstream Partners LP")</f>
        <v>0</v>
      </c>
      <c r="C249" t="s">
        <v>632</v>
      </c>
      <c r="D249">
        <v>0.09557959087702701</v>
      </c>
      <c r="E249">
        <v>0.05657061693930299</v>
      </c>
      <c r="F249">
        <v>0.05</v>
      </c>
      <c r="G249">
        <v>0.175187252279341</v>
      </c>
      <c r="H249" t="s">
        <v>383</v>
      </c>
      <c r="I249" t="s">
        <v>635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0.144779332615715</v>
      </c>
      <c r="E250">
        <v>0.04360565865274824</v>
      </c>
      <c r="F250">
        <v>0.02</v>
      </c>
      <c r="G250">
        <v>0.1657561094724116</v>
      </c>
      <c r="H250" t="s">
        <v>383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0.049427095034823</v>
      </c>
      <c r="E251">
        <v>0.07195509059860528</v>
      </c>
      <c r="F251">
        <v>0.05</v>
      </c>
      <c r="G251">
        <v>0.1607704039358047</v>
      </c>
      <c r="H251" t="s">
        <v>383</v>
      </c>
      <c r="I251" t="s">
        <v>383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631</v>
      </c>
      <c r="D252">
        <v>0.026377036462373</v>
      </c>
      <c r="E252">
        <v>0.05691290523771753</v>
      </c>
      <c r="F252">
        <v>0.07000000000000001</v>
      </c>
      <c r="G252">
        <v>0.1538503003923</v>
      </c>
      <c r="H252" t="s">
        <v>383</v>
      </c>
      <c r="I252" t="s">
        <v>300</v>
      </c>
    </row>
    <row r="253" spans="1:9">
      <c r="A253" s="1" t="s">
        <v>260</v>
      </c>
      <c r="B253">
        <f>HYPERLINK("https://www.suredividend.com/sure-analysis-NTAP/","NetApp, Inc.")</f>
        <v>0</v>
      </c>
      <c r="C253" t="s">
        <v>631</v>
      </c>
      <c r="D253">
        <v>0.042847578665476</v>
      </c>
      <c r="E253">
        <v>0.06012056973106783</v>
      </c>
      <c r="F253">
        <v>0.06</v>
      </c>
      <c r="G253">
        <v>0.1537475003543649</v>
      </c>
      <c r="H253" t="s">
        <v>383</v>
      </c>
      <c r="I253" t="s">
        <v>383</v>
      </c>
    </row>
    <row r="254" spans="1:9">
      <c r="A254" s="1" t="s">
        <v>261</v>
      </c>
      <c r="B254">
        <f>HYPERLINK("https://www.suredividend.com/sure-analysis-SAXPY/","Sampo Oyj")</f>
        <v>0</v>
      </c>
      <c r="C254" t="s">
        <v>631</v>
      </c>
      <c r="D254">
        <v>0.109510117145899</v>
      </c>
      <c r="E254">
        <v>0.06722392333735083</v>
      </c>
      <c r="F254">
        <v>0.046</v>
      </c>
      <c r="G254">
        <v>0.1511006617765147</v>
      </c>
      <c r="H254" t="s">
        <v>383</v>
      </c>
      <c r="I254" t="s">
        <v>635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631</v>
      </c>
      <c r="D255">
        <v>0.07409411075715901</v>
      </c>
      <c r="E255">
        <v>0.0383073174583668</v>
      </c>
      <c r="F255">
        <v>0.05</v>
      </c>
      <c r="G255">
        <v>0.1467155455284628</v>
      </c>
      <c r="H255" t="s">
        <v>383</v>
      </c>
      <c r="I255" t="s">
        <v>635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631</v>
      </c>
      <c r="D256">
        <v>0.06411752009664901</v>
      </c>
      <c r="E256">
        <v>0.07919833569830548</v>
      </c>
      <c r="F256">
        <v>0.02</v>
      </c>
      <c r="G256">
        <v>0.1466996614589275</v>
      </c>
      <c r="H256" t="s">
        <v>383</v>
      </c>
      <c r="I256" t="s">
        <v>635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631</v>
      </c>
      <c r="D257">
        <v>0.06392266916120901</v>
      </c>
      <c r="E257">
        <v>0.05543153468985262</v>
      </c>
      <c r="F257">
        <v>0.04</v>
      </c>
      <c r="G257">
        <v>0.1463509194888484</v>
      </c>
      <c r="H257" t="s">
        <v>383</v>
      </c>
      <c r="I257" t="s">
        <v>636</v>
      </c>
    </row>
    <row r="258" spans="1:9">
      <c r="A258" s="1" t="s">
        <v>265</v>
      </c>
      <c r="B258">
        <f>HYPERLINK("https://www.suredividend.com/sure-analysis-TAP/","Molson Coors Beverage Co.")</f>
        <v>0</v>
      </c>
      <c r="C258" t="s">
        <v>631</v>
      </c>
      <c r="D258">
        <v>0.058758314855875</v>
      </c>
      <c r="E258">
        <v>0.0497799179620122</v>
      </c>
      <c r="F258">
        <v>0.05</v>
      </c>
      <c r="G258">
        <v>0.1455220729392157</v>
      </c>
      <c r="H258" t="s">
        <v>383</v>
      </c>
      <c r="I258" t="s">
        <v>636</v>
      </c>
    </row>
    <row r="259" spans="1:9">
      <c r="A259" s="1" t="s">
        <v>266</v>
      </c>
      <c r="B259">
        <f>HYPERLINK("https://www.suredividend.com/sure-analysis-MDP/","Meredith Corp.")</f>
        <v>0</v>
      </c>
      <c r="C259" t="s">
        <v>631</v>
      </c>
      <c r="D259">
        <v>0.162464985994397</v>
      </c>
      <c r="E259">
        <v>0.1000183393520155</v>
      </c>
      <c r="F259">
        <v>0.015</v>
      </c>
      <c r="G259">
        <v>0.1425800621120301</v>
      </c>
      <c r="H259" t="s">
        <v>383</v>
      </c>
      <c r="I259" t="s">
        <v>635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631</v>
      </c>
      <c r="D260">
        <v>0.022253736227773</v>
      </c>
      <c r="E260">
        <v>0.06398757483618178</v>
      </c>
      <c r="F260">
        <v>0.05</v>
      </c>
      <c r="G260">
        <v>0.1357152298436846</v>
      </c>
      <c r="H260" t="s">
        <v>383</v>
      </c>
      <c r="I260" t="s">
        <v>300</v>
      </c>
    </row>
    <row r="261" spans="1:9">
      <c r="A261" s="1" t="s">
        <v>268</v>
      </c>
      <c r="B261">
        <f>HYPERLINK("https://www.suredividend.com/sure-analysis-BAC/","Bank of America Corp.")</f>
        <v>0</v>
      </c>
      <c r="C261" t="s">
        <v>631</v>
      </c>
      <c r="D261">
        <v>0.031007751937984</v>
      </c>
      <c r="E261">
        <v>0.04545936310054444</v>
      </c>
      <c r="F261">
        <v>0.06</v>
      </c>
      <c r="G261">
        <v>0.1345256567228428</v>
      </c>
      <c r="H261" t="s">
        <v>383</v>
      </c>
      <c r="I261" t="s">
        <v>300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631</v>
      </c>
      <c r="D262">
        <v>0.094822234762979</v>
      </c>
      <c r="E262">
        <v>0.04421948457992309</v>
      </c>
      <c r="F262">
        <v>0.03</v>
      </c>
      <c r="G262">
        <v>0.130328329510893</v>
      </c>
      <c r="H262" t="s">
        <v>383</v>
      </c>
      <c r="I262" t="s">
        <v>635</v>
      </c>
    </row>
    <row r="263" spans="1:9">
      <c r="A263" s="1" t="s">
        <v>270</v>
      </c>
      <c r="B263">
        <f>HYPERLINK("https://www.suredividend.com/sure-analysis-BMO/","Bank of Montreal")</f>
        <v>0</v>
      </c>
      <c r="C263" t="s">
        <v>631</v>
      </c>
      <c r="D263">
        <v>0.056936844855737</v>
      </c>
      <c r="E263">
        <v>0.06984389813486769</v>
      </c>
      <c r="F263">
        <v>0.012</v>
      </c>
      <c r="G263">
        <v>0.1251119587801568</v>
      </c>
      <c r="H263" t="s">
        <v>383</v>
      </c>
      <c r="I263" t="s">
        <v>636</v>
      </c>
    </row>
    <row r="264" spans="1:9">
      <c r="A264" s="1" t="s">
        <v>271</v>
      </c>
      <c r="B264">
        <f>HYPERLINK("https://www.suredividend.com/sure-analysis-ERF/","Enerplus Corp.")</f>
        <v>0</v>
      </c>
      <c r="C264" t="s">
        <v>631</v>
      </c>
      <c r="D264">
        <v>0.035640535375468</v>
      </c>
      <c r="E264">
        <v>0.03944992168882666</v>
      </c>
      <c r="F264">
        <v>0.057</v>
      </c>
      <c r="G264">
        <v>0.122093096824569</v>
      </c>
      <c r="H264" t="s">
        <v>383</v>
      </c>
      <c r="I264" t="s">
        <v>383</v>
      </c>
    </row>
    <row r="265" spans="1:9">
      <c r="A265" s="1" t="s">
        <v>272</v>
      </c>
      <c r="B265">
        <f>HYPERLINK("https://www.suredividend.com/sure-analysis-OPI/","Office Properties Income Trust")</f>
        <v>0</v>
      </c>
      <c r="C265" t="s">
        <v>633</v>
      </c>
      <c r="D265">
        <v>0.08627450980392101</v>
      </c>
      <c r="E265">
        <v>0.04645837861673296</v>
      </c>
      <c r="F265">
        <v>0.01</v>
      </c>
      <c r="G265">
        <v>0.1184636122696152</v>
      </c>
      <c r="H265" t="s">
        <v>383</v>
      </c>
      <c r="I265" t="s">
        <v>636</v>
      </c>
    </row>
    <row r="266" spans="1:9">
      <c r="A266" s="1" t="s">
        <v>273</v>
      </c>
      <c r="B266">
        <f>HYPERLINK("https://www.suredividend.com/sure-analysis-MSM/","MSC Industrial Direct Co., Inc.")</f>
        <v>0</v>
      </c>
      <c r="C266" t="s">
        <v>631</v>
      </c>
      <c r="D266">
        <v>0.044977511244377</v>
      </c>
      <c r="E266">
        <v>0.01821479980672103</v>
      </c>
      <c r="F266">
        <v>0.06</v>
      </c>
      <c r="G266">
        <v>0.115294318236614</v>
      </c>
      <c r="H266" t="s">
        <v>383</v>
      </c>
      <c r="I266" t="s">
        <v>636</v>
      </c>
    </row>
    <row r="267" spans="1:9">
      <c r="A267" s="1" t="s">
        <v>274</v>
      </c>
      <c r="B267">
        <f>HYPERLINK("https://www.suredividend.com/sure-analysis-MCY/","Mercury General Corp.")</f>
        <v>0</v>
      </c>
      <c r="C267" t="s">
        <v>631</v>
      </c>
      <c r="D267">
        <v>0.061416361416361</v>
      </c>
      <c r="E267">
        <v>0.05294186284116886</v>
      </c>
      <c r="F267">
        <v>0.015</v>
      </c>
      <c r="G267">
        <v>0.1127924974086403</v>
      </c>
      <c r="H267" t="s">
        <v>383</v>
      </c>
      <c r="I267" t="s">
        <v>636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631</v>
      </c>
      <c r="D268">
        <v>0.025619487610247</v>
      </c>
      <c r="E268">
        <v>0.07067357061530655</v>
      </c>
      <c r="F268">
        <v>0.02</v>
      </c>
      <c r="G268">
        <v>0.11143213559793</v>
      </c>
      <c r="H268" t="s">
        <v>383</v>
      </c>
      <c r="I268" t="s">
        <v>300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632</v>
      </c>
      <c r="D269">
        <v>0.047065592635212</v>
      </c>
      <c r="E269">
        <v>-0.006765258584785605</v>
      </c>
      <c r="F269">
        <v>0.08</v>
      </c>
      <c r="G269">
        <v>0.1113030951318157</v>
      </c>
      <c r="H269" t="s">
        <v>383</v>
      </c>
      <c r="I269" t="s">
        <v>636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631</v>
      </c>
      <c r="D270">
        <v>0.034330011074197</v>
      </c>
      <c r="E270">
        <v>0.04025781458810163</v>
      </c>
      <c r="F270">
        <v>0.04</v>
      </c>
      <c r="G270">
        <v>0.1102897947108974</v>
      </c>
      <c r="H270" t="s">
        <v>383</v>
      </c>
      <c r="I270" t="s">
        <v>383</v>
      </c>
    </row>
    <row r="271" spans="1:9">
      <c r="A271" s="1" t="s">
        <v>278</v>
      </c>
      <c r="B271">
        <f>HYPERLINK("https://www.suredividend.com/sure-analysis-CM/","Canadian Imperial Bank of Commerce")</f>
        <v>0</v>
      </c>
      <c r="C271" t="s">
        <v>631</v>
      </c>
      <c r="D271">
        <v>0.06227899782425501</v>
      </c>
      <c r="E271">
        <v>0.04512357682705881</v>
      </c>
      <c r="F271">
        <v>0.012</v>
      </c>
      <c r="G271">
        <v>0.1071523558240774</v>
      </c>
      <c r="H271" t="s">
        <v>383</v>
      </c>
      <c r="I271" t="s">
        <v>635</v>
      </c>
    </row>
    <row r="272" spans="1:9">
      <c r="A272" s="1" t="s">
        <v>279</v>
      </c>
      <c r="B272">
        <f>HYPERLINK("https://www.suredividend.com/sure-analysis-ORI/","Old Republic International Corp.")</f>
        <v>0</v>
      </c>
      <c r="C272" t="s">
        <v>631</v>
      </c>
      <c r="D272">
        <v>0.047815820543093</v>
      </c>
      <c r="E272">
        <v>0.02321768791047241</v>
      </c>
      <c r="F272">
        <v>0.04</v>
      </c>
      <c r="G272">
        <v>0.1051577718929504</v>
      </c>
      <c r="H272" t="s">
        <v>383</v>
      </c>
      <c r="I272" t="s">
        <v>636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631</v>
      </c>
      <c r="D273">
        <v>0.049606862301888</v>
      </c>
      <c r="E273">
        <v>0.05025210863972118</v>
      </c>
      <c r="F273">
        <v>0.012</v>
      </c>
      <c r="G273">
        <v>0.1034441056935644</v>
      </c>
      <c r="H273" t="s">
        <v>383</v>
      </c>
      <c r="I273" t="s">
        <v>636</v>
      </c>
    </row>
    <row r="274" spans="1:9">
      <c r="A274" s="1" t="s">
        <v>281</v>
      </c>
      <c r="B274">
        <f>HYPERLINK("https://www.suredividend.com/sure-analysis-CNA/","CNA Financial Corp.")</f>
        <v>0</v>
      </c>
      <c r="C274" t="s">
        <v>631</v>
      </c>
      <c r="D274">
        <v>0.042199108469539</v>
      </c>
      <c r="E274">
        <v>0.02461263155584947</v>
      </c>
      <c r="F274">
        <v>0.04</v>
      </c>
      <c r="G274">
        <v>0.1015145294403239</v>
      </c>
      <c r="H274" t="s">
        <v>383</v>
      </c>
      <c r="I274" t="s">
        <v>383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631</v>
      </c>
      <c r="D275">
        <v>0.038336182336182</v>
      </c>
      <c r="E275">
        <v>0.0160037152085295</v>
      </c>
      <c r="F275">
        <v>0.05</v>
      </c>
      <c r="G275">
        <v>0.1013714836319011</v>
      </c>
      <c r="H275" t="s">
        <v>383</v>
      </c>
      <c r="I275" t="s">
        <v>383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631</v>
      </c>
      <c r="D276">
        <v>0.036242981112812</v>
      </c>
      <c r="E276">
        <v>0.02347596662012852</v>
      </c>
      <c r="F276">
        <v>0.046</v>
      </c>
      <c r="G276">
        <v>0.1008458411745008</v>
      </c>
      <c r="H276" t="s">
        <v>383</v>
      </c>
      <c r="I276" t="s">
        <v>383</v>
      </c>
    </row>
    <row r="277" spans="1:9">
      <c r="A277" s="1" t="s">
        <v>284</v>
      </c>
      <c r="B277">
        <f>HYPERLINK("https://www.suredividend.com/sure-analysis-YUM/","Yum! Brands, Inc.")</f>
        <v>0</v>
      </c>
      <c r="C277" t="s">
        <v>631</v>
      </c>
      <c r="D277">
        <v>0.019101247653748</v>
      </c>
      <c r="E277">
        <v>-0.05850485032647101</v>
      </c>
      <c r="F277">
        <v>0.15</v>
      </c>
      <c r="G277">
        <v>0.1002143112570963</v>
      </c>
      <c r="H277" t="s">
        <v>383</v>
      </c>
      <c r="I277" t="s">
        <v>300</v>
      </c>
    </row>
    <row r="278" spans="1:9">
      <c r="A278" s="1" t="s">
        <v>285</v>
      </c>
      <c r="B278">
        <f>HYPERLINK("https://www.suredividend.com/sure-analysis-LEG/","Leggett &amp; Platt, Inc.")</f>
        <v>0</v>
      </c>
      <c r="C278" t="s">
        <v>631</v>
      </c>
      <c r="D278">
        <v>0.043787629994526</v>
      </c>
      <c r="E278">
        <v>0.007866501363978928</v>
      </c>
      <c r="F278">
        <v>0.05</v>
      </c>
      <c r="G278">
        <v>0.09499367597534625</v>
      </c>
      <c r="H278" t="s">
        <v>383</v>
      </c>
      <c r="I278" t="s">
        <v>383</v>
      </c>
    </row>
    <row r="279" spans="1:9">
      <c r="A279" s="1" t="s">
        <v>286</v>
      </c>
      <c r="B279">
        <f>HYPERLINK("https://www.suredividend.com/sure-analysis-VTR/","Ventas, Inc.")</f>
        <v>0</v>
      </c>
      <c r="C279" t="s">
        <v>633</v>
      </c>
      <c r="D279">
        <v>0.08769017980636201</v>
      </c>
      <c r="E279">
        <v>0.004659012413455343</v>
      </c>
      <c r="F279">
        <v>0.02</v>
      </c>
      <c r="G279">
        <v>0.09496900898190908</v>
      </c>
      <c r="H279" t="s">
        <v>383</v>
      </c>
      <c r="I279" t="s">
        <v>635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633</v>
      </c>
      <c r="D280">
        <v>0.046731524150878</v>
      </c>
      <c r="E280">
        <v>0.01461998012252352</v>
      </c>
      <c r="F280">
        <v>0.04</v>
      </c>
      <c r="G280">
        <v>0.09492342349513971</v>
      </c>
      <c r="H280" t="s">
        <v>383</v>
      </c>
      <c r="I280" t="s">
        <v>636</v>
      </c>
    </row>
    <row r="281" spans="1:9">
      <c r="A281" s="1" t="s">
        <v>288</v>
      </c>
      <c r="B281">
        <f>HYPERLINK("https://www.suredividend.com/sure-analysis-SBUX/","Starbucks Corp.")</f>
        <v>0</v>
      </c>
      <c r="C281" t="s">
        <v>631</v>
      </c>
      <c r="D281">
        <v>0.02076591154261</v>
      </c>
      <c r="E281">
        <v>-0.02304436349476569</v>
      </c>
      <c r="F281">
        <v>0.1</v>
      </c>
      <c r="G281">
        <v>0.0948360933637884</v>
      </c>
      <c r="H281" t="s">
        <v>383</v>
      </c>
      <c r="I281" t="s">
        <v>300</v>
      </c>
    </row>
    <row r="282" spans="1:9">
      <c r="A282" s="1" t="s">
        <v>289</v>
      </c>
      <c r="B282">
        <f>HYPERLINK("https://www.suredividend.com/sure-analysis-GM/","General Motors Co.")</f>
        <v>0</v>
      </c>
      <c r="C282" t="s">
        <v>631</v>
      </c>
      <c r="D282">
        <v>0.057466918714555</v>
      </c>
      <c r="E282">
        <v>0.01857840475593453</v>
      </c>
      <c r="F282">
        <v>0.03</v>
      </c>
      <c r="G282">
        <v>0.09278379385727598</v>
      </c>
      <c r="H282" t="s">
        <v>383</v>
      </c>
      <c r="I282" t="s">
        <v>636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631</v>
      </c>
      <c r="D283">
        <v>0.005657708628005</v>
      </c>
      <c r="E283">
        <v>-0.03228746340482036</v>
      </c>
      <c r="F283">
        <v>0.125</v>
      </c>
      <c r="G283">
        <v>0.09267471766974755</v>
      </c>
      <c r="H283" t="s">
        <v>383</v>
      </c>
      <c r="I283" t="s">
        <v>558</v>
      </c>
    </row>
    <row r="284" spans="1:9">
      <c r="A284" s="1" t="s">
        <v>291</v>
      </c>
      <c r="B284">
        <f>HYPERLINK("https://www.suredividend.com/sure-analysis-ING/","ING Groep NV")</f>
        <v>0</v>
      </c>
      <c r="C284" t="s">
        <v>631</v>
      </c>
      <c r="D284">
        <v>0.03631081081081</v>
      </c>
      <c r="E284">
        <v>0.03573194909214883</v>
      </c>
      <c r="F284">
        <v>0.01</v>
      </c>
      <c r="G284">
        <v>0.09084289650587629</v>
      </c>
      <c r="H284" t="s">
        <v>383</v>
      </c>
      <c r="I284" t="s">
        <v>383</v>
      </c>
    </row>
    <row r="285" spans="1:9">
      <c r="A285" s="1" t="s">
        <v>292</v>
      </c>
      <c r="B285">
        <f>HYPERLINK("https://www.suredividend.com/sure-analysis-KLAC/","KLA Corp.")</f>
        <v>0</v>
      </c>
      <c r="C285" t="s">
        <v>631</v>
      </c>
      <c r="D285">
        <v>0.016227180527383</v>
      </c>
      <c r="E285">
        <v>-0.01162624050870453</v>
      </c>
      <c r="F285">
        <v>0.08500000000000001</v>
      </c>
      <c r="G285">
        <v>0.08935830122006561</v>
      </c>
      <c r="H285" t="s">
        <v>383</v>
      </c>
      <c r="I285" t="s">
        <v>558</v>
      </c>
    </row>
    <row r="286" spans="1:9">
      <c r="A286" s="1" t="s">
        <v>293</v>
      </c>
      <c r="B286">
        <f>HYPERLINK("https://www.suredividend.com/sure-analysis-PSA/","Public Storage")</f>
        <v>0</v>
      </c>
      <c r="C286" t="s">
        <v>633</v>
      </c>
      <c r="D286">
        <v>0.041601664066562</v>
      </c>
      <c r="E286">
        <v>0.02256714586521258</v>
      </c>
      <c r="F286">
        <v>0.03</v>
      </c>
      <c r="G286">
        <v>0.08845336274269577</v>
      </c>
      <c r="H286" t="s">
        <v>383</v>
      </c>
      <c r="I286" t="s">
        <v>383</v>
      </c>
    </row>
    <row r="287" spans="1:9">
      <c r="A287" s="1" t="s">
        <v>294</v>
      </c>
      <c r="B287">
        <f>HYPERLINK("https://www.suredividend.com/sure-analysis-UPS/","United Parcel Service, Inc.")</f>
        <v>0</v>
      </c>
      <c r="C287" t="s">
        <v>631</v>
      </c>
      <c r="D287">
        <v>0.03281315900463901</v>
      </c>
      <c r="E287">
        <v>-0.02962472401476868</v>
      </c>
      <c r="F287">
        <v>0.09</v>
      </c>
      <c r="G287">
        <v>0.08731030160067865</v>
      </c>
      <c r="H287" t="s">
        <v>383</v>
      </c>
      <c r="I287" t="s">
        <v>383</v>
      </c>
    </row>
    <row r="288" spans="1:9">
      <c r="A288" s="1" t="s">
        <v>295</v>
      </c>
      <c r="B288">
        <f>HYPERLINK("https://www.suredividend.com/sure-analysis-RY/","Royal Bank of Canada")</f>
        <v>0</v>
      </c>
      <c r="C288" t="s">
        <v>631</v>
      </c>
      <c r="D288">
        <v>0.04450031754872601</v>
      </c>
      <c r="E288">
        <v>0.02780673957232893</v>
      </c>
      <c r="F288">
        <v>0.021</v>
      </c>
      <c r="G288">
        <v>0.08704049837078798</v>
      </c>
      <c r="H288" t="s">
        <v>383</v>
      </c>
      <c r="I288" t="s">
        <v>636</v>
      </c>
    </row>
    <row r="289" spans="1:9">
      <c r="A289" s="1" t="s">
        <v>296</v>
      </c>
      <c r="B289">
        <f>HYPERLINK("https://www.suredividend.com/sure-analysis-PM/","Philip Morris International, Inc.")</f>
        <v>0</v>
      </c>
      <c r="C289" t="s">
        <v>631</v>
      </c>
      <c r="D289">
        <v>0.061975209916033</v>
      </c>
      <c r="E289">
        <v>-0.008210491186279034</v>
      </c>
      <c r="F289">
        <v>0.04</v>
      </c>
      <c r="G289">
        <v>0.08479324626942275</v>
      </c>
      <c r="H289" t="s">
        <v>383</v>
      </c>
      <c r="I289" t="s">
        <v>636</v>
      </c>
    </row>
    <row r="290" spans="1:9">
      <c r="A290" s="1" t="s">
        <v>297</v>
      </c>
      <c r="B290">
        <f>HYPERLINK("https://www.suredividend.com/sure-analysis-DNKN/","Dunkin' Brands Group, Inc.")</f>
        <v>0</v>
      </c>
      <c r="C290" t="s">
        <v>631</v>
      </c>
      <c r="D290">
        <v>0.022506261971415</v>
      </c>
      <c r="E290">
        <v>-0.01167353482096478</v>
      </c>
      <c r="F290">
        <v>0.08</v>
      </c>
      <c r="G290">
        <v>0.08426762976544944</v>
      </c>
      <c r="H290" t="s">
        <v>383</v>
      </c>
      <c r="I290" t="s">
        <v>300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633</v>
      </c>
      <c r="D291">
        <v>0.058060879368658</v>
      </c>
      <c r="E291">
        <v>-0.002720511872573939</v>
      </c>
      <c r="F291">
        <v>0.037</v>
      </c>
      <c r="G291">
        <v>0.08358398488174301</v>
      </c>
      <c r="H291" t="s">
        <v>383</v>
      </c>
      <c r="I291" t="s">
        <v>635</v>
      </c>
    </row>
    <row r="292" spans="1:9">
      <c r="A292" s="1" t="s">
        <v>299</v>
      </c>
      <c r="B292">
        <f>HYPERLINK("https://www.suredividend.com/sure-analysis-SNY/","Sanofi")</f>
        <v>0</v>
      </c>
      <c r="C292" t="s">
        <v>631</v>
      </c>
      <c r="D292">
        <v>0.022034735260983</v>
      </c>
      <c r="E292">
        <v>0.01366567070178015</v>
      </c>
      <c r="F292">
        <v>0.04</v>
      </c>
      <c r="G292">
        <v>0.0831063489608701</v>
      </c>
      <c r="H292" t="s">
        <v>383</v>
      </c>
      <c r="I292" t="s">
        <v>300</v>
      </c>
    </row>
    <row r="293" spans="1:9">
      <c r="A293" s="1" t="s">
        <v>300</v>
      </c>
      <c r="B293">
        <f>HYPERLINK("https://www.suredividend.com/sure-analysis-D/","Dominion Energy, Inc.")</f>
        <v>0</v>
      </c>
      <c r="C293" t="s">
        <v>631</v>
      </c>
      <c r="D293">
        <v>0.04699032832781801</v>
      </c>
      <c r="E293">
        <v>-0.00928246952297318</v>
      </c>
      <c r="F293">
        <v>0.05</v>
      </c>
      <c r="G293">
        <v>0.0809474081522974</v>
      </c>
      <c r="H293" t="s">
        <v>383</v>
      </c>
      <c r="I293" t="s">
        <v>636</v>
      </c>
    </row>
    <row r="294" spans="1:9">
      <c r="A294" s="1" t="s">
        <v>301</v>
      </c>
      <c r="B294">
        <f>HYPERLINK("https://www.suredividend.com/sure-analysis-KSU/","Kansas City Southern")</f>
        <v>0</v>
      </c>
      <c r="C294" t="s">
        <v>631</v>
      </c>
      <c r="D294">
        <v>0.009731752963194</v>
      </c>
      <c r="E294">
        <v>-0.01057697398519031</v>
      </c>
      <c r="F294">
        <v>0.08</v>
      </c>
      <c r="G294">
        <v>0.07837841622259467</v>
      </c>
      <c r="H294" t="s">
        <v>383</v>
      </c>
      <c r="I294" t="s">
        <v>558</v>
      </c>
    </row>
    <row r="295" spans="1:9">
      <c r="A295" s="1" t="s">
        <v>302</v>
      </c>
      <c r="B295">
        <f>HYPERLINK("https://www.suredividend.com/sure-analysis-AVB/","AvalonBay Communities, Inc.")</f>
        <v>0</v>
      </c>
      <c r="C295" t="s">
        <v>633</v>
      </c>
      <c r="D295">
        <v>0.039963610371044</v>
      </c>
      <c r="E295">
        <v>0.01032458928349245</v>
      </c>
      <c r="F295">
        <v>0.031</v>
      </c>
      <c r="G295">
        <v>0.0779761814681339</v>
      </c>
      <c r="H295" t="s">
        <v>383</v>
      </c>
      <c r="I295" t="s">
        <v>383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0.048967516387202</v>
      </c>
      <c r="E296">
        <v>-0.03113358985158377</v>
      </c>
      <c r="F296">
        <v>0.07000000000000001</v>
      </c>
      <c r="G296">
        <v>0.07765602616935285</v>
      </c>
      <c r="H296" t="s">
        <v>383</v>
      </c>
      <c r="I296" t="s">
        <v>383</v>
      </c>
    </row>
    <row r="297" spans="1:9">
      <c r="A297" s="1" t="s">
        <v>304</v>
      </c>
      <c r="B297">
        <f>HYPERLINK("https://www.suredividend.com/sure-analysis-BUD/","Anheuser-Busch InBev SA/NV")</f>
        <v>0</v>
      </c>
      <c r="C297" t="s">
        <v>631</v>
      </c>
      <c r="D297">
        <v>0.026971216341689</v>
      </c>
      <c r="E297">
        <v>0.0285873914263326</v>
      </c>
      <c r="F297">
        <v>0.03</v>
      </c>
      <c r="G297">
        <v>0.07434942770187103</v>
      </c>
      <c r="H297" t="s">
        <v>383</v>
      </c>
      <c r="I297" t="s">
        <v>300</v>
      </c>
    </row>
    <row r="298" spans="1:9">
      <c r="A298" s="1" t="s">
        <v>305</v>
      </c>
      <c r="B298">
        <f>HYPERLINK("https://www.suredividend.com/sure-analysis-NOK/","Nokia Oyj")</f>
        <v>0</v>
      </c>
      <c r="C298" t="s">
        <v>631</v>
      </c>
      <c r="D298">
        <v>0.012756264236902</v>
      </c>
      <c r="E298">
        <v>-0.02339258507357378</v>
      </c>
      <c r="F298">
        <v>0.07000000000000001</v>
      </c>
      <c r="G298">
        <v>0.07384272346213727</v>
      </c>
      <c r="H298" t="s">
        <v>383</v>
      </c>
      <c r="I298" t="s">
        <v>558</v>
      </c>
    </row>
    <row r="299" spans="1:9">
      <c r="A299" s="1" t="s">
        <v>306</v>
      </c>
      <c r="B299">
        <f>HYPERLINK("https://www.suredividend.com/sure-analysis-DUK/","Duke Energy Corp.")</f>
        <v>0</v>
      </c>
      <c r="C299" t="s">
        <v>631</v>
      </c>
      <c r="D299">
        <v>0.04566140776699</v>
      </c>
      <c r="E299">
        <v>-0.008392104917373189</v>
      </c>
      <c r="F299">
        <v>0.04</v>
      </c>
      <c r="G299">
        <v>0.07294276294109459</v>
      </c>
      <c r="H299" t="s">
        <v>383</v>
      </c>
      <c r="I299" t="s">
        <v>636</v>
      </c>
    </row>
    <row r="300" spans="1:9">
      <c r="A300" s="1" t="s">
        <v>307</v>
      </c>
      <c r="B300">
        <f>HYPERLINK("https://www.suredividend.com/sure-analysis-WPC/","W.P. Carey, Inc.")</f>
        <v>0</v>
      </c>
      <c r="C300" t="s">
        <v>633</v>
      </c>
      <c r="D300">
        <v>0.06083003372928501</v>
      </c>
      <c r="E300">
        <v>-0.01570796264103136</v>
      </c>
      <c r="F300">
        <v>0.035</v>
      </c>
      <c r="G300">
        <v>0.07279864469214936</v>
      </c>
      <c r="H300" t="s">
        <v>383</v>
      </c>
      <c r="I300" t="s">
        <v>636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631</v>
      </c>
      <c r="D301">
        <v>0.014772580018141</v>
      </c>
      <c r="E301">
        <v>0.01710586158997063</v>
      </c>
      <c r="F301">
        <v>0.04</v>
      </c>
      <c r="G301">
        <v>0.07263532264625927</v>
      </c>
      <c r="H301" t="s">
        <v>383</v>
      </c>
      <c r="I301" t="s">
        <v>558</v>
      </c>
    </row>
    <row r="302" spans="1:9">
      <c r="A302" s="1" t="s">
        <v>309</v>
      </c>
      <c r="B302">
        <f>HYPERLINK("https://www.suredividend.com/sure-analysis-VIAC/","ViacomCBS, Inc.")</f>
        <v>0</v>
      </c>
      <c r="C302" t="s">
        <v>631</v>
      </c>
      <c r="D302">
        <v>0.033346566097657</v>
      </c>
      <c r="E302">
        <v>0.00634996561958534</v>
      </c>
      <c r="F302">
        <v>0.03</v>
      </c>
      <c r="G302">
        <v>0.07237659358679194</v>
      </c>
      <c r="H302" t="s">
        <v>383</v>
      </c>
      <c r="I302" t="s">
        <v>383</v>
      </c>
    </row>
    <row r="303" spans="1:9">
      <c r="A303" s="1" t="s">
        <v>310</v>
      </c>
      <c r="B303">
        <f>HYPERLINK("https://www.suredividend.com/sure-analysis-SO/","The Southern Co.")</f>
        <v>0</v>
      </c>
      <c r="C303" t="s">
        <v>631</v>
      </c>
      <c r="D303">
        <v>0.045804323928178</v>
      </c>
      <c r="E303">
        <v>-0.009638013088464015</v>
      </c>
      <c r="F303">
        <v>0.04</v>
      </c>
      <c r="G303">
        <v>0.07164786601282636</v>
      </c>
      <c r="H303" t="s">
        <v>383</v>
      </c>
      <c r="I303" t="s">
        <v>636</v>
      </c>
    </row>
    <row r="304" spans="1:9">
      <c r="A304" s="1" t="s">
        <v>311</v>
      </c>
      <c r="B304">
        <f>HYPERLINK("https://www.suredividend.com/sure-analysis-GS/","The Goldman Sachs Group, Inc.")</f>
        <v>0</v>
      </c>
      <c r="C304" t="s">
        <v>631</v>
      </c>
      <c r="D304">
        <v>0.02365072607729</v>
      </c>
      <c r="E304">
        <v>-0.01103506391092879</v>
      </c>
      <c r="F304">
        <v>0.06</v>
      </c>
      <c r="G304">
        <v>0.07134120204268402</v>
      </c>
      <c r="H304" t="s">
        <v>383</v>
      </c>
      <c r="I304" t="s">
        <v>300</v>
      </c>
    </row>
    <row r="305" spans="1:9">
      <c r="A305" s="1" t="s">
        <v>312</v>
      </c>
      <c r="B305">
        <f>HYPERLINK("https://www.suredividend.com/sure-analysis-ESS/","Essex Property Trust, Inc.")</f>
        <v>0</v>
      </c>
      <c r="C305" t="s">
        <v>633</v>
      </c>
      <c r="D305">
        <v>0.035522247613926</v>
      </c>
      <c r="E305">
        <v>0.009522513843962965</v>
      </c>
      <c r="F305">
        <v>0.029</v>
      </c>
      <c r="G305">
        <v>0.07037328028976098</v>
      </c>
      <c r="H305" t="s">
        <v>383</v>
      </c>
      <c r="I305" t="s">
        <v>300</v>
      </c>
    </row>
    <row r="306" spans="1:9">
      <c r="A306" s="1" t="s">
        <v>313</v>
      </c>
      <c r="B306">
        <f>HYPERLINK("https://www.suredividend.com/sure-analysis-PII/","Polaris Inc.")</f>
        <v>0</v>
      </c>
      <c r="C306" t="s">
        <v>631</v>
      </c>
      <c r="D306">
        <v>0.025393864013267</v>
      </c>
      <c r="E306">
        <v>-0.01380898161545241</v>
      </c>
      <c r="F306">
        <v>0.06</v>
      </c>
      <c r="G306">
        <v>0.06991180652000284</v>
      </c>
      <c r="H306" t="s">
        <v>383</v>
      </c>
      <c r="I306" t="s">
        <v>300</v>
      </c>
    </row>
    <row r="307" spans="1:9">
      <c r="A307" s="1" t="s">
        <v>314</v>
      </c>
      <c r="B307">
        <f>HYPERLINK("https://www.suredividend.com/sure-analysis-VFC/","VF Corp.")</f>
        <v>0</v>
      </c>
      <c r="C307" t="s">
        <v>631</v>
      </c>
      <c r="D307">
        <v>0.031815137307434</v>
      </c>
      <c r="E307">
        <v>-0.05502886467085477</v>
      </c>
      <c r="F307">
        <v>0.1</v>
      </c>
      <c r="G307">
        <v>0.06954678006479997</v>
      </c>
      <c r="H307" t="s">
        <v>383</v>
      </c>
      <c r="I307" t="s">
        <v>300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631</v>
      </c>
      <c r="D308">
        <v>0.035637718164546</v>
      </c>
      <c r="E308">
        <v>-0.03114278012704852</v>
      </c>
      <c r="F308">
        <v>0.07000000000000001</v>
      </c>
      <c r="G308">
        <v>0.06837416469042701</v>
      </c>
      <c r="H308" t="s">
        <v>383</v>
      </c>
      <c r="I308" t="s">
        <v>383</v>
      </c>
    </row>
    <row r="309" spans="1:9">
      <c r="A309" s="1" t="s">
        <v>316</v>
      </c>
      <c r="B309">
        <f>HYPERLINK("https://www.suredividend.com/sure-analysis-TRSWF/","TransAlta Renewables, Inc.")</f>
        <v>0</v>
      </c>
      <c r="C309" t="s">
        <v>631</v>
      </c>
      <c r="D309">
        <v>0.064034991241884</v>
      </c>
      <c r="E309">
        <v>-0.01941578585539405</v>
      </c>
      <c r="F309">
        <v>0.032</v>
      </c>
      <c r="G309">
        <v>0.06826646362088429</v>
      </c>
      <c r="H309" t="s">
        <v>383</v>
      </c>
      <c r="I309" t="s">
        <v>636</v>
      </c>
    </row>
    <row r="310" spans="1:9">
      <c r="A310" s="1" t="s">
        <v>317</v>
      </c>
      <c r="B310">
        <f>HYPERLINK("https://www.suredividend.com/sure-analysis-CPB/","Campbell Soup Co.")</f>
        <v>0</v>
      </c>
      <c r="C310" t="s">
        <v>631</v>
      </c>
      <c r="D310">
        <v>0.028225806451612</v>
      </c>
      <c r="E310">
        <v>-0.00653650804430439</v>
      </c>
      <c r="F310">
        <v>0.05</v>
      </c>
      <c r="G310">
        <v>0.06733770267425165</v>
      </c>
      <c r="H310" t="s">
        <v>383</v>
      </c>
      <c r="I310" t="s">
        <v>383</v>
      </c>
    </row>
    <row r="311" spans="1:9">
      <c r="A311" s="1" t="s">
        <v>318</v>
      </c>
      <c r="B311">
        <f>HYPERLINK("https://www.suredividend.com/sure-analysis-SUUIF/","Superior Plus Corp.")</f>
        <v>0</v>
      </c>
      <c r="C311" t="s">
        <v>631</v>
      </c>
      <c r="D311">
        <v>0.063875245218371</v>
      </c>
      <c r="E311">
        <v>0.01221278815141957</v>
      </c>
      <c r="F311">
        <v>0</v>
      </c>
      <c r="G311">
        <v>0.06674469137661321</v>
      </c>
      <c r="H311" t="s">
        <v>383</v>
      </c>
      <c r="I311" t="s">
        <v>636</v>
      </c>
    </row>
    <row r="312" spans="1:9">
      <c r="A312" s="1" t="s">
        <v>319</v>
      </c>
      <c r="B312">
        <f>HYPERLINK("https://www.suredividend.com/sure-analysis-DD/","DuPont de Nemours, Inc.")</f>
        <v>0</v>
      </c>
      <c r="C312" t="s">
        <v>631</v>
      </c>
      <c r="D312">
        <v>0.024211298606016</v>
      </c>
      <c r="E312">
        <v>-0.02515161163084456</v>
      </c>
      <c r="F312">
        <v>0.07000000000000001</v>
      </c>
      <c r="G312">
        <v>0.06562598479572856</v>
      </c>
      <c r="H312" t="s">
        <v>383</v>
      </c>
      <c r="I312" t="s">
        <v>300</v>
      </c>
    </row>
    <row r="313" spans="1:9">
      <c r="A313" s="1" t="s">
        <v>320</v>
      </c>
      <c r="B313">
        <f>HYPERLINK("https://www.suredividend.com/sure-analysis-CAT/","Caterpillar, Inc.")</f>
        <v>0</v>
      </c>
      <c r="C313" t="s">
        <v>631</v>
      </c>
      <c r="D313">
        <v>0.028853177501826</v>
      </c>
      <c r="E313">
        <v>-0.03935502600720187</v>
      </c>
      <c r="F313">
        <v>0.08</v>
      </c>
      <c r="G313">
        <v>0.0655819652192613</v>
      </c>
      <c r="H313" t="s">
        <v>383</v>
      </c>
      <c r="I313" t="s">
        <v>383</v>
      </c>
    </row>
    <row r="314" spans="1:9">
      <c r="A314" s="1" t="s">
        <v>321</v>
      </c>
      <c r="B314">
        <f>HYPERLINK("https://www.suredividend.com/sure-analysis-SAN/","Banco Santander SA")</f>
        <v>0</v>
      </c>
      <c r="C314" t="s">
        <v>631</v>
      </c>
      <c r="D314">
        <v>0.04469879518072201</v>
      </c>
      <c r="E314">
        <v>0.0642800319655179</v>
      </c>
      <c r="F314">
        <v>0</v>
      </c>
      <c r="G314">
        <v>0.0642800319655179</v>
      </c>
      <c r="H314" t="s">
        <v>383</v>
      </c>
      <c r="I314" t="s">
        <v>383</v>
      </c>
    </row>
    <row r="315" spans="1:9">
      <c r="A315" s="1" t="s">
        <v>322</v>
      </c>
      <c r="B315">
        <f>HYPERLINK("https://www.suredividend.com/sure-analysis-LRCX/","Lam Research Corp.")</f>
        <v>0</v>
      </c>
      <c r="C315" t="s">
        <v>631</v>
      </c>
      <c r="D315">
        <v>0.013140035232621</v>
      </c>
      <c r="E315">
        <v>-0.08098585040696082</v>
      </c>
      <c r="F315">
        <v>0.14</v>
      </c>
      <c r="G315">
        <v>0.06168525503093591</v>
      </c>
      <c r="H315" t="s">
        <v>383</v>
      </c>
      <c r="I315" t="s">
        <v>558</v>
      </c>
    </row>
    <row r="316" spans="1:9">
      <c r="A316" s="1" t="s">
        <v>323</v>
      </c>
      <c r="B316">
        <f>HYPERLINK("https://www.suredividend.com/sure-analysis-DOC/","Physicians Realty Trust")</f>
        <v>0</v>
      </c>
      <c r="C316" t="s">
        <v>633</v>
      </c>
      <c r="D316">
        <v>0.05287356321839001</v>
      </c>
      <c r="E316">
        <v>-0.004640571552893102</v>
      </c>
      <c r="F316">
        <v>0.017</v>
      </c>
      <c r="G316">
        <v>0.05826306684799887</v>
      </c>
      <c r="H316" t="s">
        <v>383</v>
      </c>
      <c r="I316" t="s">
        <v>636</v>
      </c>
    </row>
    <row r="317" spans="1:9">
      <c r="A317" s="1" t="s">
        <v>324</v>
      </c>
      <c r="B317">
        <f>HYPERLINK("https://www.suredividend.com/sure-analysis-COR/","CoreSite Realty Corp.")</f>
        <v>0</v>
      </c>
      <c r="C317" t="s">
        <v>633</v>
      </c>
      <c r="D317">
        <v>0.04059900166389301</v>
      </c>
      <c r="E317">
        <v>-0.04001527747765343</v>
      </c>
      <c r="F317">
        <v>0.063</v>
      </c>
      <c r="G317">
        <v>0.05797835496390435</v>
      </c>
      <c r="H317" t="s">
        <v>383</v>
      </c>
      <c r="I317" t="s">
        <v>383</v>
      </c>
    </row>
    <row r="318" spans="1:9">
      <c r="A318" s="1" t="s">
        <v>325</v>
      </c>
      <c r="B318">
        <f>HYPERLINK("https://www.suredividend.com/sure-analysis-PHG/","Koninklijke Philips NV")</f>
        <v>0</v>
      </c>
      <c r="C318" t="s">
        <v>631</v>
      </c>
      <c r="D318">
        <v>0.016419594051446</v>
      </c>
      <c r="E318">
        <v>-0.06268746330864328</v>
      </c>
      <c r="F318">
        <v>0.11</v>
      </c>
      <c r="G318">
        <v>0.05794356529099454</v>
      </c>
      <c r="H318" t="s">
        <v>383</v>
      </c>
      <c r="I318" t="s">
        <v>558</v>
      </c>
    </row>
    <row r="319" spans="1:9">
      <c r="A319" s="1" t="s">
        <v>326</v>
      </c>
      <c r="B319">
        <f>HYPERLINK("https://www.suredividend.com/sure-analysis-DEA/","Easterly Government Properties, Inc.")</f>
        <v>0</v>
      </c>
      <c r="C319" t="s">
        <v>633</v>
      </c>
      <c r="D319">
        <v>0.045814977973568</v>
      </c>
      <c r="E319">
        <v>-0.02500850411023636</v>
      </c>
      <c r="F319">
        <v>0.034</v>
      </c>
      <c r="G319">
        <v>0.05541107793132793</v>
      </c>
      <c r="H319" t="s">
        <v>383</v>
      </c>
      <c r="I319" t="s">
        <v>383</v>
      </c>
    </row>
    <row r="320" spans="1:9">
      <c r="A320" s="1" t="s">
        <v>327</v>
      </c>
      <c r="B320">
        <f>HYPERLINK("https://www.suredividend.com/sure-analysis-CNP/","CenterPoint Energy, Inc.")</f>
        <v>0</v>
      </c>
      <c r="C320" t="s">
        <v>631</v>
      </c>
      <c r="D320">
        <v>0.058031218529707</v>
      </c>
      <c r="E320">
        <v>-0.04230295432840536</v>
      </c>
      <c r="F320">
        <v>0.04</v>
      </c>
      <c r="G320">
        <v>0.05325732311376008</v>
      </c>
      <c r="H320" t="s">
        <v>383</v>
      </c>
      <c r="I320" t="s">
        <v>636</v>
      </c>
    </row>
    <row r="321" spans="1:9">
      <c r="A321" s="1" t="s">
        <v>328</v>
      </c>
      <c r="B321">
        <f>HYPERLINK("https://www.suredividend.com/sure-analysis-CMI/","Cummins, Inc.")</f>
        <v>0</v>
      </c>
      <c r="C321" t="s">
        <v>631</v>
      </c>
      <c r="D321">
        <v>0.027704658402053</v>
      </c>
      <c r="E321">
        <v>-0.05363090900123491</v>
      </c>
      <c r="F321">
        <v>0.08</v>
      </c>
      <c r="G321">
        <v>0.05084792340976718</v>
      </c>
      <c r="H321" t="s">
        <v>383</v>
      </c>
      <c r="I321" t="s">
        <v>300</v>
      </c>
    </row>
    <row r="322" spans="1:9">
      <c r="A322" s="1" t="s">
        <v>329</v>
      </c>
      <c r="B322">
        <f>HYPERLINK("https://www.suredividend.com/sure-analysis-MAR/","Marriott International, Inc.")</f>
        <v>0</v>
      </c>
      <c r="C322" t="s">
        <v>631</v>
      </c>
      <c r="D322">
        <v>0.020988194140795</v>
      </c>
      <c r="E322">
        <v>-0.03137942621381962</v>
      </c>
      <c r="F322">
        <v>0.08</v>
      </c>
      <c r="G322">
        <v>0.05045529770885571</v>
      </c>
      <c r="H322" t="s">
        <v>383</v>
      </c>
      <c r="I322" t="s">
        <v>558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631</v>
      </c>
      <c r="D323">
        <v>0.032421903052064</v>
      </c>
      <c r="E323">
        <v>-0.04176624863066014</v>
      </c>
      <c r="F323">
        <v>0.06</v>
      </c>
      <c r="G323">
        <v>0.04817857842506479</v>
      </c>
      <c r="H323" t="s">
        <v>383</v>
      </c>
      <c r="I323" t="s">
        <v>383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631</v>
      </c>
      <c r="D324">
        <v>0.033746087903116</v>
      </c>
      <c r="E324">
        <v>-0.04623814482850985</v>
      </c>
      <c r="F324">
        <v>0.06</v>
      </c>
      <c r="G324">
        <v>0.04599650486327111</v>
      </c>
      <c r="H324" t="s">
        <v>383</v>
      </c>
      <c r="I324" t="s">
        <v>300</v>
      </c>
    </row>
    <row r="325" spans="1:9">
      <c r="A325" s="1" t="s">
        <v>332</v>
      </c>
      <c r="B325">
        <f>HYPERLINK("https://www.suredividend.com/sure-analysis-FLO/","Flowers Foods, Inc.")</f>
        <v>0</v>
      </c>
      <c r="C325" t="s">
        <v>631</v>
      </c>
      <c r="D325">
        <v>0.034703196347031</v>
      </c>
      <c r="E325">
        <v>-0.02800977536408322</v>
      </c>
      <c r="F325">
        <v>0.04</v>
      </c>
      <c r="G325">
        <v>0.04483136308055635</v>
      </c>
      <c r="H325" t="s">
        <v>383</v>
      </c>
      <c r="I325" t="s">
        <v>383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631</v>
      </c>
      <c r="D326">
        <v>0.030321782178217</v>
      </c>
      <c r="E326">
        <v>-0.01478734764774747</v>
      </c>
      <c r="F326">
        <v>0.03</v>
      </c>
      <c r="G326">
        <v>0.04281244798809958</v>
      </c>
      <c r="H326" t="s">
        <v>383</v>
      </c>
      <c r="I326" t="s">
        <v>383</v>
      </c>
    </row>
    <row r="327" spans="1:9">
      <c r="A327" s="1" t="s">
        <v>334</v>
      </c>
      <c r="B327">
        <f>HYPERLINK("https://www.suredividend.com/sure-analysis-HPE/","Hewlett-Packard Enterprise Co.")</f>
        <v>0</v>
      </c>
      <c r="C327" t="s">
        <v>631</v>
      </c>
      <c r="D327">
        <v>0.048086866597724</v>
      </c>
      <c r="E327">
        <v>0.001854535720177797</v>
      </c>
      <c r="F327">
        <v>-0.01</v>
      </c>
      <c r="G327">
        <v>0.04165313069257137</v>
      </c>
      <c r="H327" t="s">
        <v>383</v>
      </c>
      <c r="I327" t="s">
        <v>383</v>
      </c>
    </row>
    <row r="328" spans="1:9">
      <c r="A328" s="1" t="s">
        <v>335</v>
      </c>
      <c r="B328">
        <f>HYPERLINK("https://www.suredividend.com/sure-analysis-SIEGY/","Siemens AG")</f>
        <v>0</v>
      </c>
      <c r="C328" t="s">
        <v>631</v>
      </c>
      <c r="D328">
        <v>0.033038665419395</v>
      </c>
      <c r="E328">
        <v>-0.03743651460417052</v>
      </c>
      <c r="F328">
        <v>0.045</v>
      </c>
      <c r="G328">
        <v>0.0403579393483291</v>
      </c>
      <c r="H328" t="s">
        <v>383</v>
      </c>
      <c r="I328" t="s">
        <v>300</v>
      </c>
    </row>
    <row r="329" spans="1:9">
      <c r="A329" s="1" t="s">
        <v>336</v>
      </c>
      <c r="B329">
        <f>HYPERLINK("https://www.suredividend.com/sure-analysis-PKX/","POSCO")</f>
        <v>0</v>
      </c>
      <c r="C329" t="s">
        <v>631</v>
      </c>
      <c r="D329">
        <v>0.039979209979209</v>
      </c>
      <c r="E329">
        <v>-0.0187795381007031</v>
      </c>
      <c r="F329">
        <v>0.02</v>
      </c>
      <c r="G329">
        <v>0.04033754588833416</v>
      </c>
      <c r="H329" t="s">
        <v>383</v>
      </c>
      <c r="I329" t="s">
        <v>383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631</v>
      </c>
      <c r="D330">
        <v>0.024945851071775</v>
      </c>
      <c r="E330">
        <v>-0.06632637072312675</v>
      </c>
      <c r="F330">
        <v>0.08</v>
      </c>
      <c r="G330">
        <v>0.04022345893956958</v>
      </c>
      <c r="H330" t="s">
        <v>383</v>
      </c>
      <c r="I330" t="s">
        <v>300</v>
      </c>
    </row>
    <row r="331" spans="1:9">
      <c r="A331" s="1" t="s">
        <v>338</v>
      </c>
      <c r="B331">
        <f>HYPERLINK("https://www.suredividend.com/sure-analysis-SKM/","SK Telecom Co., Ltd.")</f>
        <v>0</v>
      </c>
      <c r="C331" t="s">
        <v>631</v>
      </c>
      <c r="D331">
        <v>0.04078007045797601</v>
      </c>
      <c r="E331">
        <v>-0.0546803654816761</v>
      </c>
      <c r="F331">
        <v>0.05</v>
      </c>
      <c r="G331">
        <v>0.03973598459388406</v>
      </c>
      <c r="H331" t="s">
        <v>383</v>
      </c>
      <c r="I331" t="s">
        <v>636</v>
      </c>
    </row>
    <row r="332" spans="1:9">
      <c r="A332" s="1" t="s">
        <v>339</v>
      </c>
      <c r="B332">
        <f>HYPERLINK("https://www.suredividend.com/sure-analysis-STZ/","Constellation Brands, Inc.")</f>
        <v>0</v>
      </c>
      <c r="C332" t="s">
        <v>631</v>
      </c>
      <c r="D332">
        <v>0.016610375948175</v>
      </c>
      <c r="E332">
        <v>-0.02762995381235289</v>
      </c>
      <c r="F332">
        <v>0.05</v>
      </c>
      <c r="G332">
        <v>0.03814331804136195</v>
      </c>
      <c r="H332" t="s">
        <v>383</v>
      </c>
      <c r="I332" t="s">
        <v>558</v>
      </c>
    </row>
    <row r="333" spans="1:9">
      <c r="A333" s="1" t="s">
        <v>340</v>
      </c>
      <c r="B333">
        <f>HYPERLINK("https://www.suredividend.com/sure-analysis-MA/","Mastercard, Inc.")</f>
        <v>0</v>
      </c>
      <c r="C333" t="s">
        <v>631</v>
      </c>
      <c r="D333">
        <v>0.004801683878181</v>
      </c>
      <c r="E333">
        <v>-0.1035817795951879</v>
      </c>
      <c r="F333">
        <v>0.15</v>
      </c>
      <c r="G333">
        <v>0.03800985985853989</v>
      </c>
      <c r="H333" t="s">
        <v>383</v>
      </c>
      <c r="I333" t="s">
        <v>558</v>
      </c>
    </row>
    <row r="334" spans="1:9">
      <c r="A334" s="1" t="s">
        <v>341</v>
      </c>
      <c r="B334">
        <f>HYPERLINK("https://www.suredividend.com/sure-analysis-V/","Visa, Inc.")</f>
        <v>0</v>
      </c>
      <c r="C334" t="s">
        <v>631</v>
      </c>
      <c r="D334">
        <v>0.005638423291814</v>
      </c>
      <c r="E334">
        <v>-0.09720286829172964</v>
      </c>
      <c r="F334">
        <v>0.14</v>
      </c>
      <c r="G334">
        <v>0.03778987509480092</v>
      </c>
      <c r="H334" t="s">
        <v>383</v>
      </c>
      <c r="I334" t="s">
        <v>558</v>
      </c>
    </row>
    <row r="335" spans="1:9">
      <c r="A335" s="1" t="s">
        <v>342</v>
      </c>
      <c r="B335">
        <f>HYPERLINK("https://www.suredividend.com/sure-analysis-CAG/","Conagra Brands, Inc.")</f>
        <v>0</v>
      </c>
      <c r="C335" t="s">
        <v>631</v>
      </c>
      <c r="D335">
        <v>0.023236741388737</v>
      </c>
      <c r="E335">
        <v>-0.02639845267944163</v>
      </c>
      <c r="F335">
        <v>0.04</v>
      </c>
      <c r="G335">
        <v>0.03611696381208707</v>
      </c>
      <c r="H335" t="s">
        <v>383</v>
      </c>
      <c r="I335" t="s">
        <v>300</v>
      </c>
    </row>
    <row r="336" spans="1:9">
      <c r="A336" s="1" t="s">
        <v>343</v>
      </c>
      <c r="B336">
        <f>HYPERLINK("https://www.suredividend.com/sure-analysis-AEP/","American Electric Power Co., Inc.")</f>
        <v>0</v>
      </c>
      <c r="C336" t="s">
        <v>631</v>
      </c>
      <c r="D336">
        <v>0.031653525311392</v>
      </c>
      <c r="E336">
        <v>-0.04095246598947822</v>
      </c>
      <c r="F336">
        <v>0.045</v>
      </c>
      <c r="G336">
        <v>0.03561962940389263</v>
      </c>
      <c r="H336" t="s">
        <v>383</v>
      </c>
      <c r="I336" t="s">
        <v>383</v>
      </c>
    </row>
    <row r="337" spans="1:9">
      <c r="A337" s="1" t="s">
        <v>344</v>
      </c>
      <c r="B337">
        <f>HYPERLINK("https://www.suredividend.com/sure-analysis-ASML/","ASML Holding NV")</f>
        <v>0</v>
      </c>
      <c r="C337" t="s">
        <v>631</v>
      </c>
      <c r="D337">
        <v>0.00684950076905</v>
      </c>
      <c r="E337">
        <v>-0.08501586035950981</v>
      </c>
      <c r="F337">
        <v>0.12</v>
      </c>
      <c r="G337">
        <v>0.03438730846963556</v>
      </c>
      <c r="H337" t="s">
        <v>383</v>
      </c>
      <c r="I337" t="s">
        <v>558</v>
      </c>
    </row>
    <row r="338" spans="1:9">
      <c r="A338" s="1" t="s">
        <v>345</v>
      </c>
      <c r="B338">
        <f>HYPERLINK("https://www.suredividend.com/sure-analysis-ERIC/","Telefonaktiebolaget LM Ericsson")</f>
        <v>0</v>
      </c>
      <c r="C338" t="s">
        <v>631</v>
      </c>
      <c r="D338">
        <v>0.006859504132231</v>
      </c>
      <c r="E338">
        <v>-0.05286901954770806</v>
      </c>
      <c r="F338">
        <v>0.08</v>
      </c>
      <c r="G338">
        <v>0.03098048244186491</v>
      </c>
      <c r="H338" t="s">
        <v>383</v>
      </c>
      <c r="I338" t="s">
        <v>558</v>
      </c>
    </row>
    <row r="339" spans="1:9">
      <c r="A339" s="1" t="s">
        <v>346</v>
      </c>
      <c r="B339">
        <f>HYPERLINK("https://www.suredividend.com/sure-analysis-CME/","CME Group, Inc.")</f>
        <v>0</v>
      </c>
      <c r="C339" t="s">
        <v>631</v>
      </c>
      <c r="D339">
        <v>0.018605209458648</v>
      </c>
      <c r="E339">
        <v>-0.03421561110829452</v>
      </c>
      <c r="F339">
        <v>0.043</v>
      </c>
      <c r="G339">
        <v>0.028901989805179</v>
      </c>
      <c r="H339" t="s">
        <v>383</v>
      </c>
      <c r="I339" t="s">
        <v>558</v>
      </c>
    </row>
    <row r="340" spans="1:9">
      <c r="A340" s="1" t="s">
        <v>347</v>
      </c>
      <c r="B340">
        <f>HYPERLINK("https://www.suredividend.com/sure-analysis-HBI/","Hanesbrands, Inc.")</f>
        <v>0</v>
      </c>
      <c r="C340" t="s">
        <v>631</v>
      </c>
      <c r="D340">
        <v>0.042796005706134</v>
      </c>
      <c r="E340">
        <v>-0.1061422814506133</v>
      </c>
      <c r="F340">
        <v>0.1</v>
      </c>
      <c r="G340">
        <v>0.02718941393889263</v>
      </c>
      <c r="H340" t="s">
        <v>383</v>
      </c>
      <c r="I340" t="s">
        <v>383</v>
      </c>
    </row>
    <row r="341" spans="1:9">
      <c r="A341" s="1" t="s">
        <v>348</v>
      </c>
      <c r="B341">
        <f>HYPERLINK("https://www.suredividend.com/sure-analysis-CCI/","Crown Castle International Corp.")</f>
        <v>0</v>
      </c>
      <c r="C341" t="s">
        <v>633</v>
      </c>
      <c r="D341">
        <v>0.027521306818181</v>
      </c>
      <c r="E341">
        <v>-0.05401290088240229</v>
      </c>
      <c r="F341">
        <v>0.05</v>
      </c>
      <c r="G341">
        <v>0.02684952443249067</v>
      </c>
      <c r="H341" t="s">
        <v>383</v>
      </c>
      <c r="I341" t="s">
        <v>300</v>
      </c>
    </row>
    <row r="342" spans="1:9">
      <c r="A342" s="1" t="s">
        <v>349</v>
      </c>
      <c r="B342">
        <f>HYPERLINK("https://www.suredividend.com/sure-analysis-TT/","Trane Technologies Plc")</f>
        <v>0</v>
      </c>
      <c r="C342" t="s">
        <v>631</v>
      </c>
      <c r="D342">
        <v>0.020693020985846</v>
      </c>
      <c r="E342">
        <v>-0.08980676718937775</v>
      </c>
      <c r="F342">
        <v>0.1</v>
      </c>
      <c r="G342">
        <v>0.02597313830386105</v>
      </c>
      <c r="H342" t="s">
        <v>383</v>
      </c>
      <c r="I342" t="s">
        <v>558</v>
      </c>
    </row>
    <row r="343" spans="1:9">
      <c r="A343" s="1" t="s">
        <v>350</v>
      </c>
      <c r="B343">
        <f>HYPERLINK("https://www.suredividend.com/sure-analysis-VALE/","Vale SA")</f>
        <v>0</v>
      </c>
      <c r="C343" t="s">
        <v>631</v>
      </c>
      <c r="D343">
        <v>0.030707338638373</v>
      </c>
      <c r="E343">
        <v>-0.02431982851890713</v>
      </c>
      <c r="F343">
        <v>0.02</v>
      </c>
      <c r="G343">
        <v>0.024913173339008</v>
      </c>
      <c r="H343" t="s">
        <v>383</v>
      </c>
      <c r="I343" t="s">
        <v>300</v>
      </c>
    </row>
    <row r="344" spans="1:9">
      <c r="A344" s="1" t="s">
        <v>351</v>
      </c>
      <c r="B344">
        <f>HYPERLINK("https://www.suredividend.com/sure-analysis-MRVL/","Marvell Technology Group Ltd.")</f>
        <v>0</v>
      </c>
      <c r="C344" t="s">
        <v>631</v>
      </c>
      <c r="D344">
        <v>0.0065717415115</v>
      </c>
      <c r="E344">
        <v>-0.1521523070547013</v>
      </c>
      <c r="F344">
        <v>0.2</v>
      </c>
      <c r="G344">
        <v>0.0234777553274248</v>
      </c>
      <c r="H344" t="s">
        <v>383</v>
      </c>
      <c r="I344" t="s">
        <v>558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633</v>
      </c>
      <c r="D345">
        <v>0.030330434782608</v>
      </c>
      <c r="E345">
        <v>-0.0894014986533046</v>
      </c>
      <c r="F345">
        <v>0.08</v>
      </c>
      <c r="G345">
        <v>0.0203988595017297</v>
      </c>
      <c r="H345" t="s">
        <v>383</v>
      </c>
      <c r="I345" t="s">
        <v>383</v>
      </c>
    </row>
    <row r="346" spans="1:9">
      <c r="A346" s="1" t="s">
        <v>353</v>
      </c>
      <c r="B346">
        <f>HYPERLINK("https://www.suredividend.com/sure-analysis-BEP/","Brookfield Renewable Partners LP")</f>
        <v>0</v>
      </c>
      <c r="C346" t="s">
        <v>632</v>
      </c>
      <c r="D346">
        <v>0.037607573006549</v>
      </c>
      <c r="E346">
        <v>-0.08368944014434976</v>
      </c>
      <c r="F346">
        <v>0.06</v>
      </c>
      <c r="G346">
        <v>0.01726940412837519</v>
      </c>
      <c r="H346" t="s">
        <v>383</v>
      </c>
      <c r="I346" t="s">
        <v>383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0.016114818078811</v>
      </c>
      <c r="E347">
        <v>-0.1034909998965095</v>
      </c>
      <c r="F347">
        <v>0.1</v>
      </c>
      <c r="G347">
        <v>0.01274434631793597</v>
      </c>
      <c r="H347" t="s">
        <v>383</v>
      </c>
      <c r="I347" t="s">
        <v>558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631</v>
      </c>
      <c r="D348">
        <v>0.008900190718372001</v>
      </c>
      <c r="E348">
        <v>-0.05269352741402644</v>
      </c>
      <c r="F348">
        <v>0.05</v>
      </c>
      <c r="G348">
        <v>0.01235471626952855</v>
      </c>
      <c r="H348" t="s">
        <v>383</v>
      </c>
      <c r="I348" t="s">
        <v>558</v>
      </c>
    </row>
    <row r="349" spans="1:9">
      <c r="A349" s="1" t="s">
        <v>356</v>
      </c>
      <c r="B349">
        <f>HYPERLINK("https://www.suredividend.com/sure-analysis-HMC/","Honda Motor Co., Ltd.")</f>
        <v>0</v>
      </c>
      <c r="C349" t="s">
        <v>631</v>
      </c>
      <c r="D349">
        <v>0.029466260007624</v>
      </c>
      <c r="E349">
        <v>-0.06245728821916274</v>
      </c>
      <c r="F349">
        <v>0.029</v>
      </c>
      <c r="G349">
        <v>0.009796657548726495</v>
      </c>
      <c r="H349" t="s">
        <v>383</v>
      </c>
      <c r="I349" t="s">
        <v>300</v>
      </c>
    </row>
    <row r="350" spans="1:9">
      <c r="A350" s="1" t="s">
        <v>357</v>
      </c>
      <c r="B350">
        <f>HYPERLINK("https://www.suredividend.com/sure-analysis-DE/","Deere &amp; Co.")</f>
        <v>0</v>
      </c>
      <c r="C350" t="s">
        <v>631</v>
      </c>
      <c r="D350">
        <v>0.017222820236813</v>
      </c>
      <c r="E350">
        <v>-0.08696013184536422</v>
      </c>
      <c r="F350">
        <v>0.08</v>
      </c>
      <c r="G350">
        <v>0.00698631052627996</v>
      </c>
      <c r="H350" t="s">
        <v>383</v>
      </c>
      <c r="I350" t="s">
        <v>300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631</v>
      </c>
      <c r="D351">
        <v>0.046072333563695</v>
      </c>
      <c r="E351">
        <v>-0.05916809078235541</v>
      </c>
      <c r="F351">
        <v>0.07000000000000001</v>
      </c>
      <c r="G351">
        <v>0.006690142862879833</v>
      </c>
      <c r="H351" t="s">
        <v>383</v>
      </c>
      <c r="I351" t="s">
        <v>636</v>
      </c>
    </row>
    <row r="352" spans="1:9">
      <c r="A352" s="1" t="s">
        <v>359</v>
      </c>
      <c r="B352">
        <f>HYPERLINK("https://www.suredividend.com/sure-analysis-FAST/","Fastenal Co.")</f>
        <v>0</v>
      </c>
      <c r="C352" t="s">
        <v>631</v>
      </c>
      <c r="D352">
        <v>0.021266968325791</v>
      </c>
      <c r="E352">
        <v>-0.08725985521458901</v>
      </c>
      <c r="F352">
        <v>0.07000000000000001</v>
      </c>
      <c r="G352">
        <v>0.003967618414765894</v>
      </c>
      <c r="H352" t="s">
        <v>383</v>
      </c>
      <c r="I352" t="s">
        <v>300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631</v>
      </c>
      <c r="D353">
        <v>0.019055441478439</v>
      </c>
      <c r="E353">
        <v>-0.08055828573574098</v>
      </c>
      <c r="F353">
        <v>0.06</v>
      </c>
      <c r="G353">
        <v>-0.002693671019572852</v>
      </c>
      <c r="H353" t="s">
        <v>383</v>
      </c>
      <c r="I353" t="s">
        <v>300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631</v>
      </c>
      <c r="D354">
        <v>0.017392087951698</v>
      </c>
      <c r="E354">
        <v>-0.09065496283131291</v>
      </c>
      <c r="F354">
        <v>0.075</v>
      </c>
      <c r="G354">
        <v>-0.003222660916161524</v>
      </c>
      <c r="H354" t="s">
        <v>383</v>
      </c>
      <c r="I354" t="s">
        <v>558</v>
      </c>
    </row>
    <row r="355" spans="1:9">
      <c r="A355" s="1" t="s">
        <v>362</v>
      </c>
      <c r="B355">
        <f>HYPERLINK("https://www.suredividend.com/sure-analysis-RACE/","Ferrari NV")</f>
        <v>0</v>
      </c>
      <c r="C355" t="s">
        <v>631</v>
      </c>
      <c r="D355">
        <v>0.006364045956296</v>
      </c>
      <c r="E355">
        <v>-0.1102704563402243</v>
      </c>
      <c r="F355">
        <v>0.075</v>
      </c>
      <c r="G355">
        <v>-0.03350610616064931</v>
      </c>
      <c r="H355" t="s">
        <v>383</v>
      </c>
      <c r="I355" t="s">
        <v>558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631</v>
      </c>
      <c r="D356">
        <v>0.005407465825446001</v>
      </c>
      <c r="E356">
        <v>-0.05611111853781092</v>
      </c>
      <c r="F356">
        <v>0.017</v>
      </c>
      <c r="G356">
        <v>-0.03413549176268738</v>
      </c>
      <c r="H356" t="s">
        <v>383</v>
      </c>
      <c r="I356" t="s">
        <v>558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631</v>
      </c>
      <c r="D357">
        <v>0.001234567901234</v>
      </c>
      <c r="E357">
        <v>-0.0919766908577796</v>
      </c>
      <c r="F357">
        <v>0.06</v>
      </c>
      <c r="G357">
        <v>-0.0360610937740995</v>
      </c>
      <c r="H357" t="s">
        <v>383</v>
      </c>
      <c r="I357" t="s">
        <v>558</v>
      </c>
    </row>
    <row r="358" spans="1:9">
      <c r="A358" s="1" t="s">
        <v>365</v>
      </c>
      <c r="B358">
        <f>HYPERLINK("https://www.suredividend.com/sure-analysis-NVDA/","NVIDIA Corp.")</f>
        <v>0</v>
      </c>
      <c r="C358" t="s">
        <v>631</v>
      </c>
      <c r="D358">
        <v>0.001568396804391</v>
      </c>
      <c r="E358">
        <v>-0.1636299179714189</v>
      </c>
      <c r="F358">
        <v>0.15</v>
      </c>
      <c r="G358">
        <v>-0.03634873710068831</v>
      </c>
      <c r="H358" t="s">
        <v>383</v>
      </c>
      <c r="I358" t="s">
        <v>558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631</v>
      </c>
      <c r="D359">
        <v>0.020690460671739</v>
      </c>
      <c r="E359">
        <v>-0.1123222044055516</v>
      </c>
      <c r="F359">
        <v>0.05</v>
      </c>
      <c r="G359">
        <v>-0.03910541781353971</v>
      </c>
      <c r="H359" t="s">
        <v>383</v>
      </c>
      <c r="I359" t="s">
        <v>300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631</v>
      </c>
      <c r="D360">
        <v>0.010431551871963</v>
      </c>
      <c r="E360">
        <v>-0.1196698882458423</v>
      </c>
      <c r="F360">
        <v>0.07000000000000001</v>
      </c>
      <c r="G360">
        <v>-0.04084764553280718</v>
      </c>
      <c r="H360" t="s">
        <v>383</v>
      </c>
      <c r="I360" t="s">
        <v>558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0.006805980861305001</v>
      </c>
      <c r="E361">
        <v>-0.1097662007023142</v>
      </c>
      <c r="F361">
        <v>0.018</v>
      </c>
      <c r="G361">
        <v>-0.04812845894879192</v>
      </c>
      <c r="H361" t="s">
        <v>383</v>
      </c>
      <c r="I361" t="s">
        <v>558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0.008533202105153001</v>
      </c>
      <c r="E362">
        <v>-0.1016112714832579</v>
      </c>
      <c r="F362">
        <v>0</v>
      </c>
      <c r="G362">
        <v>-0.08457859892147623</v>
      </c>
      <c r="H362" t="s">
        <v>383</v>
      </c>
      <c r="I362" t="s">
        <v>558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0.007857606315192001</v>
      </c>
      <c r="E363">
        <v>-0.1229331985978034</v>
      </c>
      <c r="F363">
        <v>0</v>
      </c>
      <c r="G363">
        <v>-0.1072319246151255</v>
      </c>
      <c r="H363" t="s">
        <v>383</v>
      </c>
      <c r="I363" t="s">
        <v>558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0.306058201058201</v>
      </c>
      <c r="E364">
        <v>0.2381697146550998</v>
      </c>
      <c r="F364">
        <v>0.03</v>
      </c>
      <c r="G364">
        <v>0.275314806094753</v>
      </c>
      <c r="H364" t="s">
        <v>300</v>
      </c>
      <c r="I364" t="s">
        <v>635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0.118291592128801</v>
      </c>
      <c r="E365">
        <v>0.1343720001812858</v>
      </c>
      <c r="F365">
        <v>0.05</v>
      </c>
      <c r="G365">
        <v>0.2513190357873296</v>
      </c>
      <c r="H365" t="s">
        <v>300</v>
      </c>
      <c r="I365" t="s">
        <v>636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631</v>
      </c>
      <c r="D366">
        <v>0.049586776859504</v>
      </c>
      <c r="E366">
        <v>0.1130047374516758</v>
      </c>
      <c r="F366">
        <v>0.07000000000000001</v>
      </c>
      <c r="G366">
        <v>0.2182563968076066</v>
      </c>
      <c r="H366" t="s">
        <v>300</v>
      </c>
      <c r="I366" t="s">
        <v>383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0.035976583288983</v>
      </c>
      <c r="E367">
        <v>-0.06260544688105663</v>
      </c>
      <c r="F367">
        <v>0.25</v>
      </c>
      <c r="G367">
        <v>0.205768651641409</v>
      </c>
      <c r="H367" t="s">
        <v>300</v>
      </c>
      <c r="I367" t="s">
        <v>300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631</v>
      </c>
      <c r="D368">
        <v>0.118207816968541</v>
      </c>
      <c r="E368">
        <v>0.137760629268022</v>
      </c>
      <c r="F368">
        <v>0.02</v>
      </c>
      <c r="G368">
        <v>0.1936369843324379</v>
      </c>
      <c r="H368" t="s">
        <v>300</v>
      </c>
      <c r="I368" t="s">
        <v>636</v>
      </c>
    </row>
    <row r="369" spans="1:9">
      <c r="A369" s="1" t="s">
        <v>376</v>
      </c>
      <c r="B369">
        <f>HYPERLINK("https://www.suredividend.com/sure-analysis-HEP/","Holly Energy Partners LP")</f>
        <v>0</v>
      </c>
      <c r="C369" t="s">
        <v>632</v>
      </c>
      <c r="D369">
        <v>0.206413210445468</v>
      </c>
      <c r="E369">
        <v>0.07852079543857893</v>
      </c>
      <c r="F369">
        <v>0.04</v>
      </c>
      <c r="G369">
        <v>0.191358731205606</v>
      </c>
      <c r="H369" t="s">
        <v>300</v>
      </c>
      <c r="I369" t="s">
        <v>636</v>
      </c>
    </row>
    <row r="370" spans="1:9">
      <c r="A370" s="1" t="s">
        <v>377</v>
      </c>
      <c r="B370">
        <f>HYPERLINK("https://www.suredividend.com/sure-analysis-SPH/","Suburban Propane Partners LP")</f>
        <v>0</v>
      </c>
      <c r="C370" t="s">
        <v>632</v>
      </c>
      <c r="D370">
        <v>0.167597765363128</v>
      </c>
      <c r="E370">
        <v>0.04680526290373677</v>
      </c>
      <c r="F370">
        <v>0.04</v>
      </c>
      <c r="G370">
        <v>0.1880937225610868</v>
      </c>
      <c r="H370" t="s">
        <v>300</v>
      </c>
      <c r="I370" t="s">
        <v>636</v>
      </c>
    </row>
    <row r="371" spans="1:9">
      <c r="A371" s="1" t="s">
        <v>378</v>
      </c>
      <c r="B371">
        <f>HYPERLINK("https://www.suredividend.com/sure-analysis-USAC/","USA Compression Partners LP")</f>
        <v>0</v>
      </c>
      <c r="C371" t="s">
        <v>632</v>
      </c>
      <c r="D371">
        <v>0.1875</v>
      </c>
      <c r="E371">
        <v>0.05732557823340656</v>
      </c>
      <c r="F371">
        <v>0.01</v>
      </c>
      <c r="G371">
        <v>0.1839529394049269</v>
      </c>
      <c r="H371" t="s">
        <v>300</v>
      </c>
      <c r="I371" t="s">
        <v>636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631</v>
      </c>
      <c r="D372">
        <v>0.037483843171046</v>
      </c>
      <c r="E372">
        <v>0.09175571014082839</v>
      </c>
      <c r="F372">
        <v>0.05</v>
      </c>
      <c r="G372">
        <v>0.1714873436574991</v>
      </c>
      <c r="H372" t="s">
        <v>300</v>
      </c>
      <c r="I372" t="s">
        <v>300</v>
      </c>
    </row>
    <row r="373" spans="1:9">
      <c r="A373" s="1" t="s">
        <v>380</v>
      </c>
      <c r="B373">
        <f>HYPERLINK("https://www.suredividend.com/sure-analysis-PACW/","PacWest Bancorp")</f>
        <v>0</v>
      </c>
      <c r="C373" t="s">
        <v>631</v>
      </c>
      <c r="D373">
        <v>0.110452586206896</v>
      </c>
      <c r="E373">
        <v>0.1008005973645589</v>
      </c>
      <c r="F373">
        <v>0</v>
      </c>
      <c r="G373">
        <v>0.1601419914994857</v>
      </c>
      <c r="H373" t="s">
        <v>300</v>
      </c>
      <c r="I373" t="s">
        <v>636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633</v>
      </c>
      <c r="D374">
        <v>0.16710182767624</v>
      </c>
      <c r="E374">
        <v>0.008723743571266818</v>
      </c>
      <c r="F374">
        <v>0.03</v>
      </c>
      <c r="G374">
        <v>0.1583016325069184</v>
      </c>
      <c r="H374" t="s">
        <v>300</v>
      </c>
      <c r="I374" t="s">
        <v>636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631</v>
      </c>
      <c r="D375">
        <v>0.053563670091324</v>
      </c>
      <c r="E375">
        <v>0.07369561975748784</v>
      </c>
      <c r="F375">
        <v>0.042</v>
      </c>
      <c r="G375">
        <v>0.1574920093692513</v>
      </c>
      <c r="H375" t="s">
        <v>300</v>
      </c>
      <c r="I375" t="s">
        <v>383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631</v>
      </c>
      <c r="D376">
        <v>0.040621266427718</v>
      </c>
      <c r="E376">
        <v>0.06249388902002861</v>
      </c>
      <c r="F376">
        <v>0.06</v>
      </c>
      <c r="G376">
        <v>0.156576069449299</v>
      </c>
      <c r="H376" t="s">
        <v>300</v>
      </c>
      <c r="I376" t="s">
        <v>300</v>
      </c>
    </row>
    <row r="377" spans="1:9">
      <c r="A377" s="1" t="s">
        <v>384</v>
      </c>
      <c r="B377">
        <f>HYPERLINK("https://www.suredividend.com/sure-analysis-UBA/","Urstadt Biddle Properties, Inc.")</f>
        <v>0</v>
      </c>
      <c r="C377" t="s">
        <v>633</v>
      </c>
      <c r="D377">
        <v>0.107558139534883</v>
      </c>
      <c r="E377">
        <v>0.1049785431314096</v>
      </c>
      <c r="F377">
        <v>0</v>
      </c>
      <c r="G377">
        <v>0.1552131035528121</v>
      </c>
      <c r="H377" t="s">
        <v>300</v>
      </c>
      <c r="I377" t="s">
        <v>636</v>
      </c>
    </row>
    <row r="378" spans="1:9">
      <c r="A378" s="1" t="s">
        <v>385</v>
      </c>
      <c r="B378">
        <f>HYPERLINK("https://www.suredividend.com/sure-analysis-CTL/","CenturyLink, Inc.")</f>
        <v>0</v>
      </c>
      <c r="C378" t="s">
        <v>631</v>
      </c>
      <c r="D378">
        <v>0.10204081632653</v>
      </c>
      <c r="E378">
        <v>0.05650784672251463</v>
      </c>
      <c r="F378">
        <v>0.03</v>
      </c>
      <c r="G378">
        <v>0.1528254220502148</v>
      </c>
      <c r="H378" t="s">
        <v>300</v>
      </c>
      <c r="I378" t="s">
        <v>636</v>
      </c>
    </row>
    <row r="379" spans="1:9">
      <c r="A379" s="1" t="s">
        <v>386</v>
      </c>
      <c r="B379">
        <f>HYPERLINK("https://www.suredividend.com/sure-analysis-DIN/","Dine Brands Global, Inc.")</f>
        <v>0</v>
      </c>
      <c r="C379" t="s">
        <v>631</v>
      </c>
      <c r="D379">
        <v>0.073107724102299</v>
      </c>
      <c r="E379">
        <v>0.112613058471819</v>
      </c>
      <c r="F379">
        <v>0.035</v>
      </c>
      <c r="G379">
        <v>0.1515545155183324</v>
      </c>
      <c r="H379" t="s">
        <v>300</v>
      </c>
      <c r="I379" t="s">
        <v>383</v>
      </c>
    </row>
    <row r="380" spans="1:9">
      <c r="A380" s="1" t="s">
        <v>387</v>
      </c>
      <c r="B380">
        <f>HYPERLINK("https://www.suredividend.com/sure-analysis-PSX/","Phillips 66")</f>
        <v>0</v>
      </c>
      <c r="C380" t="s">
        <v>631</v>
      </c>
      <c r="D380">
        <v>0.05639097744360901</v>
      </c>
      <c r="E380">
        <v>0.05642162229904302</v>
      </c>
      <c r="F380">
        <v>0.05</v>
      </c>
      <c r="G380">
        <v>0.1494199597357766</v>
      </c>
      <c r="H380" t="s">
        <v>300</v>
      </c>
      <c r="I380" t="s">
        <v>383</v>
      </c>
    </row>
    <row r="381" spans="1:9">
      <c r="A381" s="1" t="s">
        <v>388</v>
      </c>
      <c r="B381">
        <f>HYPERLINK("https://www.suredividend.com/sure-analysis-IMBBY/","Imperial Brands Plc")</f>
        <v>0</v>
      </c>
      <c r="C381" t="s">
        <v>631</v>
      </c>
      <c r="D381">
        <v>0.139534492428491</v>
      </c>
      <c r="E381">
        <v>0.05224119074958611</v>
      </c>
      <c r="F381">
        <v>0.03</v>
      </c>
      <c r="G381">
        <v>0.1448281457173095</v>
      </c>
      <c r="H381" t="s">
        <v>300</v>
      </c>
      <c r="I381" t="s">
        <v>636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633</v>
      </c>
      <c r="D382">
        <v>0.133814102564102</v>
      </c>
      <c r="E382">
        <v>0.06376786616906682</v>
      </c>
      <c r="F382">
        <v>0.019</v>
      </c>
      <c r="G382">
        <v>0.1430129207979964</v>
      </c>
      <c r="H382" t="s">
        <v>300</v>
      </c>
      <c r="I382" t="s">
        <v>636</v>
      </c>
    </row>
    <row r="383" spans="1:9">
      <c r="A383" s="1" t="s">
        <v>390</v>
      </c>
      <c r="B383">
        <f>HYPERLINK("https://www.suredividend.com/sure-analysis-IPPLF/","Inter Pipeline Ltd.")</f>
        <v>0</v>
      </c>
      <c r="C383" t="s">
        <v>631</v>
      </c>
      <c r="D383">
        <v>0.136404501233977</v>
      </c>
      <c r="E383">
        <v>0.08246889731087204</v>
      </c>
      <c r="F383">
        <v>0.03</v>
      </c>
      <c r="G383">
        <v>0.1416593989877821</v>
      </c>
      <c r="H383" t="s">
        <v>300</v>
      </c>
      <c r="I383" t="s">
        <v>635</v>
      </c>
    </row>
    <row r="384" spans="1:9">
      <c r="A384" s="1" t="s">
        <v>391</v>
      </c>
      <c r="B384">
        <f>HYPERLINK("https://www.suredividend.com/sure-analysis-TEF/","Telefónica SA")</f>
        <v>0</v>
      </c>
      <c r="C384" t="s">
        <v>631</v>
      </c>
      <c r="D384">
        <v>0.06835412262156401</v>
      </c>
      <c r="E384">
        <v>0.05899980891348511</v>
      </c>
      <c r="F384">
        <v>0.02</v>
      </c>
      <c r="G384">
        <v>0.1412115767175333</v>
      </c>
      <c r="H384" t="s">
        <v>300</v>
      </c>
      <c r="I384" t="s">
        <v>636</v>
      </c>
    </row>
    <row r="385" spans="1:9">
      <c r="A385" s="1" t="s">
        <v>392</v>
      </c>
      <c r="B385">
        <f>HYPERLINK("https://www.suredividend.com/sure-analysis-ALLY/","Ally Financial, Inc.")</f>
        <v>0</v>
      </c>
      <c r="C385" t="s">
        <v>631</v>
      </c>
      <c r="D385">
        <v>0.033818694222639</v>
      </c>
      <c r="E385">
        <v>0.05632236253760814</v>
      </c>
      <c r="F385">
        <v>0.05</v>
      </c>
      <c r="G385">
        <v>0.1390922677263942</v>
      </c>
      <c r="H385" t="s">
        <v>300</v>
      </c>
      <c r="I385" t="s">
        <v>300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633</v>
      </c>
      <c r="D386">
        <v>0.242199108469539</v>
      </c>
      <c r="E386">
        <v>0.1131060806876401</v>
      </c>
      <c r="F386">
        <v>0.02</v>
      </c>
      <c r="G386">
        <v>0.1389227040211209</v>
      </c>
      <c r="H386" t="s">
        <v>300</v>
      </c>
      <c r="I386" t="s">
        <v>636</v>
      </c>
    </row>
    <row r="387" spans="1:9">
      <c r="A387" s="1" t="s">
        <v>394</v>
      </c>
      <c r="B387">
        <f>HYPERLINK("https://www.suredividend.com/sure-analysis-PFE/","Pfizer Inc.")</f>
        <v>0</v>
      </c>
      <c r="C387" t="s">
        <v>631</v>
      </c>
      <c r="D387">
        <v>0.04082758620689601</v>
      </c>
      <c r="E387">
        <v>0.04879344456984835</v>
      </c>
      <c r="F387">
        <v>0.06</v>
      </c>
      <c r="G387">
        <v>0.1386918329441065</v>
      </c>
      <c r="H387" t="s">
        <v>300</v>
      </c>
      <c r="I387" t="s">
        <v>383</v>
      </c>
    </row>
    <row r="388" spans="1:9">
      <c r="A388" s="1" t="s">
        <v>395</v>
      </c>
      <c r="B388">
        <f>HYPERLINK("https://www.suredividend.com/sure-analysis-KTB/","Kontoor Brands, Inc.")</f>
        <v>0</v>
      </c>
      <c r="C388" t="s">
        <v>631</v>
      </c>
      <c r="D388">
        <v>0.09784507862550901</v>
      </c>
      <c r="E388">
        <v>0.1027512208003409</v>
      </c>
      <c r="F388">
        <v>0.03</v>
      </c>
      <c r="G388">
        <v>0.1358337574243513</v>
      </c>
      <c r="H388" t="s">
        <v>300</v>
      </c>
      <c r="I388" t="s">
        <v>636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631</v>
      </c>
      <c r="D389">
        <v>0.06702412868632701</v>
      </c>
      <c r="E389">
        <v>0.06035730949780627</v>
      </c>
      <c r="F389">
        <v>0.019</v>
      </c>
      <c r="G389">
        <v>0.1302532188346701</v>
      </c>
      <c r="H389" t="s">
        <v>300</v>
      </c>
      <c r="I389" t="s">
        <v>636</v>
      </c>
    </row>
    <row r="390" spans="1:9">
      <c r="A390" s="1" t="s">
        <v>397</v>
      </c>
      <c r="B390">
        <f>HYPERLINK("https://www.suredividend.com/sure-analysis-STWD/","Starwood Property Trust, Inc.")</f>
        <v>0</v>
      </c>
      <c r="C390" t="s">
        <v>633</v>
      </c>
      <c r="D390">
        <v>0.130701157249829</v>
      </c>
      <c r="E390">
        <v>0.01723111850068881</v>
      </c>
      <c r="F390">
        <v>0.014</v>
      </c>
      <c r="G390">
        <v>0.1273694177963951</v>
      </c>
      <c r="H390" t="s">
        <v>300</v>
      </c>
      <c r="I390" t="s">
        <v>636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633</v>
      </c>
      <c r="D391">
        <v>0.069593345656192</v>
      </c>
      <c r="E391">
        <v>0.05288310041551392</v>
      </c>
      <c r="F391">
        <v>0.02</v>
      </c>
      <c r="G391">
        <v>0.1249531196917668</v>
      </c>
      <c r="H391" t="s">
        <v>300</v>
      </c>
      <c r="I391" t="s">
        <v>383</v>
      </c>
    </row>
    <row r="392" spans="1:9">
      <c r="A392" s="1" t="s">
        <v>399</v>
      </c>
      <c r="B392">
        <f>HYPERLINK("https://www.suredividend.com/sure-analysis-XRX/","Xerox Holdings Corp.")</f>
        <v>0</v>
      </c>
      <c r="C392" t="s">
        <v>631</v>
      </c>
      <c r="D392">
        <v>0.057636887608069</v>
      </c>
      <c r="E392">
        <v>0.08426333916784556</v>
      </c>
      <c r="F392">
        <v>0</v>
      </c>
      <c r="G392">
        <v>0.1230845244979741</v>
      </c>
      <c r="H392" t="s">
        <v>300</v>
      </c>
      <c r="I392" t="s">
        <v>383</v>
      </c>
    </row>
    <row r="393" spans="1:9">
      <c r="A393" s="1" t="s">
        <v>400</v>
      </c>
      <c r="B393">
        <f>HYPERLINK("https://www.suredividend.com/sure-analysis-STOR/","STORE Capital Corp.")</f>
        <v>0</v>
      </c>
      <c r="C393" t="s">
        <v>633</v>
      </c>
      <c r="D393">
        <v>0.06044678055190501</v>
      </c>
      <c r="E393">
        <v>0.04167064105596197</v>
      </c>
      <c r="F393">
        <v>0.035</v>
      </c>
      <c r="G393">
        <v>0.1230271978225641</v>
      </c>
      <c r="H393" t="s">
        <v>300</v>
      </c>
      <c r="I393" t="s">
        <v>383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633</v>
      </c>
      <c r="D394">
        <v>0.09017235056839</v>
      </c>
      <c r="E394">
        <v>0.0259715337960551</v>
      </c>
      <c r="F394">
        <v>0.03</v>
      </c>
      <c r="G394">
        <v>0.1228554715833265</v>
      </c>
      <c r="H394" t="s">
        <v>300</v>
      </c>
      <c r="I394" t="s">
        <v>636</v>
      </c>
    </row>
    <row r="395" spans="1:9">
      <c r="A395" s="1" t="s">
        <v>402</v>
      </c>
      <c r="B395">
        <f>HYPERLINK("https://www.suredividend.com/sure-analysis-OUT/","OUTFRONT Media, Inc.")</f>
        <v>0</v>
      </c>
      <c r="C395" t="s">
        <v>631</v>
      </c>
      <c r="D395">
        <v>0.100828729281767</v>
      </c>
      <c r="E395">
        <v>0.06672454149717999</v>
      </c>
      <c r="F395">
        <v>0.01</v>
      </c>
      <c r="G395">
        <v>0.1184286890321686</v>
      </c>
      <c r="H395" t="s">
        <v>300</v>
      </c>
      <c r="I395" t="s">
        <v>636</v>
      </c>
    </row>
    <row r="396" spans="1:9">
      <c r="A396" s="1" t="s">
        <v>403</v>
      </c>
      <c r="B396">
        <f>HYPERLINK("https://www.suredividend.com/sure-analysis-WMB/","The Williams Cos., Inc.")</f>
        <v>0</v>
      </c>
      <c r="C396" t="s">
        <v>631</v>
      </c>
      <c r="D396">
        <v>0.077895801719777</v>
      </c>
      <c r="E396">
        <v>0.002316005080314598</v>
      </c>
      <c r="F396">
        <v>0.05</v>
      </c>
      <c r="G396">
        <v>0.117179681578472</v>
      </c>
      <c r="H396" t="s">
        <v>300</v>
      </c>
      <c r="I396" t="s">
        <v>636</v>
      </c>
    </row>
    <row r="397" spans="1:9">
      <c r="A397" s="1" t="s">
        <v>404</v>
      </c>
      <c r="B397">
        <f>HYPERLINK("https://www.suredividend.com/sure-analysis-SKT/","Tanger Factory Outlet Centers, Inc.")</f>
        <v>0</v>
      </c>
      <c r="C397" t="s">
        <v>633</v>
      </c>
      <c r="D397">
        <v>0.220542635658914</v>
      </c>
      <c r="E397">
        <v>0.04401335567882669</v>
      </c>
      <c r="F397">
        <v>-0.028</v>
      </c>
      <c r="G397">
        <v>0.1141063356101866</v>
      </c>
      <c r="H397" t="s">
        <v>300</v>
      </c>
      <c r="I397" t="s">
        <v>635</v>
      </c>
    </row>
    <row r="398" spans="1:9">
      <c r="A398" s="1" t="s">
        <v>405</v>
      </c>
      <c r="B398">
        <f>HYPERLINK("https://www.suredividend.com/sure-analysis-PSEC/","Prospect Capital Corp.")</f>
        <v>0</v>
      </c>
      <c r="C398" t="s">
        <v>634</v>
      </c>
      <c r="D398">
        <v>0.146639511201629</v>
      </c>
      <c r="E398">
        <v>-0.004521352549778479</v>
      </c>
      <c r="F398">
        <v>0</v>
      </c>
      <c r="G398">
        <v>0.1133701123375339</v>
      </c>
      <c r="H398" t="s">
        <v>300</v>
      </c>
      <c r="I398" t="s">
        <v>636</v>
      </c>
    </row>
    <row r="399" spans="1:9">
      <c r="A399" s="1" t="s">
        <v>406</v>
      </c>
      <c r="B399">
        <f>HYPERLINK("https://www.suredividend.com/sure-analysis-AXS/","AXIS Capital Holdings Ltd.")</f>
        <v>0</v>
      </c>
      <c r="C399" t="s">
        <v>631</v>
      </c>
      <c r="D399">
        <v>0.039666993143976</v>
      </c>
      <c r="E399">
        <v>0.0284955687911872</v>
      </c>
      <c r="F399">
        <v>0.05</v>
      </c>
      <c r="G399">
        <v>0.1121653430354612</v>
      </c>
      <c r="H399" t="s">
        <v>300</v>
      </c>
      <c r="I399" t="s">
        <v>300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633</v>
      </c>
      <c r="D400">
        <v>0.08646373056994801</v>
      </c>
      <c r="E400">
        <v>0.0253642007312771</v>
      </c>
      <c r="F400">
        <v>0.02</v>
      </c>
      <c r="G400">
        <v>0.1118089361807781</v>
      </c>
      <c r="H400" t="s">
        <v>300</v>
      </c>
      <c r="I400" t="s">
        <v>636</v>
      </c>
    </row>
    <row r="401" spans="1:9">
      <c r="A401" s="1" t="s">
        <v>408</v>
      </c>
      <c r="B401">
        <f>HYPERLINK("https://www.suredividend.com/sure-analysis-USB/","U.S. Bancorp")</f>
        <v>0</v>
      </c>
      <c r="C401" t="s">
        <v>631</v>
      </c>
      <c r="D401">
        <v>0.04662781015820101</v>
      </c>
      <c r="E401">
        <v>0.02112555670819982</v>
      </c>
      <c r="F401">
        <v>0.05</v>
      </c>
      <c r="G401">
        <v>0.1113937016459501</v>
      </c>
      <c r="H401" t="s">
        <v>300</v>
      </c>
      <c r="I401" t="s">
        <v>383</v>
      </c>
    </row>
    <row r="402" spans="1:9">
      <c r="A402" s="1" t="s">
        <v>409</v>
      </c>
      <c r="B402">
        <f>HYPERLINK("https://www.suredividend.com/sure-analysis-GLAD/","Gladstone Capital Corp.")</f>
        <v>0</v>
      </c>
      <c r="C402" t="s">
        <v>631</v>
      </c>
      <c r="D402">
        <v>0.112092391304347</v>
      </c>
      <c r="E402">
        <v>0.01681614782195462</v>
      </c>
      <c r="F402">
        <v>0.01</v>
      </c>
      <c r="G402">
        <v>0.108313190644387</v>
      </c>
      <c r="H402" t="s">
        <v>300</v>
      </c>
      <c r="I402" t="s">
        <v>636</v>
      </c>
    </row>
    <row r="403" spans="1:9">
      <c r="A403" s="1" t="s">
        <v>410</v>
      </c>
      <c r="B403">
        <f>HYPERLINK("https://www.suredividend.com/sure-analysis-LTC/","LTC Properties, Inc.")</f>
        <v>0</v>
      </c>
      <c r="C403" t="s">
        <v>633</v>
      </c>
      <c r="D403">
        <v>0.060015793629902</v>
      </c>
      <c r="E403">
        <v>0.02980898474950866</v>
      </c>
      <c r="F403">
        <v>0.03</v>
      </c>
      <c r="G403">
        <v>0.1056316808409101</v>
      </c>
      <c r="H403" t="s">
        <v>300</v>
      </c>
      <c r="I403" t="s">
        <v>383</v>
      </c>
    </row>
    <row r="404" spans="1:9">
      <c r="A404" s="1" t="s">
        <v>411</v>
      </c>
      <c r="B404">
        <f>HYPERLINK("https://www.suredividend.com/sure-analysis-JPM/","JPMorgan Chase &amp; Co.")</f>
        <v>0</v>
      </c>
      <c r="C404" t="s">
        <v>631</v>
      </c>
      <c r="D404">
        <v>0.03667481662591601</v>
      </c>
      <c r="E404">
        <v>0.01356347043944539</v>
      </c>
      <c r="F404">
        <v>0.06</v>
      </c>
      <c r="G404">
        <v>0.105434382785538</v>
      </c>
      <c r="H404" t="s">
        <v>300</v>
      </c>
      <c r="I404" t="s">
        <v>300</v>
      </c>
    </row>
    <row r="405" spans="1:9">
      <c r="A405" s="1" t="s">
        <v>412</v>
      </c>
      <c r="B405">
        <f>HYPERLINK("https://www.suredividend.com/sure-analysis-TRGP/","Targa Resources Corp.")</f>
        <v>0</v>
      </c>
      <c r="C405" t="s">
        <v>631</v>
      </c>
      <c r="D405">
        <v>0.152478448275862</v>
      </c>
      <c r="E405">
        <v>0.0527534030599619</v>
      </c>
      <c r="F405">
        <v>0.03</v>
      </c>
      <c r="G405">
        <v>0.1044285424467346</v>
      </c>
      <c r="H405" t="s">
        <v>300</v>
      </c>
      <c r="I405" t="s">
        <v>636</v>
      </c>
    </row>
    <row r="406" spans="1:9">
      <c r="A406" s="1" t="s">
        <v>413</v>
      </c>
      <c r="B406">
        <f>HYPERLINK("https://www.suredividend.com/sure-analysis-TCP/","TC Pipelines LP")</f>
        <v>0</v>
      </c>
      <c r="C406" t="s">
        <v>632</v>
      </c>
      <c r="D406">
        <v>0.08583690987124401</v>
      </c>
      <c r="E406">
        <v>0.004644669080813291</v>
      </c>
      <c r="F406">
        <v>0.03</v>
      </c>
      <c r="G406">
        <v>0.1033582865308689</v>
      </c>
      <c r="H406" t="s">
        <v>300</v>
      </c>
      <c r="I406" t="s">
        <v>636</v>
      </c>
    </row>
    <row r="407" spans="1:9">
      <c r="A407" s="1" t="s">
        <v>414</v>
      </c>
      <c r="B407">
        <f>HYPERLINK("https://www.suredividend.com/sure-analysis-FE/","FirstEnergy Corp.")</f>
        <v>0</v>
      </c>
      <c r="C407" t="s">
        <v>631</v>
      </c>
      <c r="D407">
        <v>0.036307546274323</v>
      </c>
      <c r="E407">
        <v>0.03479684187871057</v>
      </c>
      <c r="F407">
        <v>0.04</v>
      </c>
      <c r="G407">
        <v>0.1032360079332846</v>
      </c>
      <c r="H407" t="s">
        <v>300</v>
      </c>
      <c r="I407" t="s">
        <v>300</v>
      </c>
    </row>
    <row r="408" spans="1:9">
      <c r="A408" s="1" t="s">
        <v>415</v>
      </c>
      <c r="B408">
        <f>HYPERLINK("https://www.suredividend.com/sure-analysis-SBRA/","Sabra Health Care REIT, Inc.")</f>
        <v>0</v>
      </c>
      <c r="C408" t="s">
        <v>633</v>
      </c>
      <c r="D408">
        <v>0.126849894291754</v>
      </c>
      <c r="E408">
        <v>-0.002692401280085521</v>
      </c>
      <c r="F408">
        <v>0.031</v>
      </c>
      <c r="G408">
        <v>0.101972534194972</v>
      </c>
      <c r="H408" t="s">
        <v>300</v>
      </c>
      <c r="I408" t="s">
        <v>636</v>
      </c>
    </row>
    <row r="409" spans="1:9">
      <c r="A409" s="1" t="s">
        <v>416</v>
      </c>
      <c r="B409">
        <f>HYPERLINK("https://www.suredividend.com/sure-analysis-ABR/","Arbor Realty Trust, Inc.")</f>
        <v>0</v>
      </c>
      <c r="C409" t="s">
        <v>633</v>
      </c>
      <c r="D409">
        <v>0.135416666666666</v>
      </c>
      <c r="E409">
        <v>-0.09483216663352068</v>
      </c>
      <c r="F409">
        <v>0.095</v>
      </c>
      <c r="G409">
        <v>0.1015756908932399</v>
      </c>
      <c r="H409" t="s">
        <v>300</v>
      </c>
      <c r="I409" t="s">
        <v>636</v>
      </c>
    </row>
    <row r="410" spans="1:9">
      <c r="A410" s="1" t="s">
        <v>417</v>
      </c>
      <c r="B410">
        <f>HYPERLINK("https://www.suredividend.com/sure-analysis-TPR/","Tapestry, Inc.")</f>
        <v>0</v>
      </c>
      <c r="C410" t="s">
        <v>631</v>
      </c>
      <c r="D410">
        <v>0.098828696925329</v>
      </c>
      <c r="E410">
        <v>0.03212870519500255</v>
      </c>
      <c r="F410">
        <v>0.05</v>
      </c>
      <c r="G410">
        <v>0.1012067571683597</v>
      </c>
      <c r="H410" t="s">
        <v>300</v>
      </c>
      <c r="I410" t="s">
        <v>636</v>
      </c>
    </row>
    <row r="411" spans="1:9">
      <c r="A411" s="1" t="s">
        <v>418</v>
      </c>
      <c r="B411">
        <f>HYPERLINK("https://www.suredividend.com/sure-analysis-UBS/","UBS Group AG")</f>
        <v>0</v>
      </c>
      <c r="C411" t="s">
        <v>631</v>
      </c>
      <c r="D411">
        <v>0.04482187241093601</v>
      </c>
      <c r="E411">
        <v>0.04442389129477098</v>
      </c>
      <c r="F411">
        <v>0.01</v>
      </c>
      <c r="G411">
        <v>0.1010780483754712</v>
      </c>
      <c r="H411" t="s">
        <v>300</v>
      </c>
      <c r="I411" t="s">
        <v>383</v>
      </c>
    </row>
    <row r="412" spans="1:9">
      <c r="A412" s="1" t="s">
        <v>419</v>
      </c>
      <c r="B412">
        <f>HYPERLINK("https://www.suredividend.com/sure-analysis-DDAIF/","Daimler AG")</f>
        <v>0</v>
      </c>
      <c r="C412" t="s">
        <v>631</v>
      </c>
      <c r="D412">
        <v>0.02</v>
      </c>
      <c r="E412">
        <v>0.03326726610994291</v>
      </c>
      <c r="F412">
        <v>0.05</v>
      </c>
      <c r="G412">
        <v>0.1003639503962064</v>
      </c>
      <c r="H412" t="s">
        <v>300</v>
      </c>
      <c r="I412" t="s">
        <v>558</v>
      </c>
    </row>
    <row r="413" spans="1:9">
      <c r="A413" s="1" t="s">
        <v>420</v>
      </c>
      <c r="B413">
        <f>HYPERLINK("https://www.suredividend.com/sure-analysis-NYCB/","New York Community Bancorp, Inc.")</f>
        <v>0</v>
      </c>
      <c r="C413" t="s">
        <v>631</v>
      </c>
      <c r="D413">
        <v>0.067527308838133</v>
      </c>
      <c r="E413">
        <v>-0.001394150015957552</v>
      </c>
      <c r="F413">
        <v>0.05</v>
      </c>
      <c r="G413">
        <v>0.09925262061772777</v>
      </c>
      <c r="H413" t="s">
        <v>300</v>
      </c>
      <c r="I413" t="s">
        <v>383</v>
      </c>
    </row>
    <row r="414" spans="1:9">
      <c r="A414" s="1" t="s">
        <v>421</v>
      </c>
      <c r="B414">
        <f>HYPERLINK("https://www.suredividend.com/sure-analysis-HTGC/","Hercules Capital, Inc.")</f>
        <v>0</v>
      </c>
      <c r="C414" t="s">
        <v>633</v>
      </c>
      <c r="D414">
        <v>0.119291705498602</v>
      </c>
      <c r="E414">
        <v>0.004982715877343225</v>
      </c>
      <c r="F414">
        <v>0</v>
      </c>
      <c r="G414">
        <v>0.09843170246751254</v>
      </c>
      <c r="H414" t="s">
        <v>300</v>
      </c>
      <c r="I414" t="s">
        <v>636</v>
      </c>
    </row>
    <row r="415" spans="1:9">
      <c r="A415" s="1" t="s">
        <v>422</v>
      </c>
      <c r="B415">
        <f>HYPERLINK("https://www.suredividend.com/sure-analysis-BXP/","Boston Properties, Inc.")</f>
        <v>0</v>
      </c>
      <c r="C415" t="s">
        <v>633</v>
      </c>
      <c r="D415">
        <v>0.041474159234984</v>
      </c>
      <c r="E415">
        <v>0.03772352387796785</v>
      </c>
      <c r="F415">
        <v>0.027</v>
      </c>
      <c r="G415">
        <v>0.09744111810479228</v>
      </c>
      <c r="H415" t="s">
        <v>300</v>
      </c>
      <c r="I415" t="s">
        <v>383</v>
      </c>
    </row>
    <row r="416" spans="1:9">
      <c r="A416" s="1" t="s">
        <v>423</v>
      </c>
      <c r="B416">
        <f>HYPERLINK("https://www.suredividend.com/sure-analysis-MGA/","Magna International, Inc.")</f>
        <v>0</v>
      </c>
      <c r="C416" t="s">
        <v>631</v>
      </c>
      <c r="D416">
        <v>0.031483496017776</v>
      </c>
      <c r="E416">
        <v>0.03273423726628266</v>
      </c>
      <c r="F416">
        <v>0.036</v>
      </c>
      <c r="G416">
        <v>0.09652460353510484</v>
      </c>
      <c r="H416" t="s">
        <v>300</v>
      </c>
      <c r="I416" t="s">
        <v>300</v>
      </c>
    </row>
    <row r="417" spans="1:9">
      <c r="A417" s="1" t="s">
        <v>424</v>
      </c>
      <c r="B417">
        <f>HYPERLINK("https://www.suredividend.com/sure-analysis-STX/","Seagate Technology Plc")</f>
        <v>0</v>
      </c>
      <c r="C417" t="s">
        <v>631</v>
      </c>
      <c r="D417">
        <v>0.05303501139424</v>
      </c>
      <c r="E417">
        <v>0.01106383308942305</v>
      </c>
      <c r="F417">
        <v>0.04</v>
      </c>
      <c r="G417">
        <v>0.09518462941938788</v>
      </c>
      <c r="H417" t="s">
        <v>300</v>
      </c>
      <c r="I417" t="s">
        <v>383</v>
      </c>
    </row>
    <row r="418" spans="1:9">
      <c r="A418" s="1" t="s">
        <v>425</v>
      </c>
      <c r="B418">
        <f>HYPERLINK("https://www.suredividend.com/sure-analysis-TRP/","TC Energy Corp.")</f>
        <v>0</v>
      </c>
      <c r="C418" t="s">
        <v>631</v>
      </c>
      <c r="D418">
        <v>0.05159048530285201</v>
      </c>
      <c r="E418">
        <v>0.006381234045480966</v>
      </c>
      <c r="F418">
        <v>0.04</v>
      </c>
      <c r="G418">
        <v>0.09488445675150015</v>
      </c>
      <c r="H418" t="s">
        <v>300</v>
      </c>
      <c r="I418" t="s">
        <v>383</v>
      </c>
    </row>
    <row r="419" spans="1:9">
      <c r="A419" s="1" t="s">
        <v>426</v>
      </c>
      <c r="B419">
        <f>HYPERLINK("https://www.suredividend.com/sure-analysis-HAS/","Hasbro, Inc.")</f>
        <v>0</v>
      </c>
      <c r="C419" t="s">
        <v>631</v>
      </c>
      <c r="D419">
        <v>0.035101303393986</v>
      </c>
      <c r="E419">
        <v>-0.01458908809266646</v>
      </c>
      <c r="F419">
        <v>0.08</v>
      </c>
      <c r="G419">
        <v>0.09337775379767166</v>
      </c>
      <c r="H419" t="s">
        <v>300</v>
      </c>
      <c r="I419" t="s">
        <v>300</v>
      </c>
    </row>
    <row r="420" spans="1:9">
      <c r="A420" s="1" t="s">
        <v>427</v>
      </c>
      <c r="B420">
        <f>HYPERLINK("https://www.suredividend.com/sure-analysis-GSK/","GlaxoSmithKline Plc")</f>
        <v>0</v>
      </c>
      <c r="C420" t="s">
        <v>631</v>
      </c>
      <c r="D420">
        <v>0.046978646580583</v>
      </c>
      <c r="E420">
        <v>0.01923601372373196</v>
      </c>
      <c r="F420">
        <v>0.03</v>
      </c>
      <c r="G420">
        <v>0.09041541930562502</v>
      </c>
      <c r="H420" t="s">
        <v>300</v>
      </c>
      <c r="I420" t="s">
        <v>383</v>
      </c>
    </row>
    <row r="421" spans="1:9">
      <c r="A421" s="1" t="s">
        <v>428</v>
      </c>
      <c r="B421">
        <f>HYPERLINK("https://www.suredividend.com/sure-analysis-LYB/","LyondellBasell Industries NV")</f>
        <v>0</v>
      </c>
      <c r="C421" t="s">
        <v>631</v>
      </c>
      <c r="D421">
        <v>0.06131386861313801</v>
      </c>
      <c r="E421">
        <v>-0.04645621980440007</v>
      </c>
      <c r="F421">
        <v>0.09</v>
      </c>
      <c r="G421">
        <v>0.08998432280888102</v>
      </c>
      <c r="H421" t="s">
        <v>300</v>
      </c>
      <c r="I421" t="s">
        <v>383</v>
      </c>
    </row>
    <row r="422" spans="1:9">
      <c r="A422" s="1" t="s">
        <v>429</v>
      </c>
      <c r="B422">
        <f>HYPERLINK("https://www.suredividend.com/sure-analysis-SSREY/","Swiss Re AG")</f>
        <v>0</v>
      </c>
      <c r="C422" t="s">
        <v>631</v>
      </c>
      <c r="D422">
        <v>0.07481426448736901</v>
      </c>
      <c r="E422">
        <v>-0.0227014886694975</v>
      </c>
      <c r="F422">
        <v>0.05</v>
      </c>
      <c r="G422">
        <v>0.08952102143220753</v>
      </c>
      <c r="H422" t="s">
        <v>300</v>
      </c>
      <c r="I422" t="s">
        <v>383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633</v>
      </c>
      <c r="D423">
        <v>0.055407565263718</v>
      </c>
      <c r="E423">
        <v>-0.008342624085829198</v>
      </c>
      <c r="F423">
        <v>0.047</v>
      </c>
      <c r="G423">
        <v>0.08942846524369141</v>
      </c>
      <c r="H423" t="s">
        <v>300</v>
      </c>
      <c r="I423" t="s">
        <v>383</v>
      </c>
    </row>
    <row r="424" spans="1:9">
      <c r="A424" s="1" t="s">
        <v>431</v>
      </c>
      <c r="B424">
        <f>HYPERLINK("https://www.suredividend.com/sure-analysis-TS/","Tenaris SA")</f>
        <v>0</v>
      </c>
      <c r="C424" t="s">
        <v>631</v>
      </c>
      <c r="D424">
        <v>0.02</v>
      </c>
      <c r="E424">
        <v>0.01493197894539366</v>
      </c>
      <c r="F424">
        <v>0.06</v>
      </c>
      <c r="G424">
        <v>0.08926930676922207</v>
      </c>
      <c r="H424" t="s">
        <v>300</v>
      </c>
      <c r="I424" t="s">
        <v>558</v>
      </c>
    </row>
    <row r="425" spans="1:9">
      <c r="A425" s="1" t="s">
        <v>432</v>
      </c>
      <c r="B425">
        <f>HYPERLINK("https://www.suredividend.com/sure-analysis-HTA/","Healthcare Trust of America, Inc.")</f>
        <v>0</v>
      </c>
      <c r="C425" t="s">
        <v>633</v>
      </c>
      <c r="D425">
        <v>0.047038980509745</v>
      </c>
      <c r="E425">
        <v>0.01681614782195462</v>
      </c>
      <c r="F425">
        <v>0.03</v>
      </c>
      <c r="G425">
        <v>0.08553137282791301</v>
      </c>
      <c r="H425" t="s">
        <v>300</v>
      </c>
      <c r="I425" t="s">
        <v>300</v>
      </c>
    </row>
    <row r="426" spans="1:9">
      <c r="A426" s="1" t="s">
        <v>433</v>
      </c>
      <c r="B426">
        <f>HYPERLINK("https://www.suredividend.com/sure-analysis-AEG/","AEGON NV")</f>
        <v>0</v>
      </c>
      <c r="C426" t="s">
        <v>631</v>
      </c>
      <c r="D426">
        <v>0.09239616613418501</v>
      </c>
      <c r="E426">
        <v>-0.05172700942518027</v>
      </c>
      <c r="F426">
        <v>0.05</v>
      </c>
      <c r="G426">
        <v>0.08530553145749509</v>
      </c>
      <c r="H426" t="s">
        <v>300</v>
      </c>
      <c r="I426" t="s">
        <v>636</v>
      </c>
    </row>
    <row r="427" spans="1:9">
      <c r="A427" s="1" t="s">
        <v>434</v>
      </c>
      <c r="B427">
        <f>HYPERLINK("https://www.suredividend.com/sure-analysis-AVGO/","Broadcom, Inc.")</f>
        <v>0</v>
      </c>
      <c r="C427" t="s">
        <v>631</v>
      </c>
      <c r="D427">
        <v>0.03773464232036</v>
      </c>
      <c r="E427">
        <v>-0.02966409418550442</v>
      </c>
      <c r="F427">
        <v>0.075</v>
      </c>
      <c r="G427">
        <v>0.0842325720251127</v>
      </c>
      <c r="H427" t="s">
        <v>300</v>
      </c>
      <c r="I427" t="s">
        <v>300</v>
      </c>
    </row>
    <row r="428" spans="1:9">
      <c r="A428" s="1" t="s">
        <v>435</v>
      </c>
      <c r="B428">
        <f>HYPERLINK("https://www.suredividend.com/sure-analysis-PSO/","Pearson Plc")</f>
        <v>0</v>
      </c>
      <c r="C428" t="s">
        <v>631</v>
      </c>
      <c r="D428">
        <v>0.034168794326241</v>
      </c>
      <c r="E428">
        <v>0.03689198720670794</v>
      </c>
      <c r="F428">
        <v>0.02</v>
      </c>
      <c r="G428">
        <v>0.08353659693660598</v>
      </c>
      <c r="H428" t="s">
        <v>300</v>
      </c>
      <c r="I428" t="s">
        <v>300</v>
      </c>
    </row>
    <row r="429" spans="1:9">
      <c r="A429" s="1" t="s">
        <v>436</v>
      </c>
      <c r="B429">
        <f>HYPERLINK("https://www.suredividend.com/sure-analysis-NTR/","Nutrien Ltd.")</f>
        <v>0</v>
      </c>
      <c r="C429" t="s">
        <v>631</v>
      </c>
      <c r="D429">
        <v>0.053750273927708</v>
      </c>
      <c r="E429">
        <v>-0.01438960320954097</v>
      </c>
      <c r="F429">
        <v>0.05</v>
      </c>
      <c r="G429">
        <v>0.08195432830188043</v>
      </c>
      <c r="H429" t="s">
        <v>300</v>
      </c>
      <c r="I429" t="s">
        <v>300</v>
      </c>
    </row>
    <row r="430" spans="1:9">
      <c r="A430" s="1" t="s">
        <v>437</v>
      </c>
      <c r="B430">
        <f>HYPERLINK("https://www.suredividend.com/sure-analysis-CF/","CF Industries Holdings, Inc.")</f>
        <v>0</v>
      </c>
      <c r="C430" t="s">
        <v>631</v>
      </c>
      <c r="D430">
        <v>0.039525691699604</v>
      </c>
      <c r="E430">
        <v>0.02885282744942663</v>
      </c>
      <c r="F430">
        <v>0.02</v>
      </c>
      <c r="G430">
        <v>0.08016471506967493</v>
      </c>
      <c r="H430" t="s">
        <v>300</v>
      </c>
      <c r="I430" t="s">
        <v>300</v>
      </c>
    </row>
    <row r="431" spans="1:9">
      <c r="A431" s="1" t="s">
        <v>438</v>
      </c>
      <c r="B431">
        <f>HYPERLINK("https://www.suredividend.com/sure-analysis-AQN/","Algonquin Power &amp; Utilities Corp.")</f>
        <v>0</v>
      </c>
      <c r="C431" t="s">
        <v>631</v>
      </c>
      <c r="D431">
        <v>0.041121665148337</v>
      </c>
      <c r="E431">
        <v>-0.02756533520359794</v>
      </c>
      <c r="F431">
        <v>0.065</v>
      </c>
      <c r="G431">
        <v>0.07836795187678391</v>
      </c>
      <c r="H431" t="s">
        <v>300</v>
      </c>
      <c r="I431" t="s">
        <v>300</v>
      </c>
    </row>
    <row r="432" spans="1:9">
      <c r="A432" s="1" t="s">
        <v>439</v>
      </c>
      <c r="B432">
        <f>HYPERLINK("https://www.suredividend.com/sure-analysis-WRK/","WestRock Co.")</f>
        <v>0</v>
      </c>
      <c r="C432" t="s">
        <v>631</v>
      </c>
      <c r="D432">
        <v>0.061394728061394</v>
      </c>
      <c r="E432">
        <v>-0.006558608093087281</v>
      </c>
      <c r="F432">
        <v>0.06</v>
      </c>
      <c r="G432">
        <v>0.07792809558630442</v>
      </c>
      <c r="H432" t="s">
        <v>300</v>
      </c>
      <c r="I432" t="s">
        <v>383</v>
      </c>
    </row>
    <row r="433" spans="1:9">
      <c r="A433" s="1" t="s">
        <v>440</v>
      </c>
      <c r="B433">
        <f>HYPERLINK("https://www.suredividend.com/sure-analysis-GNL/","Global Net Lease, Inc.")</f>
        <v>0</v>
      </c>
      <c r="C433" t="s">
        <v>633</v>
      </c>
      <c r="D433">
        <v>0.09996956786366401</v>
      </c>
      <c r="E433">
        <v>-0.03150341332860374</v>
      </c>
      <c r="F433">
        <v>0.015</v>
      </c>
      <c r="G433">
        <v>0.07722022328782741</v>
      </c>
      <c r="H433" t="s">
        <v>300</v>
      </c>
      <c r="I433" t="s">
        <v>636</v>
      </c>
    </row>
    <row r="434" spans="1:9">
      <c r="A434" s="1" t="s">
        <v>441</v>
      </c>
      <c r="B434">
        <f>HYPERLINK("https://www.suredividend.com/sure-analysis-NLSN/","Nielsen Holdings Plc")</f>
        <v>0</v>
      </c>
      <c r="C434" t="s">
        <v>631</v>
      </c>
      <c r="D434">
        <v>0.05342019543973901</v>
      </c>
      <c r="E434">
        <v>0.03236393674044891</v>
      </c>
      <c r="F434">
        <v>0.03</v>
      </c>
      <c r="G434">
        <v>0.07698947946744927</v>
      </c>
      <c r="H434" t="s">
        <v>300</v>
      </c>
      <c r="I434" t="s">
        <v>383</v>
      </c>
    </row>
    <row r="435" spans="1:9">
      <c r="A435" s="1" t="s">
        <v>442</v>
      </c>
      <c r="B435">
        <f>HYPERLINK("https://www.suredividend.com/sure-analysis-CAE/","CAE, Inc.")</f>
        <v>0</v>
      </c>
      <c r="C435" t="s">
        <v>631</v>
      </c>
      <c r="D435">
        <v>0.022209698305761</v>
      </c>
      <c r="E435">
        <v>0.006110434499387196</v>
      </c>
      <c r="F435">
        <v>0.07000000000000001</v>
      </c>
      <c r="G435">
        <v>0.0765381649143444</v>
      </c>
      <c r="H435" t="s">
        <v>300</v>
      </c>
      <c r="I435" t="s">
        <v>558</v>
      </c>
    </row>
    <row r="436" spans="1:9">
      <c r="A436" s="1" t="s">
        <v>443</v>
      </c>
      <c r="B436">
        <f>HYPERLINK("https://www.suredividend.com/sure-analysis-LAMR/","Lamar Advertising Co.")</f>
        <v>0</v>
      </c>
      <c r="C436" t="s">
        <v>633</v>
      </c>
      <c r="D436">
        <v>0.059119305195794</v>
      </c>
      <c r="E436">
        <v>-0.01777774690264211</v>
      </c>
      <c r="F436">
        <v>0.046</v>
      </c>
      <c r="G436">
        <v>0.07638089314365804</v>
      </c>
      <c r="H436" t="s">
        <v>300</v>
      </c>
      <c r="I436" t="s">
        <v>383</v>
      </c>
    </row>
    <row r="437" spans="1:9">
      <c r="A437" s="1" t="s">
        <v>444</v>
      </c>
      <c r="B437">
        <f>HYPERLINK("https://www.suredividend.com/sure-analysis-BCE/","BCE, Inc.")</f>
        <v>0</v>
      </c>
      <c r="C437" t="s">
        <v>631</v>
      </c>
      <c r="D437">
        <v>0.056827150245942</v>
      </c>
      <c r="E437">
        <v>-0.006880072588628328</v>
      </c>
      <c r="F437">
        <v>0.03</v>
      </c>
      <c r="G437">
        <v>0.07365437420556264</v>
      </c>
      <c r="H437" t="s">
        <v>300</v>
      </c>
      <c r="I437" t="s">
        <v>383</v>
      </c>
    </row>
    <row r="438" spans="1:9">
      <c r="A438" s="1" t="s">
        <v>445</v>
      </c>
      <c r="B438">
        <f>HYPERLINK("https://www.suredividend.com/sure-analysis-VER/","VEREIT, Inc.")</f>
        <v>0</v>
      </c>
      <c r="C438" t="s">
        <v>631</v>
      </c>
      <c r="D438">
        <v>0.08461538461538401</v>
      </c>
      <c r="E438">
        <v>0.003058161088930422</v>
      </c>
      <c r="F438">
        <v>0.021</v>
      </c>
      <c r="G438">
        <v>0.07362128575923554</v>
      </c>
      <c r="H438" t="s">
        <v>300</v>
      </c>
      <c r="I438" t="s">
        <v>383</v>
      </c>
    </row>
    <row r="439" spans="1:9">
      <c r="A439" s="1" t="s">
        <v>446</v>
      </c>
      <c r="B439">
        <f>HYPERLINK("https://www.suredividend.com/sure-analysis-CC/","The Chemours Co.")</f>
        <v>0</v>
      </c>
      <c r="C439" t="s">
        <v>631</v>
      </c>
      <c r="D439">
        <v>0.06090133982947601</v>
      </c>
      <c r="E439">
        <v>-0.008927786847796937</v>
      </c>
      <c r="F439">
        <v>0.03</v>
      </c>
      <c r="G439">
        <v>0.07158154094979485</v>
      </c>
      <c r="H439" t="s">
        <v>300</v>
      </c>
      <c r="I439" t="s">
        <v>383</v>
      </c>
    </row>
    <row r="440" spans="1:9">
      <c r="A440" s="1" t="s">
        <v>447</v>
      </c>
      <c r="B440">
        <f>HYPERLINK("https://www.suredividend.com/sure-analysis-LAZ/","Lazard Ltd.")</f>
        <v>0</v>
      </c>
      <c r="C440" t="s">
        <v>631</v>
      </c>
      <c r="D440">
        <v>0.065918653576437</v>
      </c>
      <c r="E440">
        <v>-0.04210994805604396</v>
      </c>
      <c r="F440">
        <v>0.05</v>
      </c>
      <c r="G440">
        <v>0.06973969967218596</v>
      </c>
      <c r="H440" t="s">
        <v>300</v>
      </c>
      <c r="I440" t="s">
        <v>636</v>
      </c>
    </row>
    <row r="441" spans="1:9">
      <c r="A441" s="1" t="s">
        <v>448</v>
      </c>
      <c r="B441">
        <f>HYPERLINK("https://www.suredividend.com/sure-analysis-DHC/","Diversified Healthcare Trust")</f>
        <v>0</v>
      </c>
      <c r="C441" t="s">
        <v>633</v>
      </c>
      <c r="D441">
        <v>0.15625</v>
      </c>
      <c r="E441">
        <v>0.07056368416916192</v>
      </c>
      <c r="F441">
        <v>-0.01</v>
      </c>
      <c r="G441">
        <v>0.06798776476276203</v>
      </c>
      <c r="H441" t="s">
        <v>300</v>
      </c>
      <c r="I441" t="s">
        <v>636</v>
      </c>
    </row>
    <row r="442" spans="1:9">
      <c r="A442" s="1" t="s">
        <v>449</v>
      </c>
      <c r="B442">
        <f>HYPERLINK("https://www.suredividend.com/sure-analysis-STAG/","STAG Industrial, Inc.")</f>
        <v>0</v>
      </c>
      <c r="C442" t="s">
        <v>633</v>
      </c>
      <c r="D442">
        <v>0.04753229546207301</v>
      </c>
      <c r="E442">
        <v>-0.02208720104269368</v>
      </c>
      <c r="F442">
        <v>0.05</v>
      </c>
      <c r="G442">
        <v>0.06758972978366473</v>
      </c>
      <c r="H442" t="s">
        <v>300</v>
      </c>
      <c r="I442" t="s">
        <v>383</v>
      </c>
    </row>
    <row r="443" spans="1:9">
      <c r="A443" s="1" t="s">
        <v>450</v>
      </c>
      <c r="B443">
        <f>HYPERLINK("https://www.suredividend.com/sure-analysis-BMWYY/","Bayerische Motoren Werke AG")</f>
        <v>0</v>
      </c>
      <c r="C443" t="s">
        <v>631</v>
      </c>
      <c r="D443">
        <v>0.03988596491228</v>
      </c>
      <c r="E443">
        <v>-0.199382122930775</v>
      </c>
      <c r="F443">
        <v>0.285</v>
      </c>
      <c r="G443">
        <v>0.06598476156916067</v>
      </c>
      <c r="H443" t="s">
        <v>300</v>
      </c>
      <c r="I443" t="s">
        <v>300</v>
      </c>
    </row>
    <row r="444" spans="1:9">
      <c r="A444" s="1" t="s">
        <v>451</v>
      </c>
      <c r="B444">
        <f>HYPERLINK("https://www.suredividend.com/sure-analysis-ARCC/","Ares Capital Corp.")</f>
        <v>0</v>
      </c>
      <c r="C444" t="s">
        <v>634</v>
      </c>
      <c r="D444">
        <v>0.112994350282485</v>
      </c>
      <c r="E444">
        <v>-0.05273367092093328</v>
      </c>
      <c r="F444">
        <v>0.01</v>
      </c>
      <c r="G444">
        <v>0.06555366622833447</v>
      </c>
      <c r="H444" t="s">
        <v>300</v>
      </c>
      <c r="I444" t="s">
        <v>636</v>
      </c>
    </row>
    <row r="445" spans="1:9">
      <c r="A445" s="1" t="s">
        <v>452</v>
      </c>
      <c r="B445">
        <f>HYPERLINK("https://www.suredividend.com/sure-analysis-APAM/","Artisan Partners Asset Management, Inc.")</f>
        <v>0</v>
      </c>
      <c r="C445" t="s">
        <v>631</v>
      </c>
      <c r="D445">
        <v>0.07234539089848301</v>
      </c>
      <c r="E445">
        <v>-0.03289988055289284</v>
      </c>
      <c r="F445">
        <v>0.03</v>
      </c>
      <c r="G445">
        <v>0.06314605195426526</v>
      </c>
      <c r="H445" t="s">
        <v>300</v>
      </c>
      <c r="I445" t="s">
        <v>383</v>
      </c>
    </row>
    <row r="446" spans="1:9">
      <c r="A446" s="1" t="s">
        <v>453</v>
      </c>
      <c r="B446">
        <f>HYPERLINK("https://www.suredividend.com/sure-analysis-IDEXY/","Industria de Diseño Textil SA")</f>
        <v>0</v>
      </c>
      <c r="C446" t="s">
        <v>631</v>
      </c>
      <c r="D446">
        <v>0.018554125662376</v>
      </c>
      <c r="E446">
        <v>-0.03161079184614524</v>
      </c>
      <c r="F446">
        <v>0.08</v>
      </c>
      <c r="G446">
        <v>0.06303845297017108</v>
      </c>
      <c r="H446" t="s">
        <v>300</v>
      </c>
      <c r="I446" t="s">
        <v>558</v>
      </c>
    </row>
    <row r="447" spans="1:9">
      <c r="A447" s="1" t="s">
        <v>454</v>
      </c>
      <c r="B447">
        <f>HYPERLINK("https://www.suredividend.com/sure-analysis-QSR/","Restaurant Brands International, Inc.")</f>
        <v>0</v>
      </c>
      <c r="C447" t="s">
        <v>631</v>
      </c>
      <c r="D447">
        <v>0.03541239612193</v>
      </c>
      <c r="E447">
        <v>-0.08978109935554901</v>
      </c>
      <c r="F447">
        <v>0.13</v>
      </c>
      <c r="G447">
        <v>0.06247755422480994</v>
      </c>
      <c r="H447" t="s">
        <v>300</v>
      </c>
      <c r="I447" t="s">
        <v>300</v>
      </c>
    </row>
    <row r="448" spans="1:9">
      <c r="A448" s="1" t="s">
        <v>455</v>
      </c>
      <c r="B448">
        <f>HYPERLINK("https://www.suredividend.com/sure-analysis-JCI/","Johnson Controls International Plc")</f>
        <v>0</v>
      </c>
      <c r="C448" t="s">
        <v>631</v>
      </c>
      <c r="D448">
        <v>0.027608176267586</v>
      </c>
      <c r="E448">
        <v>-0.05096883240294958</v>
      </c>
      <c r="F448">
        <v>0.09</v>
      </c>
      <c r="G448">
        <v>0.06140443038709398</v>
      </c>
      <c r="H448" t="s">
        <v>300</v>
      </c>
      <c r="I448" t="s">
        <v>300</v>
      </c>
    </row>
    <row r="449" spans="1:9">
      <c r="A449" s="1" t="s">
        <v>456</v>
      </c>
      <c r="B449">
        <f>HYPERLINK("https://www.suredividend.com/sure-analysis-DREUF/","Dream Industrial Real Estate Investment Trust")</f>
        <v>0</v>
      </c>
      <c r="C449" t="s">
        <v>633</v>
      </c>
      <c r="D449">
        <v>0.06632595767946001</v>
      </c>
      <c r="E449">
        <v>-0.05425160570692911</v>
      </c>
      <c r="F449">
        <v>0.052</v>
      </c>
      <c r="G449">
        <v>0.05950603914733743</v>
      </c>
      <c r="H449" t="s">
        <v>300</v>
      </c>
      <c r="I449" t="s">
        <v>383</v>
      </c>
    </row>
    <row r="450" spans="1:9">
      <c r="A450" s="1" t="s">
        <v>457</v>
      </c>
      <c r="B450">
        <f>HYPERLINK("https://www.suredividend.com/sure-analysis-EQR/","Equity Residential")</f>
        <v>0</v>
      </c>
      <c r="C450" t="s">
        <v>633</v>
      </c>
      <c r="D450">
        <v>0.04045279045279</v>
      </c>
      <c r="E450">
        <v>-0.02193088261246567</v>
      </c>
      <c r="F450">
        <v>0.045</v>
      </c>
      <c r="G450">
        <v>0.05837463347185201</v>
      </c>
      <c r="H450" t="s">
        <v>300</v>
      </c>
      <c r="I450" t="s">
        <v>300</v>
      </c>
    </row>
    <row r="451" spans="1:9">
      <c r="A451" s="1" t="s">
        <v>458</v>
      </c>
      <c r="B451">
        <f>HYPERLINK("https://www.suredividend.com/sure-analysis-EXC/","Exelon Corp.")</f>
        <v>0</v>
      </c>
      <c r="C451" t="s">
        <v>631</v>
      </c>
      <c r="D451">
        <v>0.03730964467005</v>
      </c>
      <c r="E451">
        <v>0.003027300609498074</v>
      </c>
      <c r="F451">
        <v>0.02</v>
      </c>
      <c r="G451">
        <v>0.05822807880780867</v>
      </c>
      <c r="H451" t="s">
        <v>300</v>
      </c>
      <c r="I451" t="s">
        <v>300</v>
      </c>
    </row>
    <row r="452" spans="1:9">
      <c r="A452" s="1" t="s">
        <v>459</v>
      </c>
      <c r="B452">
        <f>HYPERLINK("https://www.suredividend.com/sure-analysis-DRETF/","Dream Office Real Estate Investment Trust")</f>
        <v>0</v>
      </c>
      <c r="C452" t="s">
        <v>631</v>
      </c>
      <c r="D452">
        <v>0.050735397072785</v>
      </c>
      <c r="E452">
        <v>-0.01835209967808049</v>
      </c>
      <c r="F452">
        <v>0.031</v>
      </c>
      <c r="G452">
        <v>0.05701925138830632</v>
      </c>
      <c r="H452" t="s">
        <v>300</v>
      </c>
      <c r="I452" t="s">
        <v>383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633</v>
      </c>
      <c r="D453">
        <v>0.05459240132792301</v>
      </c>
      <c r="E453">
        <v>-0.02407522138711138</v>
      </c>
      <c r="F453">
        <v>0.03</v>
      </c>
      <c r="G453">
        <v>0.05517387683862984</v>
      </c>
      <c r="H453" t="s">
        <v>300</v>
      </c>
      <c r="I453" t="s">
        <v>300</v>
      </c>
    </row>
    <row r="454" spans="1:9">
      <c r="A454" s="1" t="s">
        <v>461</v>
      </c>
      <c r="B454">
        <f>HYPERLINK("https://www.suredividend.com/sure-analysis-MIC/","Macquarie Infrastructure Corp.")</f>
        <v>0</v>
      </c>
      <c r="C454" t="s">
        <v>631</v>
      </c>
      <c r="D454">
        <v>0.124107973937325</v>
      </c>
      <c r="E454">
        <v>0.0334861435864553</v>
      </c>
      <c r="F454">
        <v>0.02</v>
      </c>
      <c r="G454">
        <v>0.05415586645818427</v>
      </c>
      <c r="H454" t="s">
        <v>300</v>
      </c>
      <c r="I454" t="s">
        <v>636</v>
      </c>
    </row>
    <row r="455" spans="1:9">
      <c r="A455" s="1" t="s">
        <v>462</v>
      </c>
      <c r="B455">
        <f>HYPERLINK("https://www.suredividend.com/sure-analysis-ALV/","Autoliv, Inc.")</f>
        <v>0</v>
      </c>
      <c r="C455" t="s">
        <v>631</v>
      </c>
      <c r="D455">
        <v>0.038443652146953</v>
      </c>
      <c r="E455">
        <v>-0.01439058891555123</v>
      </c>
      <c r="F455">
        <v>0.05</v>
      </c>
      <c r="G455">
        <v>0.05386930253363076</v>
      </c>
      <c r="H455" t="s">
        <v>300</v>
      </c>
      <c r="I455" t="s">
        <v>300</v>
      </c>
    </row>
    <row r="456" spans="1:9">
      <c r="A456" s="1" t="s">
        <v>463</v>
      </c>
      <c r="B456">
        <f>HYPERLINK("https://www.suredividend.com/sure-analysis-TJX/","The TJX Cos., Inc.")</f>
        <v>0</v>
      </c>
      <c r="C456" t="s">
        <v>631</v>
      </c>
      <c r="D456">
        <v>0.013041013041013</v>
      </c>
      <c r="E456">
        <v>-0.01928979342713277</v>
      </c>
      <c r="F456">
        <v>0.059</v>
      </c>
      <c r="G456">
        <v>0.05214511734825744</v>
      </c>
      <c r="H456" t="s">
        <v>300</v>
      </c>
      <c r="I456" t="s">
        <v>558</v>
      </c>
    </row>
    <row r="457" spans="1:9">
      <c r="A457" s="1" t="s">
        <v>464</v>
      </c>
      <c r="B457">
        <f>HYPERLINK("https://www.suredividend.com/sure-analysis-BGS/","B&amp;G Foods, Inc.")</f>
        <v>0</v>
      </c>
      <c r="C457" t="s">
        <v>631</v>
      </c>
      <c r="D457">
        <v>0.07279693486590001</v>
      </c>
      <c r="E457">
        <v>-0.03360108274668594</v>
      </c>
      <c r="F457">
        <v>0.02</v>
      </c>
      <c r="G457">
        <v>0.05130225895109186</v>
      </c>
      <c r="H457" t="s">
        <v>300</v>
      </c>
      <c r="I457" t="s">
        <v>383</v>
      </c>
    </row>
    <row r="458" spans="1:9">
      <c r="A458" s="1" t="s">
        <v>465</v>
      </c>
      <c r="B458">
        <f>HYPERLINK("https://www.suredividend.com/sure-analysis-BHP/","BHP Group Ltd.")</f>
        <v>0</v>
      </c>
      <c r="C458" t="s">
        <v>631</v>
      </c>
      <c r="D458">
        <v>0.05312035661218401</v>
      </c>
      <c r="E458">
        <v>-0.003140014168163008</v>
      </c>
      <c r="F458">
        <v>0.01</v>
      </c>
      <c r="G458">
        <v>0.04934813317210374</v>
      </c>
      <c r="H458" t="s">
        <v>300</v>
      </c>
      <c r="I458" t="s">
        <v>383</v>
      </c>
    </row>
    <row r="459" spans="1:9">
      <c r="A459" s="1" t="s">
        <v>466</v>
      </c>
      <c r="B459">
        <f>HYPERLINK("https://www.suredividend.com/sure-analysis-TCO/","Taubman Centers, Inc.")</f>
        <v>0</v>
      </c>
      <c r="C459" t="s">
        <v>633</v>
      </c>
      <c r="D459">
        <v>0.070275897969807</v>
      </c>
      <c r="E459">
        <v>-0.03590790134204791</v>
      </c>
      <c r="F459">
        <v>0.02</v>
      </c>
      <c r="G459">
        <v>0.04912422328720401</v>
      </c>
      <c r="H459" t="s">
        <v>300</v>
      </c>
      <c r="I459" t="s">
        <v>383</v>
      </c>
    </row>
    <row r="460" spans="1:9">
      <c r="A460" s="1" t="s">
        <v>467</v>
      </c>
      <c r="B460">
        <f>HYPERLINK("https://www.suredividend.com/sure-analysis-GOOD/","Gladstone Commercial Corp.")</f>
        <v>0</v>
      </c>
      <c r="C460" t="s">
        <v>633</v>
      </c>
      <c r="D460">
        <v>0.08078040904198</v>
      </c>
      <c r="E460">
        <v>-0.02945683688354062</v>
      </c>
      <c r="F460">
        <v>0</v>
      </c>
      <c r="G460">
        <v>0.0481041257058723</v>
      </c>
      <c r="H460" t="s">
        <v>300</v>
      </c>
      <c r="I460" t="s">
        <v>383</v>
      </c>
    </row>
    <row r="461" spans="1:9">
      <c r="A461" s="1" t="s">
        <v>468</v>
      </c>
      <c r="B461">
        <f>HYPERLINK("https://www.suredividend.com/sure-analysis-KHC/","The Kraft Heinz Co.")</f>
        <v>0</v>
      </c>
      <c r="C461" t="s">
        <v>631</v>
      </c>
      <c r="D461">
        <v>0.045701228220508</v>
      </c>
      <c r="E461">
        <v>-0.02403573414840665</v>
      </c>
      <c r="F461">
        <v>0.03</v>
      </c>
      <c r="G461">
        <v>0.04647447323552445</v>
      </c>
      <c r="H461" t="s">
        <v>300</v>
      </c>
      <c r="I461" t="s">
        <v>300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631</v>
      </c>
      <c r="D462">
        <v>0.056234718826405</v>
      </c>
      <c r="E462">
        <v>-0.04493702163385949</v>
      </c>
      <c r="F462">
        <v>0.04</v>
      </c>
      <c r="G462">
        <v>0.04529662108888566</v>
      </c>
      <c r="H462" t="s">
        <v>300</v>
      </c>
      <c r="I462" t="s">
        <v>300</v>
      </c>
    </row>
    <row r="463" spans="1:9">
      <c r="A463" s="1" t="s">
        <v>470</v>
      </c>
      <c r="B463">
        <f>HYPERLINK("https://www.suredividend.com/sure-analysis-GLW/","Corning, Inc.")</f>
        <v>0</v>
      </c>
      <c r="C463" t="s">
        <v>631</v>
      </c>
      <c r="D463">
        <v>0.02823691460055</v>
      </c>
      <c r="E463">
        <v>-0.04556524642503257</v>
      </c>
      <c r="F463">
        <v>0.06</v>
      </c>
      <c r="G463">
        <v>0.04416075865071378</v>
      </c>
      <c r="H463" t="s">
        <v>300</v>
      </c>
      <c r="I463" t="s">
        <v>558</v>
      </c>
    </row>
    <row r="464" spans="1:9">
      <c r="A464" s="1" t="s">
        <v>471</v>
      </c>
      <c r="B464">
        <f>HYPERLINK("https://www.suredividend.com/sure-analysis-DRI/","Darden Restaurants, Inc.")</f>
        <v>0</v>
      </c>
      <c r="C464" t="s">
        <v>631</v>
      </c>
      <c r="D464">
        <v>0.022706747516449</v>
      </c>
      <c r="E464">
        <v>-0.07672915563525162</v>
      </c>
      <c r="F464">
        <v>0.13</v>
      </c>
      <c r="G464">
        <v>0.04329605413216564</v>
      </c>
      <c r="H464" t="s">
        <v>300</v>
      </c>
      <c r="I464" t="s">
        <v>558</v>
      </c>
    </row>
    <row r="465" spans="1:9">
      <c r="A465" s="1" t="s">
        <v>472</v>
      </c>
      <c r="B465">
        <f>HYPERLINK("https://www.suredividend.com/sure-analysis-GRP-UN","Granite Real Estate Investment Trust")</f>
        <v>0</v>
      </c>
      <c r="C465" t="s">
        <v>633</v>
      </c>
      <c r="D465">
        <v>0.04019999999999999</v>
      </c>
      <c r="E465">
        <v>-0.04120916589946588</v>
      </c>
      <c r="F465">
        <v>0.04</v>
      </c>
      <c r="G465">
        <v>0.03942273928106288</v>
      </c>
      <c r="H465" t="s">
        <v>300</v>
      </c>
      <c r="I465" t="s">
        <v>300</v>
      </c>
    </row>
    <row r="466" spans="1:9">
      <c r="A466" s="1" t="s">
        <v>473</v>
      </c>
      <c r="B466">
        <f>HYPERLINK("https://www.suredividend.com/sure-analysis-IP/","International Paper Co.")</f>
        <v>0</v>
      </c>
      <c r="C466" t="s">
        <v>631</v>
      </c>
      <c r="D466">
        <v>0.05518689057421401</v>
      </c>
      <c r="E466">
        <v>-0.106711957730155</v>
      </c>
      <c r="F466">
        <v>0.1</v>
      </c>
      <c r="G466">
        <v>0.03767428202232592</v>
      </c>
      <c r="H466" t="s">
        <v>300</v>
      </c>
      <c r="I466" t="s">
        <v>383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631</v>
      </c>
      <c r="D467">
        <v>0.043175487465181</v>
      </c>
      <c r="E467">
        <v>-0.05773110116139757</v>
      </c>
      <c r="F467">
        <v>0.05</v>
      </c>
      <c r="G467">
        <v>0.03041002277427318</v>
      </c>
      <c r="H467" t="s">
        <v>300</v>
      </c>
      <c r="I467" t="s">
        <v>300</v>
      </c>
    </row>
    <row r="468" spans="1:9">
      <c r="A468" s="1" t="s">
        <v>475</v>
      </c>
      <c r="B468">
        <f>HYPERLINK("https://www.suredividend.com/sure-analysis-CAJ/","Canon, Inc.")</f>
        <v>0</v>
      </c>
      <c r="C468" t="s">
        <v>631</v>
      </c>
      <c r="D468">
        <v>0.036997506234413</v>
      </c>
      <c r="E468">
        <v>-0.06931496277804927</v>
      </c>
      <c r="F468">
        <v>0.02</v>
      </c>
      <c r="G468">
        <v>0.02610370787422545</v>
      </c>
      <c r="H468" t="s">
        <v>300</v>
      </c>
      <c r="I468" t="s">
        <v>300</v>
      </c>
    </row>
    <row r="469" spans="1:9">
      <c r="A469" s="1" t="s">
        <v>476</v>
      </c>
      <c r="B469">
        <f>HYPERLINK("https://www.suredividend.com/sure-analysis-TSM/","Taiwan Semiconductor Manufacturing Co., Ltd.")</f>
        <v>0</v>
      </c>
      <c r="C469" t="s">
        <v>631</v>
      </c>
      <c r="D469">
        <v>0.023822289156626</v>
      </c>
      <c r="E469">
        <v>-0.09192199724762851</v>
      </c>
      <c r="F469">
        <v>0.09</v>
      </c>
      <c r="G469">
        <v>0.02152457202727143</v>
      </c>
      <c r="H469" t="s">
        <v>300</v>
      </c>
      <c r="I469" t="s">
        <v>558</v>
      </c>
    </row>
    <row r="470" spans="1:9">
      <c r="A470" s="1" t="s">
        <v>477</v>
      </c>
      <c r="B470">
        <f>HYPERLINK("https://www.suredividend.com/sure-analysis-SCHL/","Scholastic Corp.")</f>
        <v>0</v>
      </c>
      <c r="C470" t="s">
        <v>631</v>
      </c>
      <c r="D470">
        <v>0.02019522046449</v>
      </c>
      <c r="E470">
        <v>-0.07609893278278446</v>
      </c>
      <c r="F470">
        <v>0.08</v>
      </c>
      <c r="G470">
        <v>0.02100141466536098</v>
      </c>
      <c r="H470" t="s">
        <v>300</v>
      </c>
      <c r="I470" t="s">
        <v>558</v>
      </c>
    </row>
    <row r="471" spans="1:9">
      <c r="A471" s="1" t="s">
        <v>478</v>
      </c>
      <c r="B471">
        <f>HYPERLINK("https://www.suredividend.com/sure-analysis-PDCO/","Patterson Cos., Inc.")</f>
        <v>0</v>
      </c>
      <c r="C471" t="s">
        <v>631</v>
      </c>
      <c r="D471">
        <v>0.04034134988363</v>
      </c>
      <c r="E471">
        <v>-0.05920686953766163</v>
      </c>
      <c r="F471">
        <v>0.04</v>
      </c>
      <c r="G471">
        <v>0.01894569997725104</v>
      </c>
      <c r="H471" t="s">
        <v>300</v>
      </c>
      <c r="I471" t="s">
        <v>300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0.010760577158229</v>
      </c>
      <c r="E472">
        <v>-0.05084161513713126</v>
      </c>
      <c r="F472">
        <v>0.07000000000000001</v>
      </c>
      <c r="G472">
        <v>0.01559947180326948</v>
      </c>
      <c r="H472" t="s">
        <v>300</v>
      </c>
      <c r="I472" t="s">
        <v>558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0.022704640509858</v>
      </c>
      <c r="E473">
        <v>-0.04207179574573272</v>
      </c>
      <c r="F473">
        <v>0.03</v>
      </c>
      <c r="G473">
        <v>0.01474726744187715</v>
      </c>
      <c r="H473" t="s">
        <v>300</v>
      </c>
      <c r="I473" t="s">
        <v>558</v>
      </c>
    </row>
    <row r="474" spans="1:9">
      <c r="A474" s="1" t="s">
        <v>481</v>
      </c>
      <c r="B474">
        <f>HYPERLINK("https://www.suredividend.com/sure-analysis-BX/","The Blackstone Group, Inc.")</f>
        <v>0</v>
      </c>
      <c r="C474" t="s">
        <v>631</v>
      </c>
      <c r="D474">
        <v>0.03484009290691401</v>
      </c>
      <c r="E474">
        <v>-0.1114512149428911</v>
      </c>
      <c r="F474">
        <v>0.09</v>
      </c>
      <c r="G474">
        <v>0.01118647324202215</v>
      </c>
      <c r="H474" t="s">
        <v>300</v>
      </c>
      <c r="I474" t="s">
        <v>300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0.061464199517296</v>
      </c>
      <c r="E475">
        <v>-0.0625366972502247</v>
      </c>
      <c r="F475">
        <v>0.01</v>
      </c>
      <c r="G475">
        <v>0.007651945174365959</v>
      </c>
      <c r="H475" t="s">
        <v>300</v>
      </c>
      <c r="I475" t="s">
        <v>383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0.033281541330018</v>
      </c>
      <c r="E476">
        <v>-0.0569710172932113</v>
      </c>
      <c r="F476">
        <v>0.03</v>
      </c>
      <c r="G476">
        <v>0.007119745609798445</v>
      </c>
      <c r="H476" t="s">
        <v>300</v>
      </c>
      <c r="I476" t="s">
        <v>300</v>
      </c>
    </row>
    <row r="477" spans="1:9">
      <c r="A477" s="1" t="s">
        <v>484</v>
      </c>
      <c r="B477">
        <f>HYPERLINK("https://www.suredividend.com/sure-analysis-WEN/","The Wendy's Co.")</f>
        <v>0</v>
      </c>
      <c r="C477" t="s">
        <v>631</v>
      </c>
      <c r="D477">
        <v>0.019634091923248</v>
      </c>
      <c r="E477">
        <v>-0.07715262653191046</v>
      </c>
      <c r="F477">
        <v>0.07000000000000001</v>
      </c>
      <c r="G477">
        <v>0.003796181618510586</v>
      </c>
      <c r="H477" t="s">
        <v>300</v>
      </c>
      <c r="I477" t="s">
        <v>558</v>
      </c>
    </row>
    <row r="478" spans="1:9">
      <c r="A478" s="1" t="s">
        <v>485</v>
      </c>
      <c r="B478">
        <f>HYPERLINK("https://www.suredividend.com/sure-analysis-PPRQF/","Choice Properties Real Estate Investment Trust")</f>
        <v>0</v>
      </c>
      <c r="C478" t="s">
        <v>633</v>
      </c>
      <c r="D478">
        <v>0.057031257275358</v>
      </c>
      <c r="E478">
        <v>-0.1081914848438253</v>
      </c>
      <c r="F478">
        <v>0.049</v>
      </c>
      <c r="G478">
        <v>0.003161120299628228</v>
      </c>
      <c r="H478" t="s">
        <v>300</v>
      </c>
      <c r="I478" t="s">
        <v>300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631</v>
      </c>
      <c r="D479">
        <v>0.06544502617801</v>
      </c>
      <c r="E479">
        <v>-0.06361625466041954</v>
      </c>
      <c r="F479">
        <v>-0.01</v>
      </c>
      <c r="G479">
        <v>0.002356544533286931</v>
      </c>
      <c r="H479" t="s">
        <v>300</v>
      </c>
      <c r="I479" t="s">
        <v>383</v>
      </c>
    </row>
    <row r="480" spans="1:9">
      <c r="A480" s="1" t="s">
        <v>487</v>
      </c>
      <c r="B480">
        <f>HYPERLINK("https://www.suredividend.com/sure-analysis-FLR/","Fluor Corp.")</f>
        <v>0</v>
      </c>
      <c r="C480" t="s">
        <v>631</v>
      </c>
      <c r="D480">
        <v>0.067469879518072</v>
      </c>
      <c r="E480">
        <v>-0.06283808400366231</v>
      </c>
      <c r="F480">
        <v>0.02</v>
      </c>
      <c r="G480">
        <v>-0.008384780777443979</v>
      </c>
      <c r="H480" t="s">
        <v>300</v>
      </c>
      <c r="I480" t="s">
        <v>636</v>
      </c>
    </row>
    <row r="481" spans="1:9">
      <c r="A481" s="1" t="s">
        <v>488</v>
      </c>
      <c r="B481">
        <f>HYPERLINK("https://www.suredividend.com/sure-analysis-LM/","Legg Mason, Inc.")</f>
        <v>0</v>
      </c>
      <c r="C481" t="s">
        <v>631</v>
      </c>
      <c r="D481">
        <v>0.032012805122048</v>
      </c>
      <c r="E481">
        <v>-0.09704730077605861</v>
      </c>
      <c r="F481">
        <v>0.05</v>
      </c>
      <c r="G481">
        <v>-0.009853203695894153</v>
      </c>
      <c r="H481" t="s">
        <v>300</v>
      </c>
      <c r="I481" t="s">
        <v>300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0.03024214867294</v>
      </c>
      <c r="E482">
        <v>-0.106019441681701</v>
      </c>
      <c r="F482">
        <v>0.04</v>
      </c>
      <c r="G482">
        <v>-0.02997058349831794</v>
      </c>
      <c r="H482" t="s">
        <v>300</v>
      </c>
      <c r="I482" t="s">
        <v>300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0.022422258592471</v>
      </c>
      <c r="E483">
        <v>-0.1326068084753619</v>
      </c>
      <c r="F483">
        <v>0.04</v>
      </c>
      <c r="G483">
        <v>-0.065694759461012</v>
      </c>
      <c r="H483" t="s">
        <v>300</v>
      </c>
      <c r="I483" t="s">
        <v>558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0.021333333333333</v>
      </c>
      <c r="E484">
        <v>-0.2082590563549461</v>
      </c>
      <c r="F484">
        <v>0.02</v>
      </c>
      <c r="G484">
        <v>-0.145064693029464</v>
      </c>
      <c r="H484" t="s">
        <v>300</v>
      </c>
      <c r="I484" t="s">
        <v>558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0.395098814229249</v>
      </c>
      <c r="E485">
        <v>0.04481165008603072</v>
      </c>
      <c r="F485">
        <v>0</v>
      </c>
      <c r="G485">
        <v>0.2081631988316492</v>
      </c>
      <c r="H485" t="s">
        <v>558</v>
      </c>
      <c r="I485" t="s">
        <v>383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0.188838857591486</v>
      </c>
      <c r="E486">
        <v>0.09157019470930727</v>
      </c>
      <c r="F486">
        <v>0.06</v>
      </c>
      <c r="G486">
        <v>0.1822345486758803</v>
      </c>
      <c r="H486" t="s">
        <v>558</v>
      </c>
      <c r="I486" t="s">
        <v>636</v>
      </c>
    </row>
    <row r="487" spans="1:9">
      <c r="A487" s="1" t="s">
        <v>494</v>
      </c>
      <c r="B487">
        <f>HYPERLINK("https://www.suredividend.com/sure-analysis-SNP/","China Petroleum &amp; Chemical Corp.")</f>
        <v>0</v>
      </c>
      <c r="C487" t="s">
        <v>631</v>
      </c>
      <c r="D487">
        <v>0.103285580084546</v>
      </c>
      <c r="E487">
        <v>0.08828223513430955</v>
      </c>
      <c r="F487">
        <v>0.03</v>
      </c>
      <c r="G487">
        <v>0.1820543162249726</v>
      </c>
      <c r="H487" t="s">
        <v>558</v>
      </c>
      <c r="I487" t="s">
        <v>383</v>
      </c>
    </row>
    <row r="488" spans="1:9">
      <c r="A488" s="1" t="s">
        <v>495</v>
      </c>
      <c r="B488">
        <f>HYPERLINK("https://www.suredividend.com/sure-analysis-GEL/","Genesis Energy LP")</f>
        <v>0</v>
      </c>
      <c r="C488" t="s">
        <v>632</v>
      </c>
      <c r="D488">
        <v>0.286624203821656</v>
      </c>
      <c r="E488">
        <v>0.07462409286509342</v>
      </c>
      <c r="F488">
        <v>0.03</v>
      </c>
      <c r="G488">
        <v>0.1740827450599214</v>
      </c>
      <c r="H488" t="s">
        <v>558</v>
      </c>
      <c r="I488" t="s">
        <v>636</v>
      </c>
    </row>
    <row r="489" spans="1:9">
      <c r="A489" s="1" t="s">
        <v>496</v>
      </c>
      <c r="B489">
        <f>HYPERLINK("https://www.suredividend.com/sure-analysis-LUV/","Southwest Airlines Co.")</f>
        <v>0</v>
      </c>
      <c r="C489" t="s">
        <v>631</v>
      </c>
      <c r="D489">
        <v>0.021095810137708</v>
      </c>
      <c r="E489">
        <v>0.07936105303574115</v>
      </c>
      <c r="F489">
        <v>0.08</v>
      </c>
      <c r="G489">
        <v>0.171516843519379</v>
      </c>
      <c r="H489" t="s">
        <v>558</v>
      </c>
      <c r="I489" t="s">
        <v>558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631</v>
      </c>
      <c r="D490">
        <v>0.105591397849462</v>
      </c>
      <c r="E490">
        <v>0.006369941997027784</v>
      </c>
      <c r="F490">
        <v>0.09</v>
      </c>
      <c r="G490">
        <v>0.1632786810333946</v>
      </c>
      <c r="H490" t="s">
        <v>558</v>
      </c>
      <c r="I490" t="s">
        <v>383</v>
      </c>
    </row>
    <row r="491" spans="1:9">
      <c r="A491" s="1" t="s">
        <v>498</v>
      </c>
      <c r="B491">
        <f>HYPERLINK("https://www.suredividend.com/sure-analysis-NYMT/","New York Mortgage Trust, Inc.")</f>
        <v>0</v>
      </c>
      <c r="C491" t="s">
        <v>631</v>
      </c>
      <c r="D491">
        <v>0.159362549800796</v>
      </c>
      <c r="E491">
        <v>0.09768379794035553</v>
      </c>
      <c r="F491">
        <v>0.01</v>
      </c>
      <c r="G491">
        <v>0.1631593042072943</v>
      </c>
      <c r="H491" t="s">
        <v>558</v>
      </c>
      <c r="I491" t="s">
        <v>383</v>
      </c>
    </row>
    <row r="492" spans="1:9">
      <c r="A492" s="1" t="s">
        <v>499</v>
      </c>
      <c r="B492">
        <f>HYPERLINK("https://www.suredividend.com/sure-analysis-KEY/","KeyCorp")</f>
        <v>0</v>
      </c>
      <c r="C492" t="s">
        <v>631</v>
      </c>
      <c r="D492">
        <v>0.06201881950384901</v>
      </c>
      <c r="E492">
        <v>0.07777196376578188</v>
      </c>
      <c r="F492">
        <v>0.04</v>
      </c>
      <c r="G492">
        <v>0.1627983414601408</v>
      </c>
      <c r="H492" t="s">
        <v>558</v>
      </c>
      <c r="I492" t="s">
        <v>300</v>
      </c>
    </row>
    <row r="493" spans="1:9">
      <c r="A493" s="1" t="s">
        <v>500</v>
      </c>
      <c r="B493">
        <f>HYPERLINK("https://www.suredividend.com/sure-analysis-APLE/","Apple Hospitality REIT, Inc.")</f>
        <v>0</v>
      </c>
      <c r="C493" t="s">
        <v>633</v>
      </c>
      <c r="D493">
        <v>0.09009009009009</v>
      </c>
      <c r="E493">
        <v>0.07921028933619523</v>
      </c>
      <c r="F493">
        <v>0.039</v>
      </c>
      <c r="G493">
        <v>0.1589022175154535</v>
      </c>
      <c r="H493" t="s">
        <v>558</v>
      </c>
      <c r="I493" t="s">
        <v>383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631</v>
      </c>
      <c r="D494">
        <v>0.101914962674456</v>
      </c>
      <c r="E494">
        <v>0.01382838955043275</v>
      </c>
      <c r="F494">
        <v>0.11</v>
      </c>
      <c r="G494">
        <v>0.1564047203679404</v>
      </c>
      <c r="H494" t="s">
        <v>558</v>
      </c>
      <c r="I494" t="s">
        <v>383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631</v>
      </c>
      <c r="D495">
        <v>0.156249999999999</v>
      </c>
      <c r="E495">
        <v>0.007476646214915394</v>
      </c>
      <c r="F495">
        <v>0.061</v>
      </c>
      <c r="G495">
        <v>0.1516754593736782</v>
      </c>
      <c r="H495" t="s">
        <v>558</v>
      </c>
      <c r="I495" t="s">
        <v>383</v>
      </c>
    </row>
    <row r="496" spans="1:9">
      <c r="A496" s="1" t="s">
        <v>503</v>
      </c>
      <c r="B496">
        <f>HYPERLINK("https://www.suredividend.com/sure-analysis-TOT/","Total SA")</f>
        <v>0</v>
      </c>
      <c r="C496" t="s">
        <v>631</v>
      </c>
      <c r="D496">
        <v>0.07712318087318</v>
      </c>
      <c r="E496">
        <v>0.02717282852660752</v>
      </c>
      <c r="F496">
        <v>0.07000000000000001</v>
      </c>
      <c r="G496">
        <v>0.1495906352874257</v>
      </c>
      <c r="H496" t="s">
        <v>558</v>
      </c>
      <c r="I496" t="s">
        <v>383</v>
      </c>
    </row>
    <row r="497" spans="1:9">
      <c r="A497" s="1" t="s">
        <v>504</v>
      </c>
      <c r="B497">
        <f>HYPERLINK("https://www.suredividend.com/sure-analysis-HFC/","HollyFrontier Corp.")</f>
        <v>0</v>
      </c>
      <c r="C497" t="s">
        <v>631</v>
      </c>
      <c r="D497">
        <v>0.04949053857350801</v>
      </c>
      <c r="E497">
        <v>0.07253031349874406</v>
      </c>
      <c r="F497">
        <v>0.04</v>
      </c>
      <c r="G497">
        <v>0.1484196450831738</v>
      </c>
      <c r="H497" t="s">
        <v>558</v>
      </c>
      <c r="I497" t="s">
        <v>300</v>
      </c>
    </row>
    <row r="498" spans="1:9">
      <c r="A498" s="1" t="s">
        <v>505</v>
      </c>
      <c r="B498">
        <f>HYPERLINK("https://www.suredividend.com/sure-analysis-FTI/","TechnipFMC Plc")</f>
        <v>0</v>
      </c>
      <c r="C498" t="s">
        <v>631</v>
      </c>
      <c r="D498">
        <v>0.067444876783398</v>
      </c>
      <c r="E498">
        <v>0.05338983791671348</v>
      </c>
      <c r="F498">
        <v>0.09</v>
      </c>
      <c r="G498">
        <v>0.1481949233292177</v>
      </c>
      <c r="H498" t="s">
        <v>558</v>
      </c>
      <c r="I498" t="s">
        <v>300</v>
      </c>
    </row>
    <row r="499" spans="1:9">
      <c r="A499" s="1" t="s">
        <v>506</v>
      </c>
      <c r="B499">
        <f>HYPERLINK("https://www.suredividend.com/sure-analysis-BRX/","Brixmor Property Group, Inc.")</f>
        <v>0</v>
      </c>
      <c r="C499" t="s">
        <v>633</v>
      </c>
      <c r="D499">
        <v>0.09519797809604001</v>
      </c>
      <c r="E499">
        <v>0.09865307704591686</v>
      </c>
      <c r="F499">
        <v>0</v>
      </c>
      <c r="G499">
        <v>0.144924293208841</v>
      </c>
      <c r="H499" t="s">
        <v>558</v>
      </c>
      <c r="I499" t="s">
        <v>383</v>
      </c>
    </row>
    <row r="500" spans="1:9">
      <c r="A500" s="1" t="s">
        <v>507</v>
      </c>
      <c r="B500">
        <f>HYPERLINK("https://www.suredividend.com/sure-analysis-SCM/","Stellus Capital Investment Corp.")</f>
        <v>0</v>
      </c>
      <c r="C500" t="s">
        <v>631</v>
      </c>
      <c r="D500">
        <v>0.169745989304812</v>
      </c>
      <c r="E500">
        <v>0.01353249640062448</v>
      </c>
      <c r="F500">
        <v>0.02</v>
      </c>
      <c r="G500">
        <v>0.1442193501091986</v>
      </c>
      <c r="H500" t="s">
        <v>558</v>
      </c>
      <c r="I500" t="s">
        <v>636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631</v>
      </c>
      <c r="D501">
        <v>0.07622611087921401</v>
      </c>
      <c r="E501">
        <v>0.03303780411393231</v>
      </c>
      <c r="F501">
        <v>0.08</v>
      </c>
      <c r="G501">
        <v>0.141608227144896</v>
      </c>
      <c r="H501" t="s">
        <v>558</v>
      </c>
      <c r="I501" t="s">
        <v>300</v>
      </c>
    </row>
    <row r="502" spans="1:9">
      <c r="A502" s="1" t="s">
        <v>509</v>
      </c>
      <c r="B502">
        <f>HYPERLINK("https://www.suredividend.com/sure-analysis-OZK/","Bank OZK")</f>
        <v>0</v>
      </c>
      <c r="C502" t="s">
        <v>631</v>
      </c>
      <c r="D502">
        <v>0.041862451943613</v>
      </c>
      <c r="E502">
        <v>0.05085783888745898</v>
      </c>
      <c r="F502">
        <v>0.05</v>
      </c>
      <c r="G502">
        <v>0.1373835081543695</v>
      </c>
      <c r="H502" t="s">
        <v>558</v>
      </c>
      <c r="I502" t="s">
        <v>300</v>
      </c>
    </row>
    <row r="503" spans="1:9">
      <c r="A503" s="1" t="s">
        <v>510</v>
      </c>
      <c r="B503">
        <f>HYPERLINK("https://www.suredividend.com/sure-analysis-XOM/","Exxon Mobil Corp.")</f>
        <v>0</v>
      </c>
      <c r="C503" t="s">
        <v>631</v>
      </c>
      <c r="D503">
        <v>0.079963235294117</v>
      </c>
      <c r="E503">
        <v>-0.007084979206094522</v>
      </c>
      <c r="F503">
        <v>0.09</v>
      </c>
      <c r="G503">
        <v>0.1366183431484864</v>
      </c>
      <c r="H503" t="s">
        <v>558</v>
      </c>
      <c r="I503" t="s">
        <v>300</v>
      </c>
    </row>
    <row r="504" spans="1:9">
      <c r="A504" s="1" t="s">
        <v>511</v>
      </c>
      <c r="B504">
        <f>HYPERLINK("https://www.suredividend.com/sure-analysis-UFS/","Domtar Corp.")</f>
        <v>0</v>
      </c>
      <c r="C504" t="s">
        <v>631</v>
      </c>
      <c r="D504">
        <v>0.081286288521661</v>
      </c>
      <c r="E504">
        <v>0.04573293828112512</v>
      </c>
      <c r="F504">
        <v>0.03</v>
      </c>
      <c r="G504">
        <v>0.1355103073897053</v>
      </c>
      <c r="H504" t="s">
        <v>558</v>
      </c>
      <c r="I504" t="s">
        <v>300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631</v>
      </c>
      <c r="D505">
        <v>0.066143497757847</v>
      </c>
      <c r="E505">
        <v>0.04281091000177462</v>
      </c>
      <c r="F505">
        <v>0.04</v>
      </c>
      <c r="G505">
        <v>0.1352492395978251</v>
      </c>
      <c r="H505" t="s">
        <v>558</v>
      </c>
      <c r="I505" t="s">
        <v>300</v>
      </c>
    </row>
    <row r="506" spans="1:9">
      <c r="A506" s="1" t="s">
        <v>513</v>
      </c>
      <c r="B506">
        <f>HYPERLINK("https://www.suredividend.com/sure-analysis-OLN/","Olin Corp.")</f>
        <v>0</v>
      </c>
      <c r="C506" t="s">
        <v>631</v>
      </c>
      <c r="D506">
        <v>0.066006600660066</v>
      </c>
      <c r="E506">
        <v>0.070013507989102</v>
      </c>
      <c r="F506">
        <v>0.02</v>
      </c>
      <c r="G506">
        <v>0.1344090769572444</v>
      </c>
      <c r="H506" t="s">
        <v>558</v>
      </c>
      <c r="I506" t="s">
        <v>300</v>
      </c>
    </row>
    <row r="507" spans="1:9">
      <c r="A507" s="1" t="s">
        <v>514</v>
      </c>
      <c r="B507">
        <f>HYPERLINK("https://www.suredividend.com/sure-analysis-CEO/","CNOOC Ltd.")</f>
        <v>0</v>
      </c>
      <c r="C507" t="s">
        <v>631</v>
      </c>
      <c r="D507">
        <v>0.08078697531976201</v>
      </c>
      <c r="E507">
        <v>-0.1342380248977608</v>
      </c>
      <c r="F507">
        <v>0.25</v>
      </c>
      <c r="G507">
        <v>0.1336729572984989</v>
      </c>
      <c r="H507" t="s">
        <v>558</v>
      </c>
      <c r="I507" t="s">
        <v>383</v>
      </c>
    </row>
    <row r="508" spans="1:9">
      <c r="A508" s="1" t="s">
        <v>515</v>
      </c>
      <c r="B508">
        <f>HYPERLINK("https://www.suredividend.com/sure-analysis-LMRK/","Landmark Infrastructure Partners LP")</f>
        <v>0</v>
      </c>
      <c r="C508" t="s">
        <v>632</v>
      </c>
      <c r="D508">
        <v>0.157556270096463</v>
      </c>
      <c r="E508">
        <v>0.03348031350915059</v>
      </c>
      <c r="F508">
        <v>0.025</v>
      </c>
      <c r="G508">
        <v>0.1333402359175535</v>
      </c>
      <c r="H508" t="s">
        <v>558</v>
      </c>
      <c r="I508" t="s">
        <v>383</v>
      </c>
    </row>
    <row r="509" spans="1:9">
      <c r="A509" s="1" t="s">
        <v>516</v>
      </c>
      <c r="B509">
        <f>HYPERLINK("https://www.suredividend.com/sure-analysis-MPC/","Marathon Petroleum Corp.")</f>
        <v>0</v>
      </c>
      <c r="C509" t="s">
        <v>631</v>
      </c>
      <c r="D509">
        <v>0.057210651199578</v>
      </c>
      <c r="E509">
        <v>0.05254978643519892</v>
      </c>
      <c r="F509">
        <v>0.03</v>
      </c>
      <c r="G509">
        <v>0.1287325931172669</v>
      </c>
      <c r="H509" t="s">
        <v>558</v>
      </c>
      <c r="I509" t="s">
        <v>300</v>
      </c>
    </row>
    <row r="510" spans="1:9">
      <c r="A510" s="1" t="s">
        <v>517</v>
      </c>
      <c r="B510">
        <f>HYPERLINK("https://www.suredividend.com/sure-analysis-CIM/","Chimera Investment Corp.")</f>
        <v>0</v>
      </c>
      <c r="C510" t="s">
        <v>631</v>
      </c>
      <c r="D510">
        <v>0.219298245614035</v>
      </c>
      <c r="E510">
        <v>0.03630198951317576</v>
      </c>
      <c r="F510">
        <v>0.01</v>
      </c>
      <c r="G510">
        <v>0.1252938321335009</v>
      </c>
      <c r="H510" t="s">
        <v>558</v>
      </c>
      <c r="I510" t="s">
        <v>636</v>
      </c>
    </row>
    <row r="511" spans="1:9">
      <c r="A511" s="1" t="s">
        <v>518</v>
      </c>
      <c r="B511">
        <f>HYPERLINK("https://www.suredividend.com/sure-analysis-WSR/","Whitestone REIT")</f>
        <v>0</v>
      </c>
      <c r="C511" t="s">
        <v>633</v>
      </c>
      <c r="D511">
        <v>0.145896656534954</v>
      </c>
      <c r="E511">
        <v>0.06464133351760881</v>
      </c>
      <c r="F511">
        <v>0</v>
      </c>
      <c r="G511">
        <v>0.1203507173358564</v>
      </c>
      <c r="H511" t="s">
        <v>558</v>
      </c>
      <c r="I511" t="s">
        <v>383</v>
      </c>
    </row>
    <row r="512" spans="1:9">
      <c r="A512" s="1" t="s">
        <v>519</v>
      </c>
      <c r="B512">
        <f>HYPERLINK("https://www.suredividend.com/sure-analysis-CVX/","Chevron Corp.")</f>
        <v>0</v>
      </c>
      <c r="C512" t="s">
        <v>631</v>
      </c>
      <c r="D512">
        <v>0.05574033719463201</v>
      </c>
      <c r="E512">
        <v>-0.04571854817624943</v>
      </c>
      <c r="F512">
        <v>0.13</v>
      </c>
      <c r="G512">
        <v>0.1200646357371</v>
      </c>
      <c r="H512" t="s">
        <v>558</v>
      </c>
      <c r="I512" t="s">
        <v>300</v>
      </c>
    </row>
    <row r="513" spans="1:9">
      <c r="A513" s="1" t="s">
        <v>520</v>
      </c>
      <c r="B513">
        <f>HYPERLINK("https://www.suredividend.com/sure-analysis-LVS/","Las Vegas Sands Corp.")</f>
        <v>0</v>
      </c>
      <c r="C513" t="s">
        <v>631</v>
      </c>
      <c r="D513">
        <v>0.06366810433353801</v>
      </c>
      <c r="E513">
        <v>0.02837059609751291</v>
      </c>
      <c r="F513">
        <v>0.04</v>
      </c>
      <c r="G513">
        <v>0.1189401796019911</v>
      </c>
      <c r="H513" t="s">
        <v>558</v>
      </c>
      <c r="I513" t="s">
        <v>300</v>
      </c>
    </row>
    <row r="514" spans="1:9">
      <c r="A514" s="1" t="s">
        <v>521</v>
      </c>
      <c r="B514">
        <f>HYPERLINK("https://www.suredividend.com/sure-analysis-CRT/","Cross Timbers Royalty Trust")</f>
        <v>0</v>
      </c>
      <c r="C514" t="s">
        <v>631</v>
      </c>
      <c r="D514">
        <v>0.161612155591572</v>
      </c>
      <c r="E514">
        <v>0.004178866308761409</v>
      </c>
      <c r="F514">
        <v>0</v>
      </c>
      <c r="G514">
        <v>0.1184787009367265</v>
      </c>
      <c r="H514" t="s">
        <v>558</v>
      </c>
      <c r="I514" t="s">
        <v>636</v>
      </c>
    </row>
    <row r="515" spans="1:9">
      <c r="A515" s="1" t="s">
        <v>522</v>
      </c>
      <c r="B515">
        <f>HYPERLINK("https://www.suredividend.com/sure-analysis-VLO/","Valero Energy Corp.")</f>
        <v>0</v>
      </c>
      <c r="C515" t="s">
        <v>631</v>
      </c>
      <c r="D515">
        <v>0.066342166937083</v>
      </c>
      <c r="E515">
        <v>0.02250797682025185</v>
      </c>
      <c r="F515">
        <v>0.04</v>
      </c>
      <c r="G515">
        <v>0.1179277663269112</v>
      </c>
      <c r="H515" t="s">
        <v>558</v>
      </c>
      <c r="I515" t="s">
        <v>300</v>
      </c>
    </row>
    <row r="516" spans="1:9">
      <c r="A516" s="1" t="s">
        <v>523</v>
      </c>
      <c r="B516">
        <f>HYPERLINK("https://www.suredividend.com/sure-analysis-RCL/","Royal Caribbean Cruises Ltd.")</f>
        <v>0</v>
      </c>
      <c r="C516" t="s">
        <v>631</v>
      </c>
      <c r="D516">
        <v>0.057207376740684</v>
      </c>
      <c r="E516">
        <v>0.05666007427329611</v>
      </c>
      <c r="F516">
        <v>0.04</v>
      </c>
      <c r="G516">
        <v>0.1139917824399401</v>
      </c>
      <c r="H516" t="s">
        <v>558</v>
      </c>
      <c r="I516" t="s">
        <v>300</v>
      </c>
    </row>
    <row r="517" spans="1:9">
      <c r="A517" s="1" t="s">
        <v>524</v>
      </c>
      <c r="B517">
        <f>HYPERLINK("https://www.suredividend.com/sure-analysis-CNQ/","Canadian Natural Resources Ltd.")</f>
        <v>0</v>
      </c>
      <c r="C517" t="s">
        <v>631</v>
      </c>
      <c r="D517">
        <v>0.06702967185260801</v>
      </c>
      <c r="E517">
        <v>-0.02891266932333025</v>
      </c>
      <c r="F517">
        <v>0.1</v>
      </c>
      <c r="G517">
        <v>0.1131717236746943</v>
      </c>
      <c r="H517" t="s">
        <v>558</v>
      </c>
      <c r="I517" t="s">
        <v>300</v>
      </c>
    </row>
    <row r="518" spans="1:9">
      <c r="A518" s="1" t="s">
        <v>525</v>
      </c>
      <c r="B518">
        <f>HYPERLINK("https://www.suredividend.com/sure-analysis-INN/","Summit Hotel Properties, Inc.")</f>
        <v>0</v>
      </c>
      <c r="C518" t="s">
        <v>633</v>
      </c>
      <c r="D518">
        <v>0.132596685082872</v>
      </c>
      <c r="E518">
        <v>0.02016468184820908</v>
      </c>
      <c r="F518">
        <v>0.046</v>
      </c>
      <c r="G518">
        <v>0.1122859840965422</v>
      </c>
      <c r="H518" t="s">
        <v>558</v>
      </c>
      <c r="I518" t="s">
        <v>300</v>
      </c>
    </row>
    <row r="519" spans="1:9">
      <c r="A519" s="1" t="s">
        <v>526</v>
      </c>
      <c r="B519">
        <f>HYPERLINK("https://www.suredividend.com/sure-analysis-SPKE/","Spark Energy, Inc.")</f>
        <v>0</v>
      </c>
      <c r="C519" t="s">
        <v>631</v>
      </c>
      <c r="D519">
        <v>0.09972489683631301</v>
      </c>
      <c r="E519">
        <v>-0.1567323176804741</v>
      </c>
      <c r="F519">
        <v>0.229</v>
      </c>
      <c r="G519">
        <v>0.1116560147088443</v>
      </c>
      <c r="H519" t="s">
        <v>558</v>
      </c>
      <c r="I519" t="s">
        <v>383</v>
      </c>
    </row>
    <row r="520" spans="1:9">
      <c r="A520" s="1" t="s">
        <v>527</v>
      </c>
      <c r="B520">
        <f>HYPERLINK("https://www.suredividend.com/sure-analysis-AM/","Antero Midstream Corp.")</f>
        <v>0</v>
      </c>
      <c r="C520" t="s">
        <v>631</v>
      </c>
      <c r="D520">
        <v>0.208474576271186</v>
      </c>
      <c r="E520">
        <v>-0.03256098310273881</v>
      </c>
      <c r="F520">
        <v>0.07000000000000001</v>
      </c>
      <c r="G520">
        <v>0.1115790353720656</v>
      </c>
      <c r="H520" t="s">
        <v>558</v>
      </c>
      <c r="I520" t="s">
        <v>636</v>
      </c>
    </row>
    <row r="521" spans="1:9">
      <c r="A521" s="1" t="s">
        <v>528</v>
      </c>
      <c r="B521">
        <f>HYPERLINK("https://www.suredividend.com/sure-analysis-NLY/","Annaly Capital Management, Inc.")</f>
        <v>0</v>
      </c>
      <c r="C521" t="s">
        <v>633</v>
      </c>
      <c r="D521">
        <v>0.142450142450142</v>
      </c>
      <c r="E521">
        <v>-0.01832309839372348</v>
      </c>
      <c r="F521">
        <v>0.019</v>
      </c>
      <c r="G521">
        <v>0.1103571785710451</v>
      </c>
      <c r="H521" t="s">
        <v>558</v>
      </c>
      <c r="I521" t="s">
        <v>636</v>
      </c>
    </row>
    <row r="522" spans="1:9">
      <c r="A522" s="1" t="s">
        <v>529</v>
      </c>
      <c r="B522">
        <f>HYPERLINK("https://www.suredividend.com/sure-analysis-LADR/","Ladder Capital Corp.")</f>
        <v>0</v>
      </c>
      <c r="C522" t="s">
        <v>633</v>
      </c>
      <c r="D522">
        <v>0.180610889774236</v>
      </c>
      <c r="E522">
        <v>-0.0007980856140379355</v>
      </c>
      <c r="F522">
        <v>0.02</v>
      </c>
      <c r="G522">
        <v>0.1097833124777439</v>
      </c>
      <c r="H522" t="s">
        <v>558</v>
      </c>
      <c r="I522" t="s">
        <v>636</v>
      </c>
    </row>
    <row r="523" spans="1:9">
      <c r="A523" s="1" t="s">
        <v>530</v>
      </c>
      <c r="B523">
        <f>HYPERLINK("https://www.suredividend.com/sure-analysis-RRD/","R.R. Donnelley &amp; Sons Co.")</f>
        <v>0</v>
      </c>
      <c r="C523" t="s">
        <v>631</v>
      </c>
      <c r="D523">
        <v>0.07563025210084001</v>
      </c>
      <c r="E523">
        <v>0.1094215736557493</v>
      </c>
      <c r="F523">
        <v>0</v>
      </c>
      <c r="G523">
        <v>0.1094215736557493</v>
      </c>
      <c r="H523" t="s">
        <v>558</v>
      </c>
      <c r="I523" t="s">
        <v>300</v>
      </c>
    </row>
    <row r="524" spans="1:9">
      <c r="A524" s="1" t="s">
        <v>531</v>
      </c>
      <c r="B524">
        <f>HYPERLINK("https://www.suredividend.com/sure-analysis-WFC/","Wells Fargo &amp; Co.")</f>
        <v>0</v>
      </c>
      <c r="C524" t="s">
        <v>631</v>
      </c>
      <c r="D524">
        <v>0.08176352705410801</v>
      </c>
      <c r="E524">
        <v>0.05752021527385165</v>
      </c>
      <c r="F524">
        <v>0.03</v>
      </c>
      <c r="G524">
        <v>0.1089263785171817</v>
      </c>
      <c r="H524" t="s">
        <v>558</v>
      </c>
      <c r="I524" t="s">
        <v>383</v>
      </c>
    </row>
    <row r="525" spans="1:9">
      <c r="A525" s="1" t="s">
        <v>532</v>
      </c>
      <c r="B525">
        <f>HYPERLINK("https://www.suredividend.com/sure-analysis-BKR/","Baker Hughes Co.")</f>
        <v>0</v>
      </c>
      <c r="C525" t="s">
        <v>631</v>
      </c>
      <c r="D525">
        <v>0.047151277013752</v>
      </c>
      <c r="E525">
        <v>-0.03167562757176734</v>
      </c>
      <c r="F525">
        <v>0.11</v>
      </c>
      <c r="G525">
        <v>0.1080512111629905</v>
      </c>
      <c r="H525" t="s">
        <v>558</v>
      </c>
      <c r="I525" t="s">
        <v>300</v>
      </c>
    </row>
    <row r="526" spans="1:9">
      <c r="A526" s="1" t="s">
        <v>533</v>
      </c>
      <c r="B526">
        <f>HYPERLINK("https://www.suredividend.com/sure-analysis-IMO/","Imperial Oil Ltd.")</f>
        <v>0</v>
      </c>
      <c r="C526" t="s">
        <v>631</v>
      </c>
      <c r="D526">
        <v>0.040667326752738</v>
      </c>
      <c r="E526">
        <v>0.04227396796924698</v>
      </c>
      <c r="F526">
        <v>0.03</v>
      </c>
      <c r="G526">
        <v>0.1041091348839138</v>
      </c>
      <c r="H526" t="s">
        <v>558</v>
      </c>
      <c r="I526" t="s">
        <v>558</v>
      </c>
    </row>
    <row r="527" spans="1:9">
      <c r="A527" s="1" t="s">
        <v>534</v>
      </c>
      <c r="B527">
        <f>HYPERLINK("https://www.suredividend.com/sure-analysis-ABEV/","Ambev SA")</f>
        <v>0</v>
      </c>
      <c r="C527" t="s">
        <v>631</v>
      </c>
      <c r="D527">
        <v>0.046283524904214</v>
      </c>
      <c r="E527">
        <v>0.03434065345712578</v>
      </c>
      <c r="F527">
        <v>0.03</v>
      </c>
      <c r="G527">
        <v>0.1019553567391263</v>
      </c>
      <c r="H527" t="s">
        <v>558</v>
      </c>
      <c r="I527" t="s">
        <v>300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633</v>
      </c>
      <c r="D528">
        <v>0.107312851579402</v>
      </c>
      <c r="E528">
        <v>-0.0009537865276281199</v>
      </c>
      <c r="F528">
        <v>0.018</v>
      </c>
      <c r="G528">
        <v>0.1019260583047807</v>
      </c>
      <c r="H528" t="s">
        <v>558</v>
      </c>
      <c r="I528" t="s">
        <v>383</v>
      </c>
    </row>
    <row r="529" spans="1:9">
      <c r="A529" s="1" t="s">
        <v>536</v>
      </c>
      <c r="B529">
        <f>HYPERLINK("https://www.suredividend.com/sure-analysis-ALARF/","Alaris Royalty Corp.")</f>
        <v>0</v>
      </c>
      <c r="C529" t="s">
        <v>631</v>
      </c>
      <c r="D529">
        <v>0.142184073896112</v>
      </c>
      <c r="E529">
        <v>-0.002767570129358909</v>
      </c>
      <c r="F529">
        <v>0.02</v>
      </c>
      <c r="G529">
        <v>0.09922079663260908</v>
      </c>
      <c r="H529" t="s">
        <v>558</v>
      </c>
      <c r="I529" t="s">
        <v>383</v>
      </c>
    </row>
    <row r="530" spans="1:9">
      <c r="A530" s="1" t="s">
        <v>537</v>
      </c>
      <c r="B530">
        <f>HYPERLINK("https://www.suredividend.com/sure-analysis-CVA/","Covanta Holding Corp.")</f>
        <v>0</v>
      </c>
      <c r="C530" t="s">
        <v>631</v>
      </c>
      <c r="D530">
        <v>0.102669404517453</v>
      </c>
      <c r="E530">
        <v>-0.0362037939134594</v>
      </c>
      <c r="F530">
        <v>0.1</v>
      </c>
      <c r="G530">
        <v>0.09730474974280168</v>
      </c>
      <c r="H530" t="s">
        <v>558</v>
      </c>
      <c r="I530" t="s">
        <v>300</v>
      </c>
    </row>
    <row r="531" spans="1:9">
      <c r="A531" s="1" t="s">
        <v>538</v>
      </c>
      <c r="B531">
        <f>HYPERLINK("https://www.suredividend.com/sure-analysis-MAC/","Macerich Co.")</f>
        <v>0</v>
      </c>
      <c r="C531" t="s">
        <v>633</v>
      </c>
      <c r="D531">
        <v>0.366748166259168</v>
      </c>
      <c r="E531">
        <v>0.07965646204412757</v>
      </c>
      <c r="F531">
        <v>-0.02</v>
      </c>
      <c r="G531">
        <v>0.0944855173123833</v>
      </c>
      <c r="H531" t="s">
        <v>558</v>
      </c>
      <c r="I531" t="s">
        <v>636</v>
      </c>
    </row>
    <row r="532" spans="1:9">
      <c r="A532" s="1" t="s">
        <v>539</v>
      </c>
      <c r="B532">
        <f>HYPERLINK("https://www.suredividend.com/sure-analysis-COP/","ConocoPhillips")</f>
        <v>0</v>
      </c>
      <c r="C532" t="s">
        <v>631</v>
      </c>
      <c r="D532">
        <v>0.036286286286286</v>
      </c>
      <c r="E532">
        <v>-0.02615797302529754</v>
      </c>
      <c r="F532">
        <v>0.09</v>
      </c>
      <c r="G532">
        <v>0.093960400038408</v>
      </c>
      <c r="H532" t="s">
        <v>558</v>
      </c>
      <c r="I532" t="s">
        <v>558</v>
      </c>
    </row>
    <row r="533" spans="1:9">
      <c r="A533" s="1" t="s">
        <v>540</v>
      </c>
      <c r="B533">
        <f>HYPERLINK("https://www.suredividend.com/sure-analysis-HAL/","Halliburton Co.")</f>
        <v>0</v>
      </c>
      <c r="C533" t="s">
        <v>631</v>
      </c>
      <c r="D533">
        <v>0.055045871559633</v>
      </c>
      <c r="E533">
        <v>-0.08476144151830933</v>
      </c>
      <c r="F533">
        <v>0.149</v>
      </c>
      <c r="G533">
        <v>0.09319692711022776</v>
      </c>
      <c r="H533" t="s">
        <v>558</v>
      </c>
      <c r="I533" t="s">
        <v>300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634</v>
      </c>
      <c r="D534">
        <v>0.08253012048192701</v>
      </c>
      <c r="E534">
        <v>-0.02006643345200909</v>
      </c>
      <c r="F534">
        <v>0.04</v>
      </c>
      <c r="G534">
        <v>0.09129878205729525</v>
      </c>
      <c r="H534" t="s">
        <v>558</v>
      </c>
      <c r="I534" t="s">
        <v>383</v>
      </c>
    </row>
    <row r="535" spans="1:9">
      <c r="A535" s="1" t="s">
        <v>542</v>
      </c>
      <c r="B535">
        <f>HYPERLINK("https://www.suredividend.com/sure-analysis-PBR/","Petróleo Brasileiro SA")</f>
        <v>0</v>
      </c>
      <c r="C535" t="s">
        <v>631</v>
      </c>
      <c r="D535">
        <v>0.03255125284738</v>
      </c>
      <c r="E535">
        <v>-0.01843493217443526</v>
      </c>
      <c r="F535">
        <v>0.1</v>
      </c>
      <c r="G535">
        <v>0.08911038192315734</v>
      </c>
      <c r="H535" t="s">
        <v>558</v>
      </c>
      <c r="I535" t="s">
        <v>558</v>
      </c>
    </row>
    <row r="536" spans="1:9">
      <c r="A536" s="1" t="s">
        <v>543</v>
      </c>
      <c r="B536">
        <f>HYPERLINK("https://www.suredividend.com/sure-analysis-ALK/","Alaska Air Group, Inc.")</f>
        <v>0</v>
      </c>
      <c r="C536" t="s">
        <v>631</v>
      </c>
      <c r="D536">
        <v>0.038513513513513</v>
      </c>
      <c r="E536">
        <v>0.03526180275714541</v>
      </c>
      <c r="F536">
        <v>0.04</v>
      </c>
      <c r="G536">
        <v>0.08847796915080752</v>
      </c>
      <c r="H536" t="s">
        <v>558</v>
      </c>
      <c r="I536" t="s">
        <v>558</v>
      </c>
    </row>
    <row r="537" spans="1:9">
      <c r="A537" s="1" t="s">
        <v>544</v>
      </c>
      <c r="B537">
        <f>HYPERLINK("https://www.suredividend.com/sure-analysis-PTR/","PetroChina Co., Ltd.")</f>
        <v>0</v>
      </c>
      <c r="C537" t="s">
        <v>631</v>
      </c>
      <c r="D537">
        <v>0.06839607498535401</v>
      </c>
      <c r="E537">
        <v>-0.01286331409723407</v>
      </c>
      <c r="F537">
        <v>0.07000000000000001</v>
      </c>
      <c r="G537">
        <v>0.08794656116831057</v>
      </c>
      <c r="H537" t="s">
        <v>558</v>
      </c>
      <c r="I537" t="s">
        <v>300</v>
      </c>
    </row>
    <row r="538" spans="1:9">
      <c r="A538" s="1" t="s">
        <v>545</v>
      </c>
      <c r="B538">
        <f>HYPERLINK("https://www.suredividend.com/sure-analysis-SIX/","Six Flags Entertainment Corp.")</f>
        <v>0</v>
      </c>
      <c r="C538" t="s">
        <v>631</v>
      </c>
      <c r="D538">
        <v>0.132360097323601</v>
      </c>
      <c r="E538">
        <v>0.05611299775839163</v>
      </c>
      <c r="F538">
        <v>0.03</v>
      </c>
      <c r="G538">
        <v>0.0877963876911434</v>
      </c>
      <c r="H538" t="s">
        <v>558</v>
      </c>
      <c r="I538" t="s">
        <v>383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631</v>
      </c>
      <c r="D539">
        <v>0.107411385606874</v>
      </c>
      <c r="E539">
        <v>0.01440192293923093</v>
      </c>
      <c r="F539">
        <v>0.05</v>
      </c>
      <c r="G539">
        <v>0.0874708664542454</v>
      </c>
      <c r="H539" t="s">
        <v>558</v>
      </c>
      <c r="I539" t="s">
        <v>300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631</v>
      </c>
      <c r="D540">
        <v>0.100623975409836</v>
      </c>
      <c r="E540">
        <v>-0.04713504892778286</v>
      </c>
      <c r="F540">
        <v>0.05</v>
      </c>
      <c r="G540">
        <v>0.08704794413802741</v>
      </c>
      <c r="H540" t="s">
        <v>558</v>
      </c>
      <c r="I540" t="s">
        <v>383</v>
      </c>
    </row>
    <row r="541" spans="1:9">
      <c r="A541" s="1" t="s">
        <v>548</v>
      </c>
      <c r="B541">
        <f>HYPERLINK("https://www.suredividend.com/sure-analysis-AGNC/","AGNC Investment Corp.")</f>
        <v>0</v>
      </c>
      <c r="C541" t="s">
        <v>633</v>
      </c>
      <c r="D541">
        <v>0.145100972326103</v>
      </c>
      <c r="E541">
        <v>-0.09761531508560928</v>
      </c>
      <c r="F541">
        <v>0.118</v>
      </c>
      <c r="G541">
        <v>0.08551075917582929</v>
      </c>
      <c r="H541" t="s">
        <v>558</v>
      </c>
      <c r="I541" t="s">
        <v>383</v>
      </c>
    </row>
    <row r="542" spans="1:9">
      <c r="A542" s="1" t="s">
        <v>549</v>
      </c>
      <c r="B542">
        <f>HYPERLINK("https://www.suredividend.com/sure-analysis-HST/","Host Hotels &amp; Resorts, Inc.")</f>
        <v>0</v>
      </c>
      <c r="C542" t="s">
        <v>633</v>
      </c>
      <c r="D542">
        <v>0.072661217075386</v>
      </c>
      <c r="E542">
        <v>0.06380196457174514</v>
      </c>
      <c r="F542">
        <v>0</v>
      </c>
      <c r="G542">
        <v>0.08427470199129727</v>
      </c>
      <c r="H542" t="s">
        <v>558</v>
      </c>
      <c r="I542" t="s">
        <v>300</v>
      </c>
    </row>
    <row r="543" spans="1:9">
      <c r="A543" s="1" t="s">
        <v>550</v>
      </c>
      <c r="B543">
        <f>HYPERLINK("https://www.suredividend.com/sure-analysis-NOV/","National Oilwell Varco, Inc.")</f>
        <v>0</v>
      </c>
      <c r="C543" t="s">
        <v>631</v>
      </c>
      <c r="D543">
        <v>0.017605633802816</v>
      </c>
      <c r="E543">
        <v>0.07089854932200002</v>
      </c>
      <c r="F543">
        <v>0</v>
      </c>
      <c r="G543">
        <v>0.08396215077933533</v>
      </c>
      <c r="H543" t="s">
        <v>558</v>
      </c>
      <c r="I543" t="s">
        <v>558</v>
      </c>
    </row>
    <row r="544" spans="1:9">
      <c r="A544" s="1" t="s">
        <v>551</v>
      </c>
      <c r="B544">
        <f>HYPERLINK("https://www.suredividend.com/sure-analysis-VGR/","Vector Group Ltd.")</f>
        <v>0</v>
      </c>
      <c r="C544" t="s">
        <v>631</v>
      </c>
      <c r="D544">
        <v>0.15319513713847</v>
      </c>
      <c r="E544">
        <v>-0.02087611451234739</v>
      </c>
      <c r="F544">
        <v>0.03</v>
      </c>
      <c r="G544">
        <v>0.08348092715852573</v>
      </c>
      <c r="H544" t="s">
        <v>558</v>
      </c>
      <c r="I544" t="s">
        <v>383</v>
      </c>
    </row>
    <row r="545" spans="1:9">
      <c r="A545" s="1" t="s">
        <v>552</v>
      </c>
      <c r="B545">
        <f>HYPERLINK("https://www.suredividend.com/sure-analysis-DTEGY/","Deutsche Telekom AG")</f>
        <v>0</v>
      </c>
      <c r="C545" t="s">
        <v>631</v>
      </c>
      <c r="D545">
        <v>0.07568013659647101</v>
      </c>
      <c r="E545">
        <v>-0.006574206351700695</v>
      </c>
      <c r="F545">
        <v>0.06</v>
      </c>
      <c r="G545">
        <v>0.08269079151660286</v>
      </c>
      <c r="H545" t="s">
        <v>558</v>
      </c>
      <c r="I545" t="s">
        <v>383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633</v>
      </c>
      <c r="D546">
        <v>0.190374331550802</v>
      </c>
      <c r="E546">
        <v>0.01149727415513624</v>
      </c>
      <c r="F546">
        <v>-0.042</v>
      </c>
      <c r="G546">
        <v>0.08130988219959878</v>
      </c>
      <c r="H546" t="s">
        <v>558</v>
      </c>
      <c r="I546" t="s">
        <v>636</v>
      </c>
    </row>
    <row r="547" spans="1:9">
      <c r="A547" s="1" t="s">
        <v>554</v>
      </c>
      <c r="B547">
        <f>HYPERLINK("https://www.suredividend.com/sure-analysis-HSBC/","HSBC Holdings Plc")</f>
        <v>0</v>
      </c>
      <c r="C547" t="s">
        <v>631</v>
      </c>
      <c r="D547">
        <v>0.08682761541719601</v>
      </c>
      <c r="E547">
        <v>-0.03264294862258854</v>
      </c>
      <c r="F547">
        <v>0.02</v>
      </c>
      <c r="G547">
        <v>0.08087513820797088</v>
      </c>
      <c r="H547" t="s">
        <v>558</v>
      </c>
      <c r="I547" t="s">
        <v>383</v>
      </c>
    </row>
    <row r="548" spans="1:9">
      <c r="A548" s="1" t="s">
        <v>555</v>
      </c>
      <c r="B548">
        <f>HYPERLINK("https://www.suredividend.com/sure-analysis-FUN/","Cedar Fair LP")</f>
        <v>0</v>
      </c>
      <c r="C548" t="s">
        <v>631</v>
      </c>
      <c r="D548">
        <v>0.140060240963855</v>
      </c>
      <c r="E548">
        <v>-0.004252888066091365</v>
      </c>
      <c r="F548">
        <v>0.05</v>
      </c>
      <c r="G548">
        <v>0.0776898865639315</v>
      </c>
      <c r="H548" t="s">
        <v>558</v>
      </c>
      <c r="I548" t="s">
        <v>383</v>
      </c>
    </row>
    <row r="549" spans="1:9">
      <c r="A549" s="1" t="s">
        <v>556</v>
      </c>
      <c r="B549">
        <f>HYPERLINK("https://www.suredividend.com/sure-analysis-R/","Ryder System, Inc.")</f>
        <v>0</v>
      </c>
      <c r="C549" t="s">
        <v>631</v>
      </c>
      <c r="D549">
        <v>0.051057957681692</v>
      </c>
      <c r="E549">
        <v>-0.01654590917541776</v>
      </c>
      <c r="F549">
        <v>0.05</v>
      </c>
      <c r="G549">
        <v>0.07745157126099311</v>
      </c>
      <c r="H549" t="s">
        <v>558</v>
      </c>
      <c r="I549" t="s">
        <v>300</v>
      </c>
    </row>
    <row r="550" spans="1:9">
      <c r="A550" s="1" t="s">
        <v>557</v>
      </c>
      <c r="B550">
        <f>HYPERLINK("https://www.suredividend.com/sure-analysis-MAIN/","Main Street Capital Corp.")</f>
        <v>0</v>
      </c>
      <c r="C550" t="s">
        <v>631</v>
      </c>
      <c r="D550">
        <v>0.07743153918791301</v>
      </c>
      <c r="E550">
        <v>-0.03201347906401708</v>
      </c>
      <c r="F550">
        <v>0.02</v>
      </c>
      <c r="G550">
        <v>0.07703167069330652</v>
      </c>
      <c r="H550" t="s">
        <v>558</v>
      </c>
      <c r="I550" t="s">
        <v>383</v>
      </c>
    </row>
    <row r="551" spans="1:9">
      <c r="A551" s="1" t="s">
        <v>558</v>
      </c>
      <c r="B551">
        <f>HYPERLINK("https://www.suredividend.com/sure-analysis-F/","Ford Motor Co.")</f>
        <v>0</v>
      </c>
      <c r="C551" t="s">
        <v>631</v>
      </c>
      <c r="D551">
        <v>0.08823529411764701</v>
      </c>
      <c r="E551">
        <v>0.02517111829582741</v>
      </c>
      <c r="F551">
        <v>0.02</v>
      </c>
      <c r="G551">
        <v>0.07695610796095975</v>
      </c>
      <c r="H551" t="s">
        <v>558</v>
      </c>
      <c r="I551" t="s">
        <v>300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631</v>
      </c>
      <c r="D552">
        <v>0.107591153616258</v>
      </c>
      <c r="E552">
        <v>-0.0350019873513232</v>
      </c>
      <c r="F552">
        <v>0.04</v>
      </c>
      <c r="G552">
        <v>0.07691828855172989</v>
      </c>
      <c r="H552" t="s">
        <v>558</v>
      </c>
      <c r="I552" t="s">
        <v>383</v>
      </c>
    </row>
    <row r="553" spans="1:9">
      <c r="A553" s="1" t="s">
        <v>560</v>
      </c>
      <c r="B553">
        <f>HYPERLINK("https://www.suredividend.com/sure-analysis-OGZPY/","Gazprom PJSC")</f>
        <v>0</v>
      </c>
      <c r="C553" t="s">
        <v>631</v>
      </c>
      <c r="D553">
        <v>0.184070450097847</v>
      </c>
      <c r="E553">
        <v>-0.07289392077663082</v>
      </c>
      <c r="F553">
        <v>0.08</v>
      </c>
      <c r="G553">
        <v>0.07046442040556977</v>
      </c>
      <c r="H553" t="s">
        <v>558</v>
      </c>
      <c r="I553" t="s">
        <v>636</v>
      </c>
    </row>
    <row r="554" spans="1:9">
      <c r="A554" s="1" t="s">
        <v>561</v>
      </c>
      <c r="B554">
        <f>HYPERLINK("https://www.suredividend.com/sure-analysis-WPP/","WPP Plc")</f>
        <v>0</v>
      </c>
      <c r="C554" t="s">
        <v>631</v>
      </c>
      <c r="D554">
        <v>0.09962776025236501</v>
      </c>
      <c r="E554">
        <v>0.01509963050079999</v>
      </c>
      <c r="F554">
        <v>0.03</v>
      </c>
      <c r="G554">
        <v>0.07010895394248773</v>
      </c>
      <c r="H554" t="s">
        <v>558</v>
      </c>
      <c r="I554" t="s">
        <v>383</v>
      </c>
    </row>
    <row r="555" spans="1:9">
      <c r="A555" s="1" t="s">
        <v>562</v>
      </c>
      <c r="B555">
        <f>HYPERLINK("https://www.suredividend.com/sure-analysis-DDS/","Dillard's, Inc.")</f>
        <v>0</v>
      </c>
      <c r="C555" t="s">
        <v>631</v>
      </c>
      <c r="D555">
        <v>0.022258195062727</v>
      </c>
      <c r="E555">
        <v>0.01788380302374115</v>
      </c>
      <c r="F555">
        <v>0.03</v>
      </c>
      <c r="G555">
        <v>0.06889279203922638</v>
      </c>
      <c r="H555" t="s">
        <v>558</v>
      </c>
      <c r="I555" t="s">
        <v>558</v>
      </c>
    </row>
    <row r="556" spans="1:9">
      <c r="A556" s="1" t="s">
        <v>563</v>
      </c>
      <c r="B556">
        <f>HYPERLINK("https://www.suredividend.com/sure-analysis-M/","Macy's, Inc.")</f>
        <v>0</v>
      </c>
      <c r="C556" t="s">
        <v>631</v>
      </c>
      <c r="D556">
        <v>0.227067669172932</v>
      </c>
      <c r="E556">
        <v>0.06239048603138309</v>
      </c>
      <c r="F556">
        <v>-0.03</v>
      </c>
      <c r="G556">
        <v>0.06773356202018288</v>
      </c>
      <c r="H556" t="s">
        <v>558</v>
      </c>
      <c r="I556" t="s">
        <v>383</v>
      </c>
    </row>
    <row r="557" spans="1:9">
      <c r="A557" s="1" t="s">
        <v>564</v>
      </c>
      <c r="B557">
        <f>HYPERLINK("https://www.suredividend.com/sure-analysis-CLDT/","Chatham Lodging Trust")</f>
        <v>0</v>
      </c>
      <c r="C557" t="s">
        <v>633</v>
      </c>
      <c r="D557">
        <v>0.156028368794326</v>
      </c>
      <c r="E557">
        <v>-0.07593845254178611</v>
      </c>
      <c r="F557">
        <v>0.1</v>
      </c>
      <c r="G557">
        <v>0.06752817445880477</v>
      </c>
      <c r="H557" t="s">
        <v>558</v>
      </c>
      <c r="I557" t="s">
        <v>383</v>
      </c>
    </row>
    <row r="558" spans="1:9">
      <c r="A558" s="1" t="s">
        <v>565</v>
      </c>
      <c r="B558">
        <f>HYPERLINK("https://www.suredividend.com/sure-analysis-ARR/","ARMOUR Residential REIT, Inc.")</f>
        <v>0</v>
      </c>
      <c r="C558" t="s">
        <v>633</v>
      </c>
      <c r="D558">
        <v>0.222457627118644</v>
      </c>
      <c r="E558">
        <v>-0.01619403449267875</v>
      </c>
      <c r="F558">
        <v>0.002</v>
      </c>
      <c r="G558">
        <v>0.06711003556346529</v>
      </c>
      <c r="H558" t="s">
        <v>558</v>
      </c>
      <c r="I558" t="s">
        <v>636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633</v>
      </c>
      <c r="D559">
        <v>0.228571428571428</v>
      </c>
      <c r="E559">
        <v>-0.03035973390442093</v>
      </c>
      <c r="F559">
        <v>0.001</v>
      </c>
      <c r="G559">
        <v>0.06667977897793387</v>
      </c>
      <c r="H559" t="s">
        <v>558</v>
      </c>
      <c r="I559" t="s">
        <v>636</v>
      </c>
    </row>
    <row r="560" spans="1:9">
      <c r="A560" s="1" t="s">
        <v>567</v>
      </c>
      <c r="B560">
        <f>HYPERLINK("https://www.suredividend.com/sure-analysis-DOW/","Dow, Inc.")</f>
        <v>0</v>
      </c>
      <c r="C560" t="s">
        <v>631</v>
      </c>
      <c r="D560">
        <v>0.06411724295855201</v>
      </c>
      <c r="E560">
        <v>-0.02236603143554483</v>
      </c>
      <c r="F560">
        <v>0.03</v>
      </c>
      <c r="G560">
        <v>0.06584796969357987</v>
      </c>
      <c r="H560" t="s">
        <v>558</v>
      </c>
      <c r="I560" t="s">
        <v>300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633</v>
      </c>
      <c r="D561">
        <v>0.09638554216867401</v>
      </c>
      <c r="E561">
        <v>-0.08877978371459982</v>
      </c>
      <c r="F561">
        <v>0.11</v>
      </c>
      <c r="G561">
        <v>0.06482642022730811</v>
      </c>
      <c r="H561" t="s">
        <v>558</v>
      </c>
      <c r="I561" t="s">
        <v>383</v>
      </c>
    </row>
    <row r="562" spans="1:9">
      <c r="A562" s="1" t="s">
        <v>569</v>
      </c>
      <c r="B562">
        <f>HYPERLINK("https://www.suredividend.com/sure-analysis-HP/","Helmerich &amp; Payne, Inc.")</f>
        <v>0</v>
      </c>
      <c r="C562" t="s">
        <v>631</v>
      </c>
      <c r="D562">
        <v>0.156473829201101</v>
      </c>
      <c r="E562">
        <v>-0.1308931437614322</v>
      </c>
      <c r="F562">
        <v>0.17</v>
      </c>
      <c r="G562">
        <v>0.06384078287719208</v>
      </c>
      <c r="H562" t="s">
        <v>558</v>
      </c>
      <c r="I562" t="s">
        <v>383</v>
      </c>
    </row>
    <row r="563" spans="1:9">
      <c r="A563" s="1" t="s">
        <v>570</v>
      </c>
      <c r="B563">
        <f>HYPERLINK("https://www.suredividend.com/sure-analysis-FL/","Foot Locker, Inc.")</f>
        <v>0</v>
      </c>
      <c r="C563" t="s">
        <v>631</v>
      </c>
      <c r="D563">
        <v>0.055555555555555</v>
      </c>
      <c r="E563">
        <v>0.009069209442838178</v>
      </c>
      <c r="F563">
        <v>0.04</v>
      </c>
      <c r="G563">
        <v>0.0631660988338143</v>
      </c>
      <c r="H563" t="s">
        <v>558</v>
      </c>
      <c r="I563" t="s">
        <v>300</v>
      </c>
    </row>
    <row r="564" spans="1:9">
      <c r="A564" s="1" t="s">
        <v>571</v>
      </c>
      <c r="B564">
        <f>HYPERLINK("https://www.suredividend.com/sure-analysis-OXY/","Occidental Petroleum Corp.")</f>
        <v>0</v>
      </c>
      <c r="C564" t="s">
        <v>631</v>
      </c>
      <c r="D564">
        <v>0.193488943488943</v>
      </c>
      <c r="E564">
        <v>0.020289978423083</v>
      </c>
      <c r="F564">
        <v>0.02</v>
      </c>
      <c r="G564">
        <v>0.06277952975539081</v>
      </c>
      <c r="H564" t="s">
        <v>558</v>
      </c>
      <c r="I564" t="s">
        <v>383</v>
      </c>
    </row>
    <row r="565" spans="1:9">
      <c r="A565" s="1" t="s">
        <v>572</v>
      </c>
      <c r="B565">
        <f>HYPERLINK("https://www.suredividend.com/sure-analysis-EADSY/","Airbus SE")</f>
        <v>0</v>
      </c>
      <c r="C565" t="s">
        <v>631</v>
      </c>
      <c r="D565">
        <v>0.019947173798203</v>
      </c>
      <c r="E565">
        <v>-0.01002465624835602</v>
      </c>
      <c r="F565">
        <v>0.06</v>
      </c>
      <c r="G565">
        <v>0.06138099349385628</v>
      </c>
      <c r="H565" t="s">
        <v>558</v>
      </c>
      <c r="I565" t="s">
        <v>558</v>
      </c>
    </row>
    <row r="566" spans="1:9">
      <c r="A566" s="1" t="s">
        <v>573</v>
      </c>
      <c r="B566">
        <f>HYPERLINK("https://www.suredividend.com/sure-analysis-EPR/","EPR Properties")</f>
        <v>0</v>
      </c>
      <c r="C566" t="s">
        <v>633</v>
      </c>
      <c r="D566">
        <v>0.143413935730194</v>
      </c>
      <c r="E566">
        <v>0.0217502029949117</v>
      </c>
      <c r="F566">
        <v>0</v>
      </c>
      <c r="G566">
        <v>0.061305110768759</v>
      </c>
      <c r="H566" t="s">
        <v>558</v>
      </c>
      <c r="I566" t="s">
        <v>383</v>
      </c>
    </row>
    <row r="567" spans="1:9">
      <c r="A567" s="1" t="s">
        <v>574</v>
      </c>
      <c r="B567">
        <f>HYPERLINK("https://www.suredividend.com/sure-analysis-SJR/","Shaw Communications, Inc.")</f>
        <v>0</v>
      </c>
      <c r="C567" t="s">
        <v>631</v>
      </c>
      <c r="D567">
        <v>0.06525330396475701</v>
      </c>
      <c r="E567">
        <v>-0.04139365751819013</v>
      </c>
      <c r="F567">
        <v>0.06</v>
      </c>
      <c r="G567">
        <v>0.0600862258515471</v>
      </c>
      <c r="H567" t="s">
        <v>558</v>
      </c>
      <c r="I567" t="s">
        <v>300</v>
      </c>
    </row>
    <row r="568" spans="1:9">
      <c r="A568" s="1" t="s">
        <v>575</v>
      </c>
      <c r="B568">
        <f>HYPERLINK("https://www.suredividend.com/sure-analysis-AB/","AllianceBernstein Holding LP")</f>
        <v>0</v>
      </c>
      <c r="C568" t="s">
        <v>631</v>
      </c>
      <c r="D568">
        <v>0.089525831564048</v>
      </c>
      <c r="E568">
        <v>-0.0668067954495789</v>
      </c>
      <c r="F568">
        <v>0.05</v>
      </c>
      <c r="G568">
        <v>0.05809842562754453</v>
      </c>
      <c r="H568" t="s">
        <v>558</v>
      </c>
      <c r="I568" t="s">
        <v>383</v>
      </c>
    </row>
    <row r="569" spans="1:9">
      <c r="A569" s="1" t="s">
        <v>576</v>
      </c>
      <c r="B569">
        <f>HYPERLINK("https://www.suredividend.com/sure-analysis-ROST/","Ross Stores, Inc.")</f>
        <v>0</v>
      </c>
      <c r="C569" t="s">
        <v>631</v>
      </c>
      <c r="D569">
        <v>0.012239188716633</v>
      </c>
      <c r="E569">
        <v>-0.06901450092659644</v>
      </c>
      <c r="F569">
        <v>0.13</v>
      </c>
      <c r="G569">
        <v>0.05585764417855854</v>
      </c>
      <c r="H569" t="s">
        <v>558</v>
      </c>
      <c r="I569" t="s">
        <v>558</v>
      </c>
    </row>
    <row r="570" spans="1:9">
      <c r="A570" s="1" t="s">
        <v>577</v>
      </c>
      <c r="B570">
        <f>HYPERLINK("https://www.suredividend.com/sure-analysis-ORC/","Orchid Island Capital, Inc.")</f>
        <v>0</v>
      </c>
      <c r="C570" t="s">
        <v>633</v>
      </c>
      <c r="D570">
        <v>0.193548387096774</v>
      </c>
      <c r="E570">
        <v>-0.04210994805604396</v>
      </c>
      <c r="F570">
        <v>-0.019</v>
      </c>
      <c r="G570">
        <v>0.05349526280994099</v>
      </c>
      <c r="H570" t="s">
        <v>558</v>
      </c>
      <c r="I570" t="s">
        <v>636</v>
      </c>
    </row>
    <row r="571" spans="1:9">
      <c r="A571" s="1" t="s">
        <v>578</v>
      </c>
      <c r="B571">
        <f>HYPERLINK("https://www.suredividend.com/sure-analysis-VET/","Vermilion Energy, Inc.")</f>
        <v>0</v>
      </c>
      <c r="C571" t="s">
        <v>631</v>
      </c>
      <c r="D571">
        <v>0.4498696323954881</v>
      </c>
      <c r="E571">
        <v>-0.1006883577224251</v>
      </c>
      <c r="F571">
        <v>0.05</v>
      </c>
      <c r="G571">
        <v>0.05228726273109108</v>
      </c>
      <c r="H571" t="s">
        <v>558</v>
      </c>
      <c r="I571" t="s">
        <v>636</v>
      </c>
    </row>
    <row r="572" spans="1:9">
      <c r="A572" s="1" t="s">
        <v>579</v>
      </c>
      <c r="B572">
        <f>HYPERLINK("https://www.suredividend.com/sure-analysis-EQM/","EQM Midstream Partners LP")</f>
        <v>0</v>
      </c>
      <c r="C572" t="s">
        <v>632</v>
      </c>
      <c r="D572">
        <v>0.180471301913205</v>
      </c>
      <c r="E572">
        <v>-0.01371696043083381</v>
      </c>
      <c r="F572">
        <v>0</v>
      </c>
      <c r="G572">
        <v>0.04884025297801764</v>
      </c>
      <c r="H572" t="s">
        <v>558</v>
      </c>
      <c r="I572" t="s">
        <v>636</v>
      </c>
    </row>
    <row r="573" spans="1:9">
      <c r="A573" s="1" t="s">
        <v>580</v>
      </c>
      <c r="B573">
        <f>HYPERLINK("https://www.suredividend.com/sure-analysis-NRZ/","New Residential Investment Corp.")</f>
        <v>0</v>
      </c>
      <c r="C573" t="s">
        <v>633</v>
      </c>
      <c r="D573">
        <v>0.201037613488975</v>
      </c>
      <c r="E573">
        <v>-0.01359418533107548</v>
      </c>
      <c r="F573">
        <v>0.04</v>
      </c>
      <c r="G573">
        <v>0.04828218669325612</v>
      </c>
      <c r="H573" t="s">
        <v>558</v>
      </c>
      <c r="I573" t="s">
        <v>636</v>
      </c>
    </row>
    <row r="574" spans="1:9">
      <c r="A574" s="1" t="s">
        <v>581</v>
      </c>
      <c r="B574">
        <f>HYPERLINK("https://www.suredividend.com/sure-analysis-E/","Eni SpA")</f>
        <v>0</v>
      </c>
      <c r="C574" t="s">
        <v>631</v>
      </c>
      <c r="D574">
        <v>0.066347540983606</v>
      </c>
      <c r="E574">
        <v>-0.05713503864386416</v>
      </c>
      <c r="F574">
        <v>0.06</v>
      </c>
      <c r="G574">
        <v>0.04792680420968587</v>
      </c>
      <c r="H574" t="s">
        <v>558</v>
      </c>
      <c r="I574" t="s">
        <v>300</v>
      </c>
    </row>
    <row r="575" spans="1:9">
      <c r="A575" s="1" t="s">
        <v>582</v>
      </c>
      <c r="B575">
        <f>HYPERLINK("https://www.suredividend.com/sure-analysis-BA/","The Boeing Co.")</f>
        <v>0</v>
      </c>
      <c r="C575" t="s">
        <v>631</v>
      </c>
      <c r="D575">
        <v>0.04679494477968801</v>
      </c>
      <c r="E575">
        <v>-0.006528967352735893</v>
      </c>
      <c r="F575">
        <v>0.054</v>
      </c>
      <c r="G575">
        <v>0.04711846841021639</v>
      </c>
      <c r="H575" t="s">
        <v>558</v>
      </c>
      <c r="I575" t="s">
        <v>558</v>
      </c>
    </row>
    <row r="576" spans="1:9">
      <c r="A576" s="1" t="s">
        <v>583</v>
      </c>
      <c r="B576">
        <f>HYPERLINK("https://www.suredividend.com/sure-analysis-PBA/","Pembina Pipeline Corp.")</f>
        <v>0</v>
      </c>
      <c r="C576" t="s">
        <v>631</v>
      </c>
      <c r="D576">
        <v>0.073345740828807</v>
      </c>
      <c r="E576">
        <v>-0.07266963897974554</v>
      </c>
      <c r="F576">
        <v>0.05</v>
      </c>
      <c r="G576">
        <v>0.04671233948487408</v>
      </c>
      <c r="H576" t="s">
        <v>558</v>
      </c>
      <c r="I576" t="s">
        <v>383</v>
      </c>
    </row>
    <row r="577" spans="1:9">
      <c r="A577" s="1" t="s">
        <v>584</v>
      </c>
      <c r="B577">
        <f>HYPERLINK("https://www.suredividend.com/sure-analysis-CBRL/","Cracker Barrel Old Country Store, Inc.")</f>
        <v>0</v>
      </c>
      <c r="C577" t="s">
        <v>631</v>
      </c>
      <c r="D577">
        <v>0.04896882945663401</v>
      </c>
      <c r="E577">
        <v>-0.03254276288280955</v>
      </c>
      <c r="F577">
        <v>0.031</v>
      </c>
      <c r="G577">
        <v>0.04636147950592973</v>
      </c>
      <c r="H577" t="s">
        <v>558</v>
      </c>
      <c r="I577" t="s">
        <v>300</v>
      </c>
    </row>
    <row r="578" spans="1:9">
      <c r="A578" s="1" t="s">
        <v>585</v>
      </c>
      <c r="B578">
        <f>HYPERLINK("https://www.suredividend.com/sure-analysis-DAL/","Delta Air Lines, Inc.")</f>
        <v>0</v>
      </c>
      <c r="C578" t="s">
        <v>631</v>
      </c>
      <c r="D578">
        <v>0.044639556377079</v>
      </c>
      <c r="E578">
        <v>-0.01563866216071053</v>
      </c>
      <c r="F578">
        <v>0.06</v>
      </c>
      <c r="G578">
        <v>0.0462149797345961</v>
      </c>
      <c r="H578" t="s">
        <v>558</v>
      </c>
      <c r="I578" t="s">
        <v>558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631</v>
      </c>
      <c r="D579">
        <v>0.09820836098208301</v>
      </c>
      <c r="E579">
        <v>-0.01462178471865616</v>
      </c>
      <c r="F579">
        <v>0.03</v>
      </c>
      <c r="G579">
        <v>0.04298767737607756</v>
      </c>
      <c r="H579" t="s">
        <v>558</v>
      </c>
      <c r="I579" t="s">
        <v>300</v>
      </c>
    </row>
    <row r="580" spans="1:9">
      <c r="A580" s="1" t="s">
        <v>587</v>
      </c>
      <c r="B580">
        <f>HYPERLINK("https://www.suredividend.com/sure-analysis-EQNR/","Equinor ASA")</f>
        <v>0</v>
      </c>
      <c r="C580" t="s">
        <v>631</v>
      </c>
      <c r="D580">
        <v>0.06921555702043501</v>
      </c>
      <c r="E580">
        <v>-0.01592433813729432</v>
      </c>
      <c r="F580">
        <v>0.02</v>
      </c>
      <c r="G580">
        <v>0.04089794616875153</v>
      </c>
      <c r="H580" t="s">
        <v>558</v>
      </c>
      <c r="I580" t="s">
        <v>300</v>
      </c>
    </row>
    <row r="581" spans="1:9">
      <c r="A581" s="1" t="s">
        <v>588</v>
      </c>
      <c r="B581">
        <f>HYPERLINK("https://www.suredividend.com/sure-analysis-HOG/","Harley-Davidson, Inc.")</f>
        <v>0</v>
      </c>
      <c r="C581" t="s">
        <v>631</v>
      </c>
      <c r="D581">
        <v>0.05256723716381401</v>
      </c>
      <c r="E581">
        <v>-0.02675152445555451</v>
      </c>
      <c r="F581">
        <v>0.037</v>
      </c>
      <c r="G581">
        <v>0.04012210368886349</v>
      </c>
      <c r="H581" t="s">
        <v>558</v>
      </c>
      <c r="I581" t="s">
        <v>300</v>
      </c>
    </row>
    <row r="582" spans="1:9">
      <c r="A582" s="1" t="s">
        <v>589</v>
      </c>
      <c r="B582">
        <f>HYPERLINK("https://www.suredividend.com/sure-analysis-WELL/","Welltower, Inc.")</f>
        <v>0</v>
      </c>
      <c r="C582" t="s">
        <v>633</v>
      </c>
      <c r="D582">
        <v>0.068248676211021</v>
      </c>
      <c r="E582">
        <v>-0.02905745192260034</v>
      </c>
      <c r="F582">
        <v>0.02</v>
      </c>
      <c r="G582">
        <v>0.04004160196503936</v>
      </c>
      <c r="H582" t="s">
        <v>558</v>
      </c>
      <c r="I582" t="s">
        <v>383</v>
      </c>
    </row>
    <row r="583" spans="1:9">
      <c r="A583" s="1" t="s">
        <v>590</v>
      </c>
      <c r="B583">
        <f>HYPERLINK("https://www.suredividend.com/sure-analysis-KSS/","Kohl's Corp.")</f>
        <v>0</v>
      </c>
      <c r="C583" t="s">
        <v>631</v>
      </c>
      <c r="D583">
        <v>0.123139745916515</v>
      </c>
      <c r="E583">
        <v>-0.01923788594997156</v>
      </c>
      <c r="F583">
        <v>0</v>
      </c>
      <c r="G583">
        <v>0.03455198060796882</v>
      </c>
      <c r="H583" t="s">
        <v>558</v>
      </c>
      <c r="I583" t="s">
        <v>383</v>
      </c>
    </row>
    <row r="584" spans="1:9">
      <c r="A584" s="1" t="s">
        <v>591</v>
      </c>
      <c r="B584">
        <f>HYPERLINK("https://www.suredividend.com/sure-analysis-PTEN/","Patterson-UTI Energy, Inc.")</f>
        <v>0</v>
      </c>
      <c r="C584" t="s">
        <v>631</v>
      </c>
      <c r="D584">
        <v>0.048192771084337</v>
      </c>
      <c r="E584">
        <v>0.1738665496725409</v>
      </c>
      <c r="F584">
        <v>-0.14</v>
      </c>
      <c r="G584">
        <v>0.03375060362371607</v>
      </c>
      <c r="H584" t="s">
        <v>558</v>
      </c>
      <c r="I584" t="s">
        <v>558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631</v>
      </c>
      <c r="D585">
        <v>0.033585222502099</v>
      </c>
      <c r="E585">
        <v>0.03286427180040641</v>
      </c>
      <c r="F585">
        <v>0</v>
      </c>
      <c r="G585">
        <v>0.03286427180040641</v>
      </c>
      <c r="H585" t="s">
        <v>558</v>
      </c>
      <c r="I585" t="s">
        <v>558</v>
      </c>
    </row>
    <row r="586" spans="1:9">
      <c r="A586" s="1" t="s">
        <v>593</v>
      </c>
      <c r="B586">
        <f>HYPERLINK("https://www.suredividend.com/sure-analysis-HA/","Hawaiian Holdings, Inc.")</f>
        <v>0</v>
      </c>
      <c r="C586" t="s">
        <v>631</v>
      </c>
      <c r="D586">
        <v>0.035242290748898</v>
      </c>
      <c r="E586">
        <v>0.01948967154246861</v>
      </c>
      <c r="F586">
        <v>0</v>
      </c>
      <c r="G586">
        <v>0.03144008001965348</v>
      </c>
      <c r="H586" t="s">
        <v>558</v>
      </c>
      <c r="I586" t="s">
        <v>558</v>
      </c>
    </row>
    <row r="587" spans="1:9">
      <c r="A587" s="1" t="s">
        <v>594</v>
      </c>
      <c r="B587">
        <f>HYPERLINK("https://www.suredividend.com/sure-analysis-DX/","Dynex Capital, Inc.")</f>
        <v>0</v>
      </c>
      <c r="C587" t="s">
        <v>633</v>
      </c>
      <c r="D587">
        <v>0.128600133958472</v>
      </c>
      <c r="E587">
        <v>-0.1173144117414051</v>
      </c>
      <c r="F587">
        <v>0.08500000000000001</v>
      </c>
      <c r="G587">
        <v>0.03103125783403704</v>
      </c>
      <c r="H587" t="s">
        <v>558</v>
      </c>
      <c r="I587" t="s">
        <v>383</v>
      </c>
    </row>
    <row r="588" spans="1:9">
      <c r="A588" s="1" t="s">
        <v>595</v>
      </c>
      <c r="B588">
        <f>HYPERLINK("https://www.suredividend.com/sure-analysis-GLPI/","Gaming &amp; Leisure Properties, Inc.")</f>
        <v>0</v>
      </c>
      <c r="C588" t="s">
        <v>633</v>
      </c>
      <c r="D588">
        <v>0.07974573822594601</v>
      </c>
      <c r="E588">
        <v>-0.1325399869741528</v>
      </c>
      <c r="F588">
        <v>0.129</v>
      </c>
      <c r="G588">
        <v>0.02695104471894028</v>
      </c>
      <c r="H588" t="s">
        <v>558</v>
      </c>
      <c r="I588" t="s">
        <v>383</v>
      </c>
    </row>
    <row r="589" spans="1:9">
      <c r="A589" s="1" t="s">
        <v>596</v>
      </c>
      <c r="B589">
        <f>HYPERLINK("https://www.suredividend.com/sure-analysis-ABB/","ABB Ltd.")</f>
        <v>0</v>
      </c>
      <c r="C589" t="s">
        <v>631</v>
      </c>
      <c r="D589">
        <v>0.033327948303715</v>
      </c>
      <c r="E589">
        <v>-0.05158024361607405</v>
      </c>
      <c r="F589">
        <v>0.05</v>
      </c>
      <c r="G589">
        <v>0.02649485788617723</v>
      </c>
      <c r="H589" t="s">
        <v>558</v>
      </c>
      <c r="I589" t="s">
        <v>558</v>
      </c>
    </row>
    <row r="590" spans="1:9">
      <c r="A590" s="1" t="s">
        <v>597</v>
      </c>
      <c r="B590">
        <f>HYPERLINK("https://www.suredividend.com/sure-analysis-CCL/","Carnival Corp.")</f>
        <v>0</v>
      </c>
      <c r="C590" t="s">
        <v>631</v>
      </c>
      <c r="D590">
        <v>0.09696186166774401</v>
      </c>
      <c r="E590">
        <v>-0.04953049716414026</v>
      </c>
      <c r="F590">
        <v>0.04</v>
      </c>
      <c r="G590">
        <v>0.02613300262746621</v>
      </c>
      <c r="H590" t="s">
        <v>558</v>
      </c>
      <c r="I590" t="s">
        <v>300</v>
      </c>
    </row>
    <row r="591" spans="1:9">
      <c r="A591" s="1" t="s">
        <v>598</v>
      </c>
      <c r="B591">
        <f>HYPERLINK("https://www.suredividend.com/sure-analysis-TM/","Toyota Motor Corp.")</f>
        <v>0</v>
      </c>
      <c r="C591" t="s">
        <v>631</v>
      </c>
      <c r="D591">
        <v>0.03191405635133</v>
      </c>
      <c r="E591">
        <v>-0.0429860592618927</v>
      </c>
      <c r="F591">
        <v>0.04</v>
      </c>
      <c r="G591">
        <v>0.02555820411000997</v>
      </c>
      <c r="H591" t="s">
        <v>558</v>
      </c>
      <c r="I591" t="s">
        <v>558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631</v>
      </c>
      <c r="D592">
        <v>0.266063373983739</v>
      </c>
      <c r="E592">
        <v>-0.03580749599737287</v>
      </c>
      <c r="F592">
        <v>-0.1</v>
      </c>
      <c r="G592">
        <v>0.01986704198608691</v>
      </c>
      <c r="H592" t="s">
        <v>558</v>
      </c>
      <c r="I592" t="s">
        <v>636</v>
      </c>
    </row>
    <row r="593" spans="1:9">
      <c r="A593" s="1" t="s">
        <v>600</v>
      </c>
      <c r="B593">
        <f>HYPERLINK("https://www.suredividend.com/sure-analysis-CAKE/","Cheesecake Factory, Inc.")</f>
        <v>0</v>
      </c>
      <c r="C593" t="s">
        <v>631</v>
      </c>
      <c r="D593">
        <v>0.06244464127546501</v>
      </c>
      <c r="E593">
        <v>-0.1680375707043034</v>
      </c>
      <c r="F593">
        <v>0.198</v>
      </c>
      <c r="G593">
        <v>0.01382984904080842</v>
      </c>
      <c r="H593" t="s">
        <v>558</v>
      </c>
      <c r="I593" t="s">
        <v>300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0.052408477842003</v>
      </c>
      <c r="E594">
        <v>-0.1038292201890201</v>
      </c>
      <c r="F594">
        <v>0.07000000000000001</v>
      </c>
      <c r="G594">
        <v>-0.00544876502045899</v>
      </c>
      <c r="H594" t="s">
        <v>558</v>
      </c>
      <c r="I594" t="s">
        <v>300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631</v>
      </c>
      <c r="D595">
        <v>0.032123735871505</v>
      </c>
      <c r="E595">
        <v>-0.06519138410413383</v>
      </c>
      <c r="F595">
        <v>0.05</v>
      </c>
      <c r="G595">
        <v>-0.01397494216175754</v>
      </c>
      <c r="H595" t="s">
        <v>558</v>
      </c>
      <c r="I595" t="s">
        <v>558</v>
      </c>
    </row>
    <row r="596" spans="1:9">
      <c r="A596" s="1" t="s">
        <v>603</v>
      </c>
      <c r="B596">
        <f>HYPERLINK("https://www.suredividend.com/sure-analysis-FCX/","Freeport-McMoRan, Inc.")</f>
        <v>0</v>
      </c>
      <c r="C596" t="s">
        <v>631</v>
      </c>
      <c r="D596">
        <v>0.011045655375552</v>
      </c>
      <c r="E596">
        <v>-0.100423620660865</v>
      </c>
      <c r="F596">
        <v>0.08500000000000001</v>
      </c>
      <c r="G596">
        <v>-0.01410787114714296</v>
      </c>
      <c r="H596" t="s">
        <v>558</v>
      </c>
      <c r="I596" t="s">
        <v>558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631</v>
      </c>
      <c r="D597">
        <v>0.058860995085995</v>
      </c>
      <c r="E597">
        <v>-0.1117859845583947</v>
      </c>
      <c r="F597">
        <v>0.02</v>
      </c>
      <c r="G597">
        <v>-0.01972183558998042</v>
      </c>
      <c r="H597" t="s">
        <v>558</v>
      </c>
      <c r="I597" t="s">
        <v>300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631</v>
      </c>
      <c r="D598">
        <v>0.055314533622559</v>
      </c>
      <c r="E598">
        <v>-0.02798758228634624</v>
      </c>
      <c r="F598">
        <v>0</v>
      </c>
      <c r="G598">
        <v>-0.02798758228634624</v>
      </c>
      <c r="H598" t="s">
        <v>558</v>
      </c>
      <c r="I598" t="s">
        <v>300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0.045349285989965</v>
      </c>
      <c r="E599">
        <v>-0.1574706194903052</v>
      </c>
      <c r="F599">
        <v>0.1</v>
      </c>
      <c r="G599">
        <v>-0.03072009904491058</v>
      </c>
      <c r="H599" t="s">
        <v>558</v>
      </c>
      <c r="I599" t="s">
        <v>300</v>
      </c>
    </row>
    <row r="600" spans="1:9">
      <c r="A600" s="1" t="s">
        <v>607</v>
      </c>
      <c r="B600">
        <f>HYPERLINK("https://www.suredividend.com/sure-analysis-APA/","Apache Corp.")</f>
        <v>0</v>
      </c>
      <c r="C600" t="s">
        <v>631</v>
      </c>
      <c r="D600">
        <v>0.05831452219714001</v>
      </c>
      <c r="E600">
        <v>-0.2134850137582209</v>
      </c>
      <c r="F600">
        <v>0.2</v>
      </c>
      <c r="G600">
        <v>-0.04688452587120417</v>
      </c>
      <c r="H600" t="s">
        <v>558</v>
      </c>
      <c r="I600" t="s">
        <v>300</v>
      </c>
    </row>
    <row r="601" spans="1:9">
      <c r="A601" s="1" t="s">
        <v>608</v>
      </c>
      <c r="B601">
        <f>HYPERLINK("https://www.suredividend.com/sure-analysis-CORR/","CorEnergy Infrastructure Trust, Inc.")</f>
        <v>0</v>
      </c>
      <c r="C601" t="s">
        <v>631</v>
      </c>
      <c r="D601">
        <v>0.261363636363636</v>
      </c>
      <c r="E601">
        <v>-0.1294494367038759</v>
      </c>
      <c r="F601">
        <v>0.02</v>
      </c>
      <c r="G601">
        <v>-0.04879728921057125</v>
      </c>
      <c r="H601" t="s">
        <v>558</v>
      </c>
      <c r="I601" t="s">
        <v>383</v>
      </c>
    </row>
    <row r="602" spans="1:9">
      <c r="A602" s="1" t="s">
        <v>609</v>
      </c>
      <c r="B602">
        <f>HYPERLINK("https://www.suredividend.com/sure-analysis-NBR/","Nabors Industries Ltd.")</f>
        <v>0</v>
      </c>
      <c r="C602" t="s">
        <v>631</v>
      </c>
      <c r="D602">
        <v>0.06618133686300401</v>
      </c>
      <c r="E602">
        <v>-0.00146024783557186</v>
      </c>
      <c r="F602">
        <v>-0.05</v>
      </c>
      <c r="G602">
        <v>-0.05138723544379342</v>
      </c>
      <c r="H602" t="s">
        <v>558</v>
      </c>
      <c r="I602" t="s">
        <v>300</v>
      </c>
    </row>
    <row r="603" spans="1:9">
      <c r="A603" s="1" t="s">
        <v>610</v>
      </c>
      <c r="B603">
        <f>HYPERLINK("https://www.suredividend.com/sure-analysis-LB/","L Brands, Inc.")</f>
        <v>0</v>
      </c>
      <c r="C603" t="s">
        <v>631</v>
      </c>
      <c r="D603">
        <v>0.06486486486486401</v>
      </c>
      <c r="E603">
        <v>-0.05421752713973571</v>
      </c>
      <c r="F603">
        <v>0</v>
      </c>
      <c r="G603">
        <v>-0.05421752713973571</v>
      </c>
      <c r="H603" t="s">
        <v>558</v>
      </c>
      <c r="I603" t="s">
        <v>300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0.08024072216649901</v>
      </c>
      <c r="E604">
        <v>-0.09657684302040415</v>
      </c>
      <c r="F604">
        <v>0.02</v>
      </c>
      <c r="G604">
        <v>-0.07850837988081227</v>
      </c>
      <c r="H604" t="s">
        <v>558</v>
      </c>
      <c r="I604" t="s">
        <v>300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0.04833252779120301</v>
      </c>
      <c r="E605">
        <v>-0.1730754239695893</v>
      </c>
      <c r="F605">
        <v>0.04</v>
      </c>
      <c r="G605">
        <v>-0.1173146322187461</v>
      </c>
      <c r="H605" t="s">
        <v>558</v>
      </c>
      <c r="I605" t="s">
        <v>558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0.1594771337264234</v>
      </c>
      <c r="F606">
        <v>0.08</v>
      </c>
      <c r="G606">
        <v>0.2522353044245373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0.075689364096792</v>
      </c>
      <c r="E607">
        <v>0.09126205219114092</v>
      </c>
      <c r="F607">
        <v>0.03</v>
      </c>
      <c r="G607">
        <v>0.1721102642349046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0.05942571334116775</v>
      </c>
      <c r="F608">
        <v>0.03</v>
      </c>
      <c r="G608">
        <v>0.1346700769995919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0.08089257834057184</v>
      </c>
      <c r="F609">
        <v>0.02</v>
      </c>
      <c r="G609">
        <v>0.1238581752738279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0.03901032807786375</v>
      </c>
      <c r="F610">
        <v>0.06</v>
      </c>
      <c r="G610">
        <v>0.1131585228008349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HYPERLINK("https://www.suredividend.com/sure-analysis-TKGBY/","Turkiye Garanti Bankasi AS")</f>
        <v>0</v>
      </c>
      <c r="C611" t="s">
        <v>631</v>
      </c>
      <c r="E611">
        <v>0.06989583356549334</v>
      </c>
      <c r="F611">
        <v>0.04</v>
      </c>
      <c r="G611">
        <v>0.1126916669081133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0.1044832993201898</v>
      </c>
      <c r="F612">
        <v>0</v>
      </c>
      <c r="G612">
        <v>0.1044832993201898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631</v>
      </c>
      <c r="E613">
        <v>0.04959992734083096</v>
      </c>
      <c r="F613">
        <v>0.05</v>
      </c>
      <c r="G613">
        <v>0.1020799237078727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HYPERLINK("https://www.suredividend.com/sure-analysis-UAL/","United Airlines Holdings, Inc.")</f>
        <v>0</v>
      </c>
      <c r="C614" t="s">
        <v>631</v>
      </c>
      <c r="E614">
        <v>0.04365916042984952</v>
      </c>
      <c r="F614">
        <v>0.05</v>
      </c>
      <c r="G614">
        <v>0.09584211845134205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-0.05323332831375027</v>
      </c>
      <c r="F615">
        <v>0.15</v>
      </c>
      <c r="G615">
        <v>0.088781672439187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-0.06825300207054474</v>
      </c>
      <c r="F616">
        <v>0.15</v>
      </c>
      <c r="G616">
        <v>0.07150904761887356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631</v>
      </c>
      <c r="E617">
        <v>-0.03020134770418659</v>
      </c>
      <c r="F617">
        <v>0.068</v>
      </c>
      <c r="G617">
        <v>0.06588523925155498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0.0272539965538976</v>
      </c>
      <c r="F618">
        <v>0.03</v>
      </c>
      <c r="G618">
        <v>0.05807161645051462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631</v>
      </c>
      <c r="E619">
        <v>-0.08568785471962848</v>
      </c>
      <c r="F619">
        <v>0.15</v>
      </c>
      <c r="G619">
        <v>0.05145896707242703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-0.03936324788675605</v>
      </c>
      <c r="F620">
        <v>0.09</v>
      </c>
      <c r="G620">
        <v>0.04709405980343595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-0.0816399455183271</v>
      </c>
      <c r="F621">
        <v>0.12</v>
      </c>
      <c r="G621">
        <v>0.02856326101947371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-0.09989851410860084</v>
      </c>
      <c r="F622">
        <v>0.11</v>
      </c>
      <c r="G622">
        <v>-0.0008873506605469039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-0.2753014843809239</v>
      </c>
      <c r="F623">
        <v>0.18</v>
      </c>
      <c r="G623">
        <v>-0.1448557515694903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17.49</v>
      </c>
      <c r="D2">
        <v>3557.8158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0.065180102915951</v>
      </c>
      <c r="M2">
        <v>0.1284232707909754</v>
      </c>
      <c r="N2">
        <v>0.03</v>
      </c>
      <c r="O2">
        <v>0.1989254961779627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0.5465625</v>
      </c>
      <c r="V2">
        <v>4.7257</v>
      </c>
      <c r="W2">
        <v>4.62</v>
      </c>
      <c r="X2">
        <v>1.14</v>
      </c>
      <c r="Y2">
        <v>-0.466443</v>
      </c>
      <c r="Z2">
        <v>0.7553719008264462</v>
      </c>
      <c r="AA2">
        <v>0.1111111111111111</v>
      </c>
      <c r="AB2">
        <v>0.247588424437299</v>
      </c>
      <c r="AC2">
        <v>0.9903536977491961</v>
      </c>
      <c r="AD2">
        <v>0.9855305466237942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25.95</v>
      </c>
      <c r="D3">
        <v>88.48145599999999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0.039691714836223</v>
      </c>
      <c r="M3">
        <v>0.07352675438998335</v>
      </c>
      <c r="N3">
        <v>0.055</v>
      </c>
      <c r="O3">
        <v>0.1591921145992121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0.7013513513513513</v>
      </c>
      <c r="V3">
        <v>2.8045</v>
      </c>
      <c r="W3">
        <v>2.5</v>
      </c>
      <c r="X3">
        <v>1.03</v>
      </c>
      <c r="Y3">
        <v>-0.142078</v>
      </c>
      <c r="Z3">
        <v>0.5388429752066116</v>
      </c>
      <c r="AA3">
        <v>0.4863123993558777</v>
      </c>
      <c r="AB3">
        <v>0.592443729903537</v>
      </c>
      <c r="AC3">
        <v>0.9356913183279743</v>
      </c>
      <c r="AD3">
        <v>0.9517684887459806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18.9</v>
      </c>
      <c r="D4">
        <v>185.472693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44007</v>
      </c>
      <c r="L4">
        <v>0.05079365079365</v>
      </c>
      <c r="M4">
        <v>0.1110603128156895</v>
      </c>
      <c r="N4">
        <v>0.01</v>
      </c>
      <c r="O4">
        <v>0.1561716506988764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0.590625</v>
      </c>
      <c r="V4">
        <v>1.8332</v>
      </c>
      <c r="W4">
        <v>1.8</v>
      </c>
      <c r="X4">
        <v>0.96</v>
      </c>
      <c r="Y4">
        <v>-0.204545</v>
      </c>
      <c r="Z4">
        <v>0.659504132231405</v>
      </c>
      <c r="AA4">
        <v>0.3977455716586152</v>
      </c>
      <c r="AB4">
        <v>0.0819935691318328</v>
      </c>
      <c r="AC4">
        <v>0.982315112540193</v>
      </c>
      <c r="AD4">
        <v>0.9421221864951768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21.36</v>
      </c>
      <c r="D5">
        <v>254.122056</v>
      </c>
      <c r="E5" t="s">
        <v>662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0.03066479400749</v>
      </c>
      <c r="M5">
        <v>0.04009837995080767</v>
      </c>
      <c r="N5">
        <v>0.09</v>
      </c>
      <c r="O5">
        <v>0.1557948205553836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0.8215384615384616</v>
      </c>
      <c r="V5">
        <v>2.4989</v>
      </c>
      <c r="W5">
        <v>2.2</v>
      </c>
      <c r="X5">
        <v>0.655</v>
      </c>
      <c r="Y5">
        <v>-0.275195</v>
      </c>
      <c r="Z5">
        <v>0.4033057851239669</v>
      </c>
      <c r="AA5">
        <v>0.3107890499194847</v>
      </c>
      <c r="AB5">
        <v>0.8633440514469453</v>
      </c>
      <c r="AC5">
        <v>0.8183279742765274</v>
      </c>
      <c r="AD5">
        <v>0.9405144694533761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55.07</v>
      </c>
      <c r="D6">
        <v>5102.824749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0.031596150354094</v>
      </c>
      <c r="M6">
        <v>0.06087283441500091</v>
      </c>
      <c r="N6">
        <v>0.06</v>
      </c>
      <c r="O6">
        <v>0.1486731179762728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0.7441891891891892</v>
      </c>
      <c r="V6">
        <v>4.7609</v>
      </c>
      <c r="W6">
        <v>5</v>
      </c>
      <c r="X6">
        <v>1.74</v>
      </c>
      <c r="Y6">
        <v>-0.183422</v>
      </c>
      <c r="Z6">
        <v>0.4165289256198347</v>
      </c>
      <c r="AA6">
        <v>0.4299516908212561</v>
      </c>
      <c r="AB6">
        <v>0.6463022508038585</v>
      </c>
      <c r="AC6">
        <v>0.9003215434083601</v>
      </c>
      <c r="AD6">
        <v>0.9228295819935691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18</v>
      </c>
      <c r="D7">
        <v>81.342</v>
      </c>
      <c r="E7" t="s">
        <v>663</v>
      </c>
      <c r="F7" t="s">
        <v>631</v>
      </c>
      <c r="G7" t="s">
        <v>670</v>
      </c>
      <c r="H7" t="s">
        <v>700</v>
      </c>
      <c r="I7" t="s">
        <v>709</v>
      </c>
      <c r="J7" t="s">
        <v>1311</v>
      </c>
      <c r="K7">
        <v>43949</v>
      </c>
      <c r="L7">
        <v>0.022222222222222</v>
      </c>
      <c r="M7">
        <v>0.07631692251481081</v>
      </c>
      <c r="N7">
        <v>0.04</v>
      </c>
      <c r="O7">
        <v>0.1369786798070236</v>
      </c>
      <c r="P7" t="s">
        <v>635</v>
      </c>
      <c r="Q7" t="s">
        <v>636</v>
      </c>
      <c r="R7">
        <v>26</v>
      </c>
      <c r="S7">
        <v>0.1777777777777778</v>
      </c>
      <c r="T7">
        <v>26</v>
      </c>
      <c r="U7">
        <v>0.6923076923076923</v>
      </c>
      <c r="V7">
        <v>2.2639</v>
      </c>
      <c r="W7">
        <v>2.25</v>
      </c>
      <c r="X7">
        <v>0.4</v>
      </c>
      <c r="Y7">
        <v>-0.25</v>
      </c>
      <c r="Z7">
        <v>0.2859504132231405</v>
      </c>
      <c r="AA7">
        <v>0.3365539452495974</v>
      </c>
      <c r="AB7">
        <v>0.3794212218649518</v>
      </c>
      <c r="AC7">
        <v>0.9421221864951768</v>
      </c>
      <c r="AD7">
        <v>0.8858520900321544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169.96</v>
      </c>
      <c r="D8">
        <v>36863.64416</v>
      </c>
      <c r="E8" t="s">
        <v>661</v>
      </c>
      <c r="F8" t="s">
        <v>631</v>
      </c>
      <c r="G8" t="s">
        <v>670</v>
      </c>
      <c r="H8" t="s">
        <v>699</v>
      </c>
      <c r="I8" t="s">
        <v>710</v>
      </c>
      <c r="J8" t="s">
        <v>1313</v>
      </c>
      <c r="K8">
        <v>43971</v>
      </c>
      <c r="L8">
        <v>0.01650388326665</v>
      </c>
      <c r="M8">
        <v>0.01378283378413747</v>
      </c>
      <c r="N8">
        <v>0.1</v>
      </c>
      <c r="O8">
        <v>0.1320257825137678</v>
      </c>
      <c r="P8" t="s">
        <v>635</v>
      </c>
      <c r="Q8" t="s">
        <v>383</v>
      </c>
      <c r="R8">
        <v>18</v>
      </c>
      <c r="S8">
        <v>0.247136563876652</v>
      </c>
      <c r="T8">
        <v>182</v>
      </c>
      <c r="U8">
        <v>0.9338461538461539</v>
      </c>
      <c r="V8">
        <v>8.4213</v>
      </c>
      <c r="W8">
        <v>11.35</v>
      </c>
      <c r="X8">
        <v>2.805</v>
      </c>
      <c r="Y8">
        <v>-0.124549</v>
      </c>
      <c r="Z8">
        <v>0.1636363636363636</v>
      </c>
      <c r="AA8">
        <v>0.5072463768115942</v>
      </c>
      <c r="AB8">
        <v>0.9051446945337621</v>
      </c>
      <c r="AC8">
        <v>0.6832797427652733</v>
      </c>
      <c r="AD8">
        <v>0.8665594855305465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306.84</v>
      </c>
      <c r="D9">
        <v>51151.14852</v>
      </c>
      <c r="E9" t="s">
        <v>661</v>
      </c>
      <c r="F9" t="s">
        <v>631</v>
      </c>
      <c r="G9" t="s">
        <v>670</v>
      </c>
      <c r="H9" t="s">
        <v>699</v>
      </c>
      <c r="I9" t="s">
        <v>711</v>
      </c>
      <c r="J9" t="s">
        <v>1313</v>
      </c>
      <c r="K9">
        <v>43964</v>
      </c>
      <c r="L9">
        <v>0.017207665232694</v>
      </c>
      <c r="M9">
        <v>0.01465965711232586</v>
      </c>
      <c r="N9">
        <v>0.1</v>
      </c>
      <c r="O9">
        <v>0.1298378457616172</v>
      </c>
      <c r="P9" t="s">
        <v>635</v>
      </c>
      <c r="Q9" t="s">
        <v>383</v>
      </c>
      <c r="R9">
        <v>16</v>
      </c>
      <c r="S9">
        <v>0.24</v>
      </c>
      <c r="T9">
        <v>330</v>
      </c>
      <c r="U9">
        <v>0.9298181818181818</v>
      </c>
      <c r="V9">
        <v>13.3266</v>
      </c>
      <c r="W9">
        <v>22</v>
      </c>
      <c r="X9">
        <v>5.28</v>
      </c>
      <c r="Y9">
        <v>-0.044529</v>
      </c>
      <c r="Z9">
        <v>0.171900826446281</v>
      </c>
      <c r="AA9">
        <v>0.6344605475040257</v>
      </c>
      <c r="AB9">
        <v>0.9051446945337621</v>
      </c>
      <c r="AC9">
        <v>0.6897106109324759</v>
      </c>
      <c r="AD9">
        <v>0.8585209003215434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153.37</v>
      </c>
      <c r="D10">
        <v>18762.82569</v>
      </c>
      <c r="E10" t="s">
        <v>664</v>
      </c>
      <c r="F10" t="s">
        <v>631</v>
      </c>
      <c r="G10" t="s">
        <v>670</v>
      </c>
      <c r="H10" t="s">
        <v>699</v>
      </c>
      <c r="I10" t="s">
        <v>712</v>
      </c>
      <c r="J10" t="s">
        <v>1311</v>
      </c>
      <c r="K10">
        <v>43957</v>
      </c>
      <c r="L10">
        <v>0.025298298233031</v>
      </c>
      <c r="M10">
        <v>0.02438010944267321</v>
      </c>
      <c r="N10">
        <v>0.08</v>
      </c>
      <c r="O10">
        <v>0.128372061416675</v>
      </c>
      <c r="P10" t="s">
        <v>635</v>
      </c>
      <c r="Q10" t="s">
        <v>636</v>
      </c>
      <c r="R10">
        <v>16</v>
      </c>
      <c r="S10">
        <v>0.2584943371085943</v>
      </c>
      <c r="T10">
        <v>173</v>
      </c>
      <c r="U10">
        <v>0.8865317919075145</v>
      </c>
      <c r="V10">
        <v>27.3987</v>
      </c>
      <c r="W10">
        <v>15.01</v>
      </c>
      <c r="X10">
        <v>3.88</v>
      </c>
      <c r="Y10">
        <v>0.021922</v>
      </c>
      <c r="Z10">
        <v>0.3371900826446281</v>
      </c>
      <c r="AA10">
        <v>0.7149758454106281</v>
      </c>
      <c r="AB10">
        <v>0.8127009646302251</v>
      </c>
      <c r="AC10">
        <v>0.7411575562700965</v>
      </c>
      <c r="AD10">
        <v>0.8520900321543408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60.39</v>
      </c>
      <c r="D11">
        <v>136643.8491</v>
      </c>
      <c r="E11" t="s">
        <v>664</v>
      </c>
      <c r="F11" t="s">
        <v>631</v>
      </c>
      <c r="G11" t="s">
        <v>670</v>
      </c>
      <c r="H11" t="s">
        <v>699</v>
      </c>
      <c r="I11" t="s">
        <v>713</v>
      </c>
      <c r="J11" t="s">
        <v>1314</v>
      </c>
      <c r="K11">
        <v>43961</v>
      </c>
      <c r="L11">
        <v>0.028481536678257</v>
      </c>
      <c r="M11">
        <v>0.06308934298244706</v>
      </c>
      <c r="N11">
        <v>0.04</v>
      </c>
      <c r="O11">
        <v>0.1278630476145746</v>
      </c>
      <c r="P11" t="s">
        <v>635</v>
      </c>
      <c r="Q11" t="s">
        <v>636</v>
      </c>
      <c r="R11">
        <v>11</v>
      </c>
      <c r="S11">
        <v>0.2819672131147541</v>
      </c>
      <c r="T11">
        <v>82</v>
      </c>
      <c r="U11">
        <v>0.7364634146341463</v>
      </c>
      <c r="V11">
        <v>0.8106</v>
      </c>
      <c r="W11">
        <v>6.1</v>
      </c>
      <c r="X11">
        <v>1.72</v>
      </c>
      <c r="Y11">
        <v>0.370942</v>
      </c>
      <c r="Z11">
        <v>0.3785123966942149</v>
      </c>
      <c r="AA11">
        <v>0.92914653784219</v>
      </c>
      <c r="AB11">
        <v>0.3794212218649518</v>
      </c>
      <c r="AC11">
        <v>0.9051446945337621</v>
      </c>
      <c r="AD11">
        <v>0.8504823151125401</v>
      </c>
    </row>
    <row r="12" spans="1:30">
      <c r="A12" s="1" t="s">
        <v>19</v>
      </c>
      <c r="B12">
        <f>HYPERLINK("https://www.suredividend.com/sure-analysis-CDUAF/","Canadian Utilities Ltd.")</f>
        <v>0</v>
      </c>
      <c r="C12">
        <v>25.34</v>
      </c>
      <c r="D12">
        <v>6923.975086</v>
      </c>
      <c r="E12" t="s">
        <v>665</v>
      </c>
      <c r="F12" t="s">
        <v>631</v>
      </c>
      <c r="G12" t="s">
        <v>671</v>
      </c>
      <c r="H12" t="s">
        <v>700</v>
      </c>
      <c r="I12" t="s">
        <v>714</v>
      </c>
      <c r="J12" t="s">
        <v>1315</v>
      </c>
      <c r="K12">
        <v>43987</v>
      </c>
      <c r="L12">
        <v>0.050510859273364</v>
      </c>
      <c r="M12">
        <v>0.03433906826801025</v>
      </c>
      <c r="N12">
        <v>0.05</v>
      </c>
      <c r="O12">
        <v>0.123186529160741</v>
      </c>
      <c r="P12" t="s">
        <v>635</v>
      </c>
      <c r="Q12" t="s">
        <v>635</v>
      </c>
      <c r="R12">
        <v>47</v>
      </c>
      <c r="S12">
        <v>0.5925672101791944</v>
      </c>
      <c r="T12">
        <v>30</v>
      </c>
      <c r="U12">
        <v>0.8446666666666667</v>
      </c>
      <c r="V12">
        <v>2.2802</v>
      </c>
      <c r="W12">
        <v>2.16</v>
      </c>
      <c r="X12">
        <v>1.27994517398706</v>
      </c>
      <c r="Y12">
        <v>-0.088063</v>
      </c>
      <c r="Z12">
        <v>0.6561983471074381</v>
      </c>
      <c r="AA12">
        <v>0.5571658615136876</v>
      </c>
      <c r="AB12">
        <v>0.5160771704180064</v>
      </c>
      <c r="AC12">
        <v>0.7926045016077171</v>
      </c>
      <c r="AD12">
        <v>0.837620578778135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40.9</v>
      </c>
      <c r="D13">
        <v>3540.34081</v>
      </c>
      <c r="E13" t="s">
        <v>662</v>
      </c>
      <c r="F13" t="s">
        <v>631</v>
      </c>
      <c r="G13" t="s">
        <v>670</v>
      </c>
      <c r="H13" t="s">
        <v>699</v>
      </c>
      <c r="I13" t="s">
        <v>715</v>
      </c>
      <c r="J13" t="s">
        <v>1316</v>
      </c>
      <c r="K13">
        <v>43978</v>
      </c>
      <c r="L13">
        <v>0.04254278728606301</v>
      </c>
      <c r="M13">
        <v>0.04099666760094478</v>
      </c>
      <c r="N13">
        <v>0.05</v>
      </c>
      <c r="O13">
        <v>0.1231692400828106</v>
      </c>
      <c r="P13" t="s">
        <v>635</v>
      </c>
      <c r="Q13" t="s">
        <v>635</v>
      </c>
      <c r="R13">
        <v>49</v>
      </c>
      <c r="S13">
        <v>0.6105263157894737</v>
      </c>
      <c r="T13">
        <v>50</v>
      </c>
      <c r="U13">
        <v>0.8179999999999999</v>
      </c>
      <c r="V13">
        <v>1.0636</v>
      </c>
      <c r="W13">
        <v>2.85</v>
      </c>
      <c r="X13">
        <v>1.74</v>
      </c>
      <c r="Y13">
        <v>-0.1724</v>
      </c>
      <c r="Z13">
        <v>0.5785123966942148</v>
      </c>
      <c r="AA13">
        <v>0.4444444444444444</v>
      </c>
      <c r="AB13">
        <v>0.5160771704180064</v>
      </c>
      <c r="AC13">
        <v>0.8247588424437299</v>
      </c>
      <c r="AD13">
        <v>0.8360128617363344</v>
      </c>
    </row>
    <row r="14" spans="1:30">
      <c r="A14" s="1" t="s">
        <v>21</v>
      </c>
      <c r="B14">
        <f>HYPERLINK("https://www.suredividend.com/sure-analysis-AIZ/","Assurant, Inc.")</f>
        <v>0</v>
      </c>
      <c r="C14">
        <v>104.17</v>
      </c>
      <c r="D14">
        <v>6213.980091</v>
      </c>
      <c r="E14" t="s">
        <v>662</v>
      </c>
      <c r="F14" t="s">
        <v>631</v>
      </c>
      <c r="G14" t="s">
        <v>670</v>
      </c>
      <c r="H14" t="s">
        <v>699</v>
      </c>
      <c r="I14" t="s">
        <v>716</v>
      </c>
      <c r="J14" t="s">
        <v>1311</v>
      </c>
      <c r="K14">
        <v>43969</v>
      </c>
      <c r="L14">
        <v>0.023903235096476</v>
      </c>
      <c r="M14">
        <v>0.04529804375980118</v>
      </c>
      <c r="N14">
        <v>0.05</v>
      </c>
      <c r="O14">
        <v>0.1169492684954347</v>
      </c>
      <c r="P14" t="s">
        <v>635</v>
      </c>
      <c r="Q14" t="s">
        <v>636</v>
      </c>
      <c r="R14">
        <v>16</v>
      </c>
      <c r="S14">
        <v>0.2648936170212766</v>
      </c>
      <c r="T14">
        <v>130</v>
      </c>
      <c r="U14">
        <v>0.8013076923076923</v>
      </c>
      <c r="V14">
        <v>5.7636</v>
      </c>
      <c r="W14">
        <v>9.4</v>
      </c>
      <c r="X14">
        <v>2.49</v>
      </c>
      <c r="Y14">
        <v>-0.069745</v>
      </c>
      <c r="Z14">
        <v>0.3239669421487604</v>
      </c>
      <c r="AA14">
        <v>0.6022544283413849</v>
      </c>
      <c r="AB14">
        <v>0.5160771704180064</v>
      </c>
      <c r="AC14">
        <v>0.8440514469453376</v>
      </c>
      <c r="AD14">
        <v>0.8118971061093248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21.05</v>
      </c>
      <c r="D15">
        <v>10426.1913</v>
      </c>
      <c r="E15" t="s">
        <v>659</v>
      </c>
      <c r="F15" t="s">
        <v>631</v>
      </c>
      <c r="G15" t="s">
        <v>670</v>
      </c>
      <c r="H15" t="s">
        <v>699</v>
      </c>
      <c r="I15" t="s">
        <v>717</v>
      </c>
      <c r="J15" t="s">
        <v>1311</v>
      </c>
      <c r="K15">
        <v>43958</v>
      </c>
      <c r="L15">
        <v>0.050356294536817</v>
      </c>
      <c r="M15">
        <v>0.03499340316972499</v>
      </c>
      <c r="N15">
        <v>0.04</v>
      </c>
      <c r="O15">
        <v>0.1155982412273264</v>
      </c>
      <c r="P15" t="s">
        <v>635</v>
      </c>
      <c r="Q15" t="s">
        <v>635</v>
      </c>
      <c r="R15">
        <v>40</v>
      </c>
      <c r="S15">
        <v>0.53</v>
      </c>
      <c r="T15">
        <v>25</v>
      </c>
      <c r="U15">
        <v>0.8420000000000001</v>
      </c>
      <c r="V15">
        <v>1.9535</v>
      </c>
      <c r="W15">
        <v>2</v>
      </c>
      <c r="X15">
        <v>1.06</v>
      </c>
      <c r="Y15">
        <v>-0.406206</v>
      </c>
      <c r="Z15">
        <v>0.6545454545454545</v>
      </c>
      <c r="AA15">
        <v>0.1594202898550725</v>
      </c>
      <c r="AB15">
        <v>0.3794212218649518</v>
      </c>
      <c r="AC15">
        <v>0.797427652733119</v>
      </c>
      <c r="AD15">
        <v>0.8102893890675241</v>
      </c>
    </row>
    <row r="16" spans="1:30">
      <c r="A16" s="1" t="s">
        <v>23</v>
      </c>
      <c r="B16">
        <f>HYPERLINK("https://www.suredividend.com/sure-analysis-HII/","Huntington Ingalls Industries, Inc.")</f>
        <v>0</v>
      </c>
      <c r="C16">
        <v>180.95</v>
      </c>
      <c r="D16">
        <v>7323.824585</v>
      </c>
      <c r="E16" t="s">
        <v>661</v>
      </c>
      <c r="F16" t="s">
        <v>631</v>
      </c>
      <c r="G16" t="s">
        <v>670</v>
      </c>
      <c r="H16" t="s">
        <v>699</v>
      </c>
      <c r="I16" t="s">
        <v>718</v>
      </c>
      <c r="J16" t="s">
        <v>1313</v>
      </c>
      <c r="K16">
        <v>43964</v>
      </c>
      <c r="L16">
        <v>0.020889748549323</v>
      </c>
      <c r="M16">
        <v>0.0407986907633513</v>
      </c>
      <c r="N16">
        <v>0.05</v>
      </c>
      <c r="O16">
        <v>0.1146635562825249</v>
      </c>
      <c r="P16" t="s">
        <v>635</v>
      </c>
      <c r="Q16" t="s">
        <v>383</v>
      </c>
      <c r="R16">
        <v>8</v>
      </c>
      <c r="S16">
        <v>0.2567934782608696</v>
      </c>
      <c r="T16">
        <v>221</v>
      </c>
      <c r="U16">
        <v>0.8187782805429864</v>
      </c>
      <c r="V16">
        <v>14.6854</v>
      </c>
      <c r="W16">
        <v>14.72</v>
      </c>
      <c r="X16">
        <v>3.78</v>
      </c>
      <c r="Y16">
        <v>-0.212816</v>
      </c>
      <c r="Z16">
        <v>0.2595041322314049</v>
      </c>
      <c r="AA16">
        <v>0.3896940418679549</v>
      </c>
      <c r="AB16">
        <v>0.5160771704180064</v>
      </c>
      <c r="AC16">
        <v>0.8231511254019293</v>
      </c>
      <c r="AD16">
        <v>0.8038585209003216</v>
      </c>
    </row>
    <row r="17" spans="1:30">
      <c r="A17" s="1" t="s">
        <v>24</v>
      </c>
      <c r="B17">
        <f>HYPERLINK("https://www.suredividend.com/sure-analysis-WBA/","Walgreens Boots Alliance, Inc.")</f>
        <v>0</v>
      </c>
      <c r="C17">
        <v>41.42</v>
      </c>
      <c r="D17">
        <v>35891.83828</v>
      </c>
      <c r="E17" t="s">
        <v>659</v>
      </c>
      <c r="F17" t="s">
        <v>631</v>
      </c>
      <c r="G17" t="s">
        <v>670</v>
      </c>
      <c r="H17" t="s">
        <v>701</v>
      </c>
      <c r="I17" t="s">
        <v>719</v>
      </c>
      <c r="J17" t="s">
        <v>1314</v>
      </c>
      <c r="K17">
        <v>44028</v>
      </c>
      <c r="L17">
        <v>0.044181554804442</v>
      </c>
      <c r="M17">
        <v>0.02559891487911448</v>
      </c>
      <c r="N17">
        <v>0.05</v>
      </c>
      <c r="O17">
        <v>0.1134055884966669</v>
      </c>
      <c r="P17" t="s">
        <v>635</v>
      </c>
      <c r="Q17" t="s">
        <v>635</v>
      </c>
      <c r="R17">
        <v>45</v>
      </c>
      <c r="S17">
        <v>0.3893617021276596</v>
      </c>
      <c r="T17">
        <v>47</v>
      </c>
      <c r="U17">
        <v>0.8812765957446809</v>
      </c>
      <c r="V17">
        <v>0.8189000000000001</v>
      </c>
      <c r="W17">
        <v>4.7</v>
      </c>
      <c r="X17">
        <v>1.83</v>
      </c>
      <c r="Y17">
        <v>-0.244436</v>
      </c>
      <c r="Z17">
        <v>0.5884297520661157</v>
      </c>
      <c r="AA17">
        <v>0.3462157809983897</v>
      </c>
      <c r="AB17">
        <v>0.5160771704180064</v>
      </c>
      <c r="AC17">
        <v>0.7508038585209004</v>
      </c>
      <c r="AD17">
        <v>0.7990353697749196</v>
      </c>
    </row>
    <row r="18" spans="1:30">
      <c r="A18" s="1" t="s">
        <v>25</v>
      </c>
      <c r="B18">
        <f>HYPERLINK("https://www.suredividend.com/sure-analysis-EV/","Eaton Vance Corp.")</f>
        <v>0</v>
      </c>
      <c r="C18">
        <v>37.34</v>
      </c>
      <c r="D18">
        <v>4272.01873</v>
      </c>
      <c r="E18" t="s">
        <v>660</v>
      </c>
      <c r="F18" t="s">
        <v>631</v>
      </c>
      <c r="G18" t="s">
        <v>670</v>
      </c>
      <c r="H18" t="s">
        <v>699</v>
      </c>
      <c r="I18" t="s">
        <v>720</v>
      </c>
      <c r="J18" t="s">
        <v>1311</v>
      </c>
      <c r="K18">
        <v>43986</v>
      </c>
      <c r="L18">
        <v>0.039501874665238</v>
      </c>
      <c r="M18">
        <v>0.008737250490523651</v>
      </c>
      <c r="N18">
        <v>0.065</v>
      </c>
      <c r="O18">
        <v>0.1090553287180216</v>
      </c>
      <c r="P18" t="s">
        <v>635</v>
      </c>
      <c r="Q18" t="s">
        <v>635</v>
      </c>
      <c r="R18">
        <v>38</v>
      </c>
      <c r="S18">
        <v>0.4214285714285714</v>
      </c>
      <c r="T18">
        <v>39</v>
      </c>
      <c r="U18">
        <v>0.9574358974358975</v>
      </c>
      <c r="V18">
        <v>3.552</v>
      </c>
      <c r="W18">
        <v>3.5</v>
      </c>
      <c r="X18">
        <v>1.475</v>
      </c>
      <c r="Y18">
        <v>-0.15844</v>
      </c>
      <c r="Z18">
        <v>0.5338842975206611</v>
      </c>
      <c r="AA18">
        <v>0.4605475040257649</v>
      </c>
      <c r="AB18">
        <v>0.6969453376205788</v>
      </c>
      <c r="AC18">
        <v>0.6543408360128617</v>
      </c>
      <c r="AD18">
        <v>0.7668810289389068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54.9</v>
      </c>
      <c r="D19">
        <v>168470.532</v>
      </c>
      <c r="E19" t="s">
        <v>660</v>
      </c>
      <c r="F19" t="s">
        <v>631</v>
      </c>
      <c r="G19" t="s">
        <v>670</v>
      </c>
      <c r="H19" t="s">
        <v>699</v>
      </c>
      <c r="I19" t="s">
        <v>721</v>
      </c>
      <c r="J19" t="s">
        <v>1317</v>
      </c>
      <c r="K19">
        <v>44001</v>
      </c>
      <c r="L19">
        <v>0.017486338797814</v>
      </c>
      <c r="M19">
        <v>0.007535836430130116</v>
      </c>
      <c r="N19">
        <v>0.08</v>
      </c>
      <c r="O19">
        <v>0.1030968156913692</v>
      </c>
      <c r="P19" t="s">
        <v>635</v>
      </c>
      <c r="Q19" t="s">
        <v>383</v>
      </c>
      <c r="R19">
        <v>11</v>
      </c>
      <c r="S19">
        <v>0.237037037037037</v>
      </c>
      <c r="T19">
        <v>57</v>
      </c>
      <c r="U19">
        <v>0.9631578947368421</v>
      </c>
      <c r="V19">
        <v>3.1705</v>
      </c>
      <c r="W19">
        <v>4.05</v>
      </c>
      <c r="X19">
        <v>0.96</v>
      </c>
      <c r="Y19">
        <v>-0.055403</v>
      </c>
      <c r="Z19">
        <v>0.1818181818181818</v>
      </c>
      <c r="AA19">
        <v>0.6135265700483091</v>
      </c>
      <c r="AB19">
        <v>0.8127009646302251</v>
      </c>
      <c r="AC19">
        <v>0.6479099678456592</v>
      </c>
      <c r="AD19">
        <v>0.7379421221864952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720</v>
      </c>
      <c r="D20">
        <v>571.6799999999999</v>
      </c>
      <c r="E20" t="s">
        <v>662</v>
      </c>
      <c r="F20" t="s">
        <v>631</v>
      </c>
      <c r="G20" t="s">
        <v>670</v>
      </c>
      <c r="H20" t="s">
        <v>700</v>
      </c>
      <c r="I20" t="s">
        <v>722</v>
      </c>
      <c r="J20" t="s">
        <v>1311</v>
      </c>
      <c r="K20">
        <v>43950</v>
      </c>
      <c r="L20">
        <v>0.019722222222222</v>
      </c>
      <c r="M20">
        <v>0.03424021252947318</v>
      </c>
      <c r="N20">
        <v>0.05</v>
      </c>
      <c r="O20">
        <v>0.1022816589341351</v>
      </c>
      <c r="P20" t="s">
        <v>635</v>
      </c>
      <c r="Q20" t="s">
        <v>636</v>
      </c>
      <c r="R20">
        <v>55</v>
      </c>
      <c r="S20">
        <v>0.2</v>
      </c>
      <c r="T20">
        <v>852</v>
      </c>
      <c r="U20">
        <v>0.8450704225352113</v>
      </c>
      <c r="V20">
        <v>71.70189999999999</v>
      </c>
      <c r="W20">
        <v>71</v>
      </c>
      <c r="X20">
        <v>14.2</v>
      </c>
      <c r="Y20">
        <v>-0.1</v>
      </c>
      <c r="Z20">
        <v>0.2347107438016529</v>
      </c>
      <c r="AA20">
        <v>0.5426731078904993</v>
      </c>
      <c r="AB20">
        <v>0.5160771704180064</v>
      </c>
      <c r="AC20">
        <v>0.7909967845659164</v>
      </c>
      <c r="AD20">
        <v>0.7363344051446945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22.02</v>
      </c>
      <c r="D21">
        <v>81997.8558</v>
      </c>
      <c r="E21" t="s">
        <v>660</v>
      </c>
      <c r="F21" t="s">
        <v>631</v>
      </c>
      <c r="G21" t="s">
        <v>672</v>
      </c>
      <c r="H21" t="s">
        <v>700</v>
      </c>
      <c r="I21" t="s">
        <v>723</v>
      </c>
      <c r="J21" t="s">
        <v>1311</v>
      </c>
      <c r="K21">
        <v>43955</v>
      </c>
      <c r="L21">
        <v>0.018402361489554</v>
      </c>
      <c r="M21">
        <v>0.008746647248316197</v>
      </c>
      <c r="N21">
        <v>0.07000000000000001</v>
      </c>
      <c r="O21">
        <v>0.101950639751049</v>
      </c>
      <c r="P21" t="s">
        <v>635</v>
      </c>
      <c r="Q21" t="s">
        <v>383</v>
      </c>
      <c r="R21">
        <v>9</v>
      </c>
      <c r="S21">
        <v>0.1761826086956522</v>
      </c>
      <c r="T21">
        <v>23</v>
      </c>
      <c r="U21">
        <v>0.957391304347826</v>
      </c>
      <c r="V21">
        <v>1.7499</v>
      </c>
      <c r="W21">
        <v>2.3</v>
      </c>
      <c r="X21">
        <v>0.40522</v>
      </c>
      <c r="Y21">
        <v>-0.083645</v>
      </c>
      <c r="Z21">
        <v>0.2099173553719008</v>
      </c>
      <c r="AA21">
        <v>0.5636070853462158</v>
      </c>
      <c r="AB21">
        <v>0.7387459807073955</v>
      </c>
      <c r="AC21">
        <v>0.6559485530546624</v>
      </c>
      <c r="AD21">
        <v>0.729903536977492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148.91</v>
      </c>
      <c r="D22">
        <v>42717.06715</v>
      </c>
      <c r="E22" t="s">
        <v>661</v>
      </c>
      <c r="F22" t="s">
        <v>631</v>
      </c>
      <c r="G22" t="s">
        <v>670</v>
      </c>
      <c r="H22" t="s">
        <v>699</v>
      </c>
      <c r="I22" t="s">
        <v>724</v>
      </c>
      <c r="J22" t="s">
        <v>1313</v>
      </c>
      <c r="K22">
        <v>43985</v>
      </c>
      <c r="L22">
        <v>0.027936337384997</v>
      </c>
      <c r="M22">
        <v>0.01192108369386125</v>
      </c>
      <c r="N22">
        <v>0.06</v>
      </c>
      <c r="O22">
        <v>0.09955028073347538</v>
      </c>
      <c r="P22" t="s">
        <v>635</v>
      </c>
      <c r="Q22" t="s">
        <v>636</v>
      </c>
      <c r="R22">
        <v>28</v>
      </c>
      <c r="S22">
        <v>0.3687943262411348</v>
      </c>
      <c r="T22">
        <v>158</v>
      </c>
      <c r="U22">
        <v>0.9424683544303797</v>
      </c>
      <c r="V22">
        <v>11.9444</v>
      </c>
      <c r="W22">
        <v>11.28</v>
      </c>
      <c r="X22">
        <v>4.16</v>
      </c>
      <c r="Y22">
        <v>-0.187084</v>
      </c>
      <c r="Z22">
        <v>0.3669421487603306</v>
      </c>
      <c r="AA22">
        <v>0.426731078904992</v>
      </c>
      <c r="AB22">
        <v>0.6463022508038585</v>
      </c>
      <c r="AC22">
        <v>0.6736334405144695</v>
      </c>
      <c r="AD22">
        <v>0.712218649517685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100.83</v>
      </c>
      <c r="D23">
        <v>177696.7422</v>
      </c>
      <c r="E23" t="s">
        <v>660</v>
      </c>
      <c r="F23" t="s">
        <v>631</v>
      </c>
      <c r="G23" t="s">
        <v>670</v>
      </c>
      <c r="H23" t="s">
        <v>699</v>
      </c>
      <c r="I23" t="s">
        <v>725</v>
      </c>
      <c r="J23" t="s">
        <v>1314</v>
      </c>
      <c r="K23">
        <v>43961</v>
      </c>
      <c r="L23">
        <v>0.044629574531389</v>
      </c>
      <c r="M23">
        <v>0.0003369740502310314</v>
      </c>
      <c r="N23">
        <v>0.055</v>
      </c>
      <c r="O23">
        <v>0.09761182006250557</v>
      </c>
      <c r="P23" t="s">
        <v>635</v>
      </c>
      <c r="Q23" t="s">
        <v>635</v>
      </c>
      <c r="R23">
        <v>48</v>
      </c>
      <c r="S23">
        <v>0.4658385093167702</v>
      </c>
      <c r="T23">
        <v>101</v>
      </c>
      <c r="U23">
        <v>0.9983168316831683</v>
      </c>
      <c r="V23">
        <v>5.6688</v>
      </c>
      <c r="W23">
        <v>9.66</v>
      </c>
      <c r="X23">
        <v>4.5</v>
      </c>
      <c r="Y23">
        <v>0.477363</v>
      </c>
      <c r="Z23">
        <v>0.5950413223140496</v>
      </c>
      <c r="AA23">
        <v>0.9565217391304348</v>
      </c>
      <c r="AB23">
        <v>0.592443729903537</v>
      </c>
      <c r="AC23">
        <v>0.6109324758842444</v>
      </c>
      <c r="AD23">
        <v>0.6993569131832796</v>
      </c>
    </row>
    <row r="24" spans="1:30">
      <c r="A24" s="1" t="s">
        <v>31</v>
      </c>
      <c r="B24">
        <f>HYPERLINK("https://www.suredividend.com/sure-analysis-LOW/","Lowe's Cos., Inc.")</f>
        <v>0</v>
      </c>
      <c r="C24">
        <v>144.39</v>
      </c>
      <c r="D24">
        <v>109014.88317</v>
      </c>
      <c r="E24" t="s">
        <v>666</v>
      </c>
      <c r="F24" t="s">
        <v>631</v>
      </c>
      <c r="G24" t="s">
        <v>670</v>
      </c>
      <c r="H24" t="s">
        <v>699</v>
      </c>
      <c r="I24" t="s">
        <v>726</v>
      </c>
      <c r="J24" t="s">
        <v>1312</v>
      </c>
      <c r="K24">
        <v>44000</v>
      </c>
      <c r="L24">
        <v>0.015236512223838</v>
      </c>
      <c r="M24">
        <v>-0.01778318901435272</v>
      </c>
      <c r="N24">
        <v>0.1</v>
      </c>
      <c r="O24">
        <v>0.09601185880588425</v>
      </c>
      <c r="P24" t="s">
        <v>635</v>
      </c>
      <c r="Q24" t="s">
        <v>636</v>
      </c>
      <c r="R24">
        <v>57</v>
      </c>
      <c r="S24">
        <v>0.3333333333333334</v>
      </c>
      <c r="T24">
        <v>132</v>
      </c>
      <c r="U24">
        <v>1.093863636363636</v>
      </c>
      <c r="V24">
        <v>5.9298</v>
      </c>
      <c r="W24">
        <v>6.6</v>
      </c>
      <c r="X24">
        <v>2.2</v>
      </c>
      <c r="Y24">
        <v>0.391711</v>
      </c>
      <c r="Z24">
        <v>0.143801652892562</v>
      </c>
      <c r="AA24">
        <v>0.9355877616747182</v>
      </c>
      <c r="AB24">
        <v>0.9051446945337621</v>
      </c>
      <c r="AC24">
        <v>0.5</v>
      </c>
      <c r="AD24">
        <v>0.6913183279742765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154.81</v>
      </c>
      <c r="D25">
        <v>25097.17796</v>
      </c>
      <c r="E25" t="s">
        <v>663</v>
      </c>
      <c r="F25" t="s">
        <v>631</v>
      </c>
      <c r="G25" t="s">
        <v>670</v>
      </c>
      <c r="H25" t="s">
        <v>699</v>
      </c>
      <c r="I25" t="s">
        <v>727</v>
      </c>
      <c r="J25" t="s">
        <v>1314</v>
      </c>
      <c r="K25">
        <v>43986</v>
      </c>
      <c r="L25">
        <v>0.010464440281635</v>
      </c>
      <c r="M25">
        <v>0.02246727873855359</v>
      </c>
      <c r="N25">
        <v>0.06</v>
      </c>
      <c r="O25">
        <v>0.09310275967121506</v>
      </c>
      <c r="P25" t="s">
        <v>635</v>
      </c>
      <c r="Q25" t="s">
        <v>383</v>
      </c>
      <c r="R25">
        <v>12</v>
      </c>
      <c r="S25">
        <v>0.1125</v>
      </c>
      <c r="T25">
        <v>173</v>
      </c>
      <c r="U25">
        <v>0.8948554913294798</v>
      </c>
      <c r="V25">
        <v>5.2018</v>
      </c>
      <c r="W25">
        <v>14.4</v>
      </c>
      <c r="X25">
        <v>1.62</v>
      </c>
      <c r="Y25">
        <v>0.108319</v>
      </c>
      <c r="Z25">
        <v>0.07768595041322314</v>
      </c>
      <c r="AA25">
        <v>0.8019323671497584</v>
      </c>
      <c r="AB25">
        <v>0.6463022508038585</v>
      </c>
      <c r="AC25">
        <v>0.7315112540192926</v>
      </c>
      <c r="AD25">
        <v>0.6655948553054662</v>
      </c>
    </row>
    <row r="26" spans="1:30">
      <c r="A26" s="1" t="s">
        <v>33</v>
      </c>
      <c r="B26">
        <f>HYPERLINK("https://www.suredividend.com/sure-analysis-TYCB/","Calvin B. Taylor Bankshares, Inc.")</f>
        <v>0</v>
      </c>
      <c r="C26">
        <v>33.99</v>
      </c>
      <c r="D26">
        <v>94.31987100000001</v>
      </c>
      <c r="E26" t="s">
        <v>660</v>
      </c>
      <c r="F26" t="s">
        <v>631</v>
      </c>
      <c r="G26" t="s">
        <v>670</v>
      </c>
      <c r="H26" t="s">
        <v>700</v>
      </c>
      <c r="I26" t="s">
        <v>728</v>
      </c>
      <c r="J26" t="s">
        <v>1311</v>
      </c>
      <c r="K26">
        <v>43977</v>
      </c>
      <c r="L26">
        <v>0.031479847013827</v>
      </c>
      <c r="M26">
        <v>0.005873521437378404</v>
      </c>
      <c r="N26">
        <v>0.06</v>
      </c>
      <c r="O26">
        <v>0.09241350598367171</v>
      </c>
      <c r="P26" t="s">
        <v>635</v>
      </c>
      <c r="Q26" t="s">
        <v>635</v>
      </c>
      <c r="R26">
        <v>29</v>
      </c>
      <c r="S26">
        <v>0.3821428571428572</v>
      </c>
      <c r="T26">
        <v>35</v>
      </c>
      <c r="U26">
        <v>0.9711428571428572</v>
      </c>
      <c r="V26">
        <v>2.1426</v>
      </c>
      <c r="W26">
        <v>2.8</v>
      </c>
      <c r="X26">
        <v>1.07</v>
      </c>
      <c r="Y26">
        <v>-0.028857</v>
      </c>
      <c r="Z26">
        <v>0.4132231404958678</v>
      </c>
      <c r="AA26">
        <v>0.6537842190016103</v>
      </c>
      <c r="AB26">
        <v>0.6463022508038585</v>
      </c>
      <c r="AC26">
        <v>0.6334405144694534</v>
      </c>
      <c r="AD26">
        <v>0.6607717041800644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124.9</v>
      </c>
      <c r="D27">
        <v>6858.62121</v>
      </c>
      <c r="E27" t="s">
        <v>660</v>
      </c>
      <c r="F27" t="s">
        <v>631</v>
      </c>
      <c r="G27" t="s">
        <v>670</v>
      </c>
      <c r="H27" t="s">
        <v>699</v>
      </c>
      <c r="I27" t="s">
        <v>729</v>
      </c>
      <c r="J27" t="s">
        <v>1313</v>
      </c>
      <c r="K27">
        <v>43946</v>
      </c>
      <c r="L27">
        <v>0.015212169735788</v>
      </c>
      <c r="M27">
        <v>0.004915410545899057</v>
      </c>
      <c r="N27">
        <v>0.07000000000000001</v>
      </c>
      <c r="O27">
        <v>0.09046080656914213</v>
      </c>
      <c r="P27" t="s">
        <v>635</v>
      </c>
      <c r="Q27" t="s">
        <v>636</v>
      </c>
      <c r="R27">
        <v>43</v>
      </c>
      <c r="S27">
        <v>0.2533333333333333</v>
      </c>
      <c r="T27">
        <v>128</v>
      </c>
      <c r="U27">
        <v>0.97578125</v>
      </c>
      <c r="V27">
        <v>8.026300000000001</v>
      </c>
      <c r="W27">
        <v>7.5</v>
      </c>
      <c r="X27">
        <v>1.9</v>
      </c>
      <c r="Y27">
        <v>-0.048308</v>
      </c>
      <c r="Z27">
        <v>0.1421487603305785</v>
      </c>
      <c r="AA27">
        <v>0.6264090177133655</v>
      </c>
      <c r="AB27">
        <v>0.7387459807073955</v>
      </c>
      <c r="AC27">
        <v>0.6286173633440515</v>
      </c>
      <c r="AD27">
        <v>0.6543408360128617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41.17</v>
      </c>
      <c r="D28">
        <v>22869.77032</v>
      </c>
      <c r="E28" t="s">
        <v>667</v>
      </c>
      <c r="F28" t="s">
        <v>631</v>
      </c>
      <c r="G28" t="s">
        <v>670</v>
      </c>
      <c r="H28" t="s">
        <v>699</v>
      </c>
      <c r="I28" t="s">
        <v>730</v>
      </c>
      <c r="J28" t="s">
        <v>1318</v>
      </c>
      <c r="K28">
        <v>43958</v>
      </c>
      <c r="L28">
        <v>0.03424823900898701</v>
      </c>
      <c r="M28">
        <v>0.01794972493890468</v>
      </c>
      <c r="N28">
        <v>0.04</v>
      </c>
      <c r="O28">
        <v>0.08870222525018745</v>
      </c>
      <c r="P28" t="s">
        <v>635</v>
      </c>
      <c r="Q28" t="s">
        <v>635</v>
      </c>
      <c r="R28">
        <v>45</v>
      </c>
      <c r="S28">
        <v>0.47</v>
      </c>
      <c r="T28">
        <v>45</v>
      </c>
      <c r="U28">
        <v>0.914888888888889</v>
      </c>
      <c r="V28">
        <v>2.7395</v>
      </c>
      <c r="W28">
        <v>3</v>
      </c>
      <c r="X28">
        <v>1.41</v>
      </c>
      <c r="Y28">
        <v>0.025149</v>
      </c>
      <c r="Z28">
        <v>0.4644628099173553</v>
      </c>
      <c r="AA28">
        <v>0.7230273752012883</v>
      </c>
      <c r="AB28">
        <v>0.3794212218649518</v>
      </c>
      <c r="AC28">
        <v>0.7073954983922829</v>
      </c>
      <c r="AD28">
        <v>0.6382636655948553</v>
      </c>
    </row>
    <row r="29" spans="1:30">
      <c r="A29" s="1" t="s">
        <v>36</v>
      </c>
      <c r="B29">
        <f>HYPERLINK("https://www.suredividend.com/sure-analysis-PNR/","Pentair Plc")</f>
        <v>0</v>
      </c>
      <c r="C29">
        <v>41.69</v>
      </c>
      <c r="D29">
        <v>6909.07525</v>
      </c>
      <c r="E29" t="s">
        <v>660</v>
      </c>
      <c r="F29" t="s">
        <v>631</v>
      </c>
      <c r="G29" t="s">
        <v>673</v>
      </c>
      <c r="H29" t="s">
        <v>699</v>
      </c>
      <c r="I29" t="s">
        <v>731</v>
      </c>
      <c r="J29" t="s">
        <v>1313</v>
      </c>
      <c r="K29">
        <v>43969</v>
      </c>
      <c r="L29">
        <v>0.017510194291196</v>
      </c>
      <c r="M29">
        <v>0.006206948524329903</v>
      </c>
      <c r="N29">
        <v>0.065</v>
      </c>
      <c r="O29">
        <v>0.08767206669591032</v>
      </c>
      <c r="P29" t="s">
        <v>635</v>
      </c>
      <c r="Q29" t="s">
        <v>636</v>
      </c>
      <c r="R29">
        <v>43</v>
      </c>
      <c r="S29">
        <v>0.3560975609756098</v>
      </c>
      <c r="T29">
        <v>43</v>
      </c>
      <c r="U29">
        <v>0.9695348837209302</v>
      </c>
      <c r="V29">
        <v>2.2369</v>
      </c>
      <c r="W29">
        <v>2.05</v>
      </c>
      <c r="X29">
        <v>0.73</v>
      </c>
      <c r="Y29">
        <v>0.124023</v>
      </c>
      <c r="Z29">
        <v>0.1834710743801653</v>
      </c>
      <c r="AA29">
        <v>0.8067632850241546</v>
      </c>
      <c r="AB29">
        <v>0.6969453376205788</v>
      </c>
      <c r="AC29">
        <v>0.6366559485530546</v>
      </c>
      <c r="AD29">
        <v>0.6286173633440515</v>
      </c>
    </row>
    <row r="30" spans="1:30">
      <c r="A30" s="1" t="s">
        <v>37</v>
      </c>
      <c r="B30">
        <f>HYPERLINK("https://www.suredividend.com/sure-analysis-BANF/","BancFirst Corp. (Oklahoma)")</f>
        <v>0</v>
      </c>
      <c r="C30">
        <v>39.57</v>
      </c>
      <c r="D30">
        <v>1291.84179</v>
      </c>
      <c r="E30" t="s">
        <v>667</v>
      </c>
      <c r="F30" t="s">
        <v>631</v>
      </c>
      <c r="G30" t="s">
        <v>670</v>
      </c>
      <c r="H30" t="s">
        <v>701</v>
      </c>
      <c r="I30" t="s">
        <v>732</v>
      </c>
      <c r="J30" t="s">
        <v>1311</v>
      </c>
      <c r="K30">
        <v>43958</v>
      </c>
      <c r="L30">
        <v>0.032347738185494</v>
      </c>
      <c r="M30">
        <v>0.02605181443760296</v>
      </c>
      <c r="N30">
        <v>0.03</v>
      </c>
      <c r="O30">
        <v>0.08702337947383842</v>
      </c>
      <c r="P30" t="s">
        <v>635</v>
      </c>
      <c r="Q30" t="s">
        <v>636</v>
      </c>
      <c r="R30">
        <v>26</v>
      </c>
      <c r="S30">
        <v>0.4280936454849498</v>
      </c>
      <c r="T30">
        <v>45</v>
      </c>
      <c r="U30">
        <v>0.8793333333333333</v>
      </c>
      <c r="V30">
        <v>3.4357</v>
      </c>
      <c r="W30">
        <v>2.99</v>
      </c>
      <c r="X30">
        <v>1.28</v>
      </c>
      <c r="Y30">
        <v>-0.282372</v>
      </c>
      <c r="Z30">
        <v>0.428099173553719</v>
      </c>
      <c r="AA30">
        <v>0.3059581320450886</v>
      </c>
      <c r="AB30">
        <v>0.247588424437299</v>
      </c>
      <c r="AC30">
        <v>0.7540192926045016</v>
      </c>
      <c r="AD30">
        <v>0.6205787781350482</v>
      </c>
    </row>
    <row r="31" spans="1:30">
      <c r="A31" s="1" t="s">
        <v>38</v>
      </c>
      <c r="B31">
        <f>HYPERLINK("https://www.suredividend.com/sure-analysis-AFL/","Aflac, Inc.")</f>
        <v>0</v>
      </c>
      <c r="C31">
        <v>36.22</v>
      </c>
      <c r="D31">
        <v>25988.13976</v>
      </c>
      <c r="E31" t="s">
        <v>659</v>
      </c>
      <c r="F31" t="s">
        <v>631</v>
      </c>
      <c r="G31" t="s">
        <v>670</v>
      </c>
      <c r="H31" t="s">
        <v>699</v>
      </c>
      <c r="I31" t="s">
        <v>733</v>
      </c>
      <c r="J31" t="s">
        <v>1311</v>
      </c>
      <c r="K31">
        <v>43958</v>
      </c>
      <c r="L31">
        <v>0.030093870789618</v>
      </c>
      <c r="M31">
        <v>0.02005199382139544</v>
      </c>
      <c r="N31">
        <v>0.04</v>
      </c>
      <c r="O31">
        <v>0.08700487269049773</v>
      </c>
      <c r="P31" t="s">
        <v>635</v>
      </c>
      <c r="Q31" t="s">
        <v>635</v>
      </c>
      <c r="R31">
        <v>37</v>
      </c>
      <c r="S31">
        <v>0.2725</v>
      </c>
      <c r="T31">
        <v>40</v>
      </c>
      <c r="U31">
        <v>0.9055</v>
      </c>
      <c r="V31">
        <v>3.9964</v>
      </c>
      <c r="W31">
        <v>4</v>
      </c>
      <c r="X31">
        <v>1.09</v>
      </c>
      <c r="Y31">
        <v>-0.354712</v>
      </c>
      <c r="Z31">
        <v>0.3917355371900826</v>
      </c>
      <c r="AA31">
        <v>0.2125603864734299</v>
      </c>
      <c r="AB31">
        <v>0.3794212218649518</v>
      </c>
      <c r="AC31">
        <v>0.7218649517684887</v>
      </c>
      <c r="AD31">
        <v>0.6189710610932476</v>
      </c>
    </row>
    <row r="32" spans="1:30">
      <c r="A32" s="1" t="s">
        <v>39</v>
      </c>
      <c r="B32">
        <f>HYPERLINK("https://www.suredividend.com/sure-analysis-UNH/","UnitedHealth Group, Inc.")</f>
        <v>0</v>
      </c>
      <c r="C32">
        <v>306.53</v>
      </c>
      <c r="D32">
        <v>290706.9214</v>
      </c>
      <c r="E32" t="s">
        <v>663</v>
      </c>
      <c r="F32" t="s">
        <v>631</v>
      </c>
      <c r="G32" t="s">
        <v>670</v>
      </c>
      <c r="H32" t="s">
        <v>699</v>
      </c>
      <c r="I32" t="s">
        <v>734</v>
      </c>
      <c r="J32" t="s">
        <v>1314</v>
      </c>
      <c r="K32">
        <v>44028</v>
      </c>
      <c r="L32">
        <v>0.014647832186082</v>
      </c>
      <c r="M32">
        <v>-0.02943150839999986</v>
      </c>
      <c r="N32">
        <v>0.1</v>
      </c>
      <c r="O32">
        <v>0.08591361284662269</v>
      </c>
      <c r="P32" t="s">
        <v>635</v>
      </c>
      <c r="Q32" t="s">
        <v>383</v>
      </c>
      <c r="R32">
        <v>12</v>
      </c>
      <c r="S32">
        <v>0.2721212121212122</v>
      </c>
      <c r="T32">
        <v>264</v>
      </c>
      <c r="U32">
        <v>1.161098484848485</v>
      </c>
      <c r="W32">
        <v>16.5</v>
      </c>
      <c r="X32">
        <v>4.49</v>
      </c>
      <c r="Y32">
        <v>0.176247</v>
      </c>
      <c r="Z32">
        <v>0.1322314049586777</v>
      </c>
      <c r="AA32">
        <v>0.8454106280193237</v>
      </c>
      <c r="AB32">
        <v>0.9051446945337621</v>
      </c>
      <c r="AC32">
        <v>0.4180064308681672</v>
      </c>
      <c r="AD32">
        <v>0.617363344051447</v>
      </c>
    </row>
    <row r="33" spans="1:30">
      <c r="A33" s="1" t="s">
        <v>40</v>
      </c>
      <c r="B33">
        <f>HYPERLINK("https://www.suredividend.com/sure-analysis-MGRC/","McGrath RentCorp")</f>
        <v>0</v>
      </c>
      <c r="C33">
        <v>54.69</v>
      </c>
      <c r="D33">
        <v>1320.736155</v>
      </c>
      <c r="E33" t="s">
        <v>664</v>
      </c>
      <c r="F33" t="s">
        <v>631</v>
      </c>
      <c r="G33" t="s">
        <v>670</v>
      </c>
      <c r="H33" t="s">
        <v>701</v>
      </c>
      <c r="I33" t="s">
        <v>735</v>
      </c>
      <c r="J33" t="s">
        <v>1313</v>
      </c>
      <c r="K33">
        <v>43950</v>
      </c>
      <c r="L33">
        <v>0.028250137136588</v>
      </c>
      <c r="M33">
        <v>0.02869475431380231</v>
      </c>
      <c r="N33">
        <v>0.03</v>
      </c>
      <c r="O33">
        <v>0.08498203629863577</v>
      </c>
      <c r="P33" t="s">
        <v>635</v>
      </c>
      <c r="Q33" t="s">
        <v>636</v>
      </c>
      <c r="R33">
        <v>29</v>
      </c>
      <c r="S33">
        <v>0.4339887640449438</v>
      </c>
      <c r="T33">
        <v>63</v>
      </c>
      <c r="U33">
        <v>0.868095238095238</v>
      </c>
      <c r="V33">
        <v>4.0584</v>
      </c>
      <c r="W33">
        <v>3.56</v>
      </c>
      <c r="X33">
        <v>1.545</v>
      </c>
      <c r="Y33">
        <v>-0.141983</v>
      </c>
      <c r="Z33">
        <v>0.3735537190082645</v>
      </c>
      <c r="AA33">
        <v>0.4879227053140097</v>
      </c>
      <c r="AB33">
        <v>0.247588424437299</v>
      </c>
      <c r="AC33">
        <v>0.7668810289389068</v>
      </c>
      <c r="AD33">
        <v>0.6109324758842444</v>
      </c>
    </row>
    <row r="34" spans="1:30">
      <c r="A34" s="1" t="s">
        <v>41</v>
      </c>
      <c r="B34">
        <f>HYPERLINK("https://www.suredividend.com/sure-analysis-SRCE/","1st Source Corp.")</f>
        <v>0</v>
      </c>
      <c r="C34">
        <v>34.22</v>
      </c>
      <c r="D34">
        <v>873.828232</v>
      </c>
      <c r="E34" t="s">
        <v>663</v>
      </c>
      <c r="F34" t="s">
        <v>631</v>
      </c>
      <c r="G34" t="s">
        <v>670</v>
      </c>
      <c r="H34" t="s">
        <v>701</v>
      </c>
      <c r="I34" t="s">
        <v>736</v>
      </c>
      <c r="J34" t="s">
        <v>1311</v>
      </c>
      <c r="K34">
        <v>43949</v>
      </c>
      <c r="L34">
        <v>0.032729398012857</v>
      </c>
      <c r="M34">
        <v>0.03681380304364312</v>
      </c>
      <c r="N34">
        <v>0.02</v>
      </c>
      <c r="O34">
        <v>0.0842285669740126</v>
      </c>
      <c r="P34" t="s">
        <v>635</v>
      </c>
      <c r="Q34" t="s">
        <v>635</v>
      </c>
      <c r="R34">
        <v>32</v>
      </c>
      <c r="S34">
        <v>0.4480000000000001</v>
      </c>
      <c r="T34">
        <v>41</v>
      </c>
      <c r="U34">
        <v>0.8346341463414634</v>
      </c>
      <c r="V34">
        <v>3.3556</v>
      </c>
      <c r="W34">
        <v>2.5</v>
      </c>
      <c r="X34">
        <v>1.12</v>
      </c>
      <c r="Y34">
        <v>-0.230665</v>
      </c>
      <c r="Z34">
        <v>0.4330578512396694</v>
      </c>
      <c r="AA34">
        <v>0.3671497584541063</v>
      </c>
      <c r="AB34">
        <v>0.157556270096463</v>
      </c>
      <c r="AC34">
        <v>0.8070739549839229</v>
      </c>
      <c r="AD34">
        <v>0.5996784565916399</v>
      </c>
    </row>
    <row r="35" spans="1:30">
      <c r="A35" s="1" t="s">
        <v>42</v>
      </c>
      <c r="B35">
        <f>HYPERLINK("https://www.suredividend.com/sure-analysis-BKH/","Black Hills Corp.")</f>
        <v>0</v>
      </c>
      <c r="C35">
        <v>60.8</v>
      </c>
      <c r="D35">
        <v>3815.18176</v>
      </c>
      <c r="E35" t="s">
        <v>660</v>
      </c>
      <c r="F35" t="s">
        <v>631</v>
      </c>
      <c r="G35" t="s">
        <v>670</v>
      </c>
      <c r="H35" t="s">
        <v>699</v>
      </c>
      <c r="I35" t="s">
        <v>737</v>
      </c>
      <c r="J35" t="s">
        <v>1315</v>
      </c>
      <c r="K35">
        <v>43962</v>
      </c>
      <c r="L35">
        <v>0.034210526315789</v>
      </c>
      <c r="M35">
        <v>0.01031145931793609</v>
      </c>
      <c r="N35">
        <v>0.04</v>
      </c>
      <c r="O35">
        <v>0.08227103457108309</v>
      </c>
      <c r="P35" t="s">
        <v>635</v>
      </c>
      <c r="Q35" t="s">
        <v>635</v>
      </c>
      <c r="R35">
        <v>48</v>
      </c>
      <c r="S35">
        <v>0.5859154929577465</v>
      </c>
      <c r="T35">
        <v>64</v>
      </c>
      <c r="U35">
        <v>0.95</v>
      </c>
      <c r="V35">
        <v>3.0711</v>
      </c>
      <c r="W35">
        <v>3.55</v>
      </c>
      <c r="X35">
        <v>2.08</v>
      </c>
      <c r="Y35">
        <v>-0.250493</v>
      </c>
      <c r="Z35">
        <v>0.4628099173553719</v>
      </c>
      <c r="AA35">
        <v>0.3349436392914654</v>
      </c>
      <c r="AB35">
        <v>0.3794212218649518</v>
      </c>
      <c r="AC35">
        <v>0.6672025723472669</v>
      </c>
      <c r="AD35">
        <v>0.5852090032154341</v>
      </c>
    </row>
    <row r="36" spans="1:30">
      <c r="A36" s="1" t="s">
        <v>43</v>
      </c>
      <c r="B36">
        <f>HYPERLINK("https://www.suredividend.com/sure-analysis-CPKF/","Chesapeake Financial Shares, Inc. (Maryland)")</f>
        <v>0</v>
      </c>
      <c r="C36">
        <v>18.33</v>
      </c>
      <c r="D36">
        <v>90.468265</v>
      </c>
      <c r="E36" t="s">
        <v>663</v>
      </c>
      <c r="F36" t="s">
        <v>631</v>
      </c>
      <c r="G36" t="s">
        <v>670</v>
      </c>
      <c r="H36" t="s">
        <v>700</v>
      </c>
      <c r="I36" t="s">
        <v>738</v>
      </c>
      <c r="J36" t="s">
        <v>1311</v>
      </c>
      <c r="K36">
        <v>43953</v>
      </c>
      <c r="L36">
        <v>0.026822876721903</v>
      </c>
      <c r="M36">
        <v>0.03717500753470904</v>
      </c>
      <c r="N36">
        <v>0.02</v>
      </c>
      <c r="O36">
        <v>0.08142579391722937</v>
      </c>
      <c r="P36" t="s">
        <v>635</v>
      </c>
      <c r="Q36" t="s">
        <v>635</v>
      </c>
      <c r="R36">
        <v>28</v>
      </c>
      <c r="S36">
        <v>0.2092184384308511</v>
      </c>
      <c r="T36">
        <v>22</v>
      </c>
      <c r="U36">
        <v>0.8331818181818181</v>
      </c>
      <c r="V36">
        <v>2.3917</v>
      </c>
      <c r="W36">
        <v>2.35</v>
      </c>
      <c r="X36">
        <v>0.4916633303125</v>
      </c>
      <c r="Y36">
        <v>-0.165464</v>
      </c>
      <c r="Z36">
        <v>0.3504132231404959</v>
      </c>
      <c r="AA36">
        <v>0.4508856682769726</v>
      </c>
      <c r="AB36">
        <v>0.157556270096463</v>
      </c>
      <c r="AC36">
        <v>0.8102893890675241</v>
      </c>
      <c r="AD36">
        <v>0.5787781350482315</v>
      </c>
    </row>
    <row r="37" spans="1:30">
      <c r="A37" s="1" t="s">
        <v>44</v>
      </c>
      <c r="B37">
        <f>HYPERLINK("https://www.suredividend.com/sure-analysis-FUL/","H.B. Fuller Co.")</f>
        <v>0</v>
      </c>
      <c r="C37">
        <v>46.42</v>
      </c>
      <c r="D37">
        <v>2393.735498</v>
      </c>
      <c r="E37" t="s">
        <v>662</v>
      </c>
      <c r="F37" t="s">
        <v>631</v>
      </c>
      <c r="G37" t="s">
        <v>670</v>
      </c>
      <c r="H37" t="s">
        <v>699</v>
      </c>
      <c r="I37" t="s">
        <v>739</v>
      </c>
      <c r="J37" t="s">
        <v>1319</v>
      </c>
      <c r="K37">
        <v>44008</v>
      </c>
      <c r="L37">
        <v>0.013841016803102</v>
      </c>
      <c r="M37">
        <v>-0.03923827751682585</v>
      </c>
      <c r="N37">
        <v>0.11</v>
      </c>
      <c r="O37">
        <v>0.07872523785612917</v>
      </c>
      <c r="P37" t="s">
        <v>635</v>
      </c>
      <c r="Q37" t="s">
        <v>636</v>
      </c>
      <c r="R37">
        <v>51</v>
      </c>
      <c r="S37">
        <v>0.257</v>
      </c>
      <c r="T37">
        <v>38</v>
      </c>
      <c r="U37">
        <v>1.221578947368421</v>
      </c>
      <c r="V37">
        <v>2.4143</v>
      </c>
      <c r="W37">
        <v>2.5</v>
      </c>
      <c r="X37">
        <v>0.6425000000000001</v>
      </c>
      <c r="Y37">
        <v>-0.034526</v>
      </c>
      <c r="Z37">
        <v>0.1239669421487603</v>
      </c>
      <c r="AA37">
        <v>0.6505636070853462</v>
      </c>
      <c r="AB37">
        <v>0.9316720257234726</v>
      </c>
      <c r="AC37">
        <v>0.3504823151125402</v>
      </c>
      <c r="AD37">
        <v>0.5659163987138264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67.06</v>
      </c>
      <c r="D38">
        <v>1236.75405</v>
      </c>
      <c r="E38" t="s">
        <v>660</v>
      </c>
      <c r="F38" t="s">
        <v>631</v>
      </c>
      <c r="G38" t="s">
        <v>670</v>
      </c>
      <c r="H38" t="s">
        <v>699</v>
      </c>
      <c r="I38" t="s">
        <v>740</v>
      </c>
      <c r="J38" t="s">
        <v>1313</v>
      </c>
      <c r="K38">
        <v>43971</v>
      </c>
      <c r="L38">
        <v>0.013122576796898</v>
      </c>
      <c r="M38">
        <v>-0.01241291912411124</v>
      </c>
      <c r="N38">
        <v>0.08</v>
      </c>
      <c r="O38">
        <v>0.07808914305525239</v>
      </c>
      <c r="P38" t="s">
        <v>635</v>
      </c>
      <c r="Q38" t="s">
        <v>383</v>
      </c>
      <c r="R38">
        <v>47</v>
      </c>
      <c r="S38">
        <v>0.4190476190476191</v>
      </c>
      <c r="T38">
        <v>63</v>
      </c>
      <c r="U38">
        <v>1.064444444444445</v>
      </c>
      <c r="V38">
        <v>2.5064</v>
      </c>
      <c r="W38">
        <v>2.1</v>
      </c>
      <c r="X38">
        <v>0.88</v>
      </c>
      <c r="Y38">
        <v>0.020545</v>
      </c>
      <c r="Z38">
        <v>0.112396694214876</v>
      </c>
      <c r="AA38">
        <v>0.7133655394524959</v>
      </c>
      <c r="AB38">
        <v>0.8127009646302251</v>
      </c>
      <c r="AC38">
        <v>0.5385852090032155</v>
      </c>
      <c r="AD38">
        <v>0.5610932475884244</v>
      </c>
    </row>
    <row r="39" spans="1:30">
      <c r="A39" s="1" t="s">
        <v>46</v>
      </c>
      <c r="B39">
        <f>HYPERLINK("https://www.suredividend.com/sure-analysis-TXT/","Textron, Inc.")</f>
        <v>0</v>
      </c>
      <c r="C39">
        <v>33.44</v>
      </c>
      <c r="D39">
        <v>7612.4488</v>
      </c>
      <c r="E39" t="s">
        <v>661</v>
      </c>
      <c r="F39" t="s">
        <v>631</v>
      </c>
      <c r="G39" t="s">
        <v>670</v>
      </c>
      <c r="H39" t="s">
        <v>699</v>
      </c>
      <c r="I39" t="s">
        <v>741</v>
      </c>
      <c r="J39" t="s">
        <v>1313</v>
      </c>
      <c r="K39">
        <v>43958</v>
      </c>
      <c r="L39">
        <v>0.002392344497607</v>
      </c>
      <c r="M39">
        <v>-0.06418717105203331</v>
      </c>
      <c r="N39">
        <v>0.15</v>
      </c>
      <c r="O39">
        <v>0.0779623844428079</v>
      </c>
      <c r="P39" t="s">
        <v>635</v>
      </c>
      <c r="Q39" t="s">
        <v>300</v>
      </c>
      <c r="R39">
        <v>0</v>
      </c>
      <c r="S39">
        <v>0.05228758169934641</v>
      </c>
      <c r="T39">
        <v>24</v>
      </c>
      <c r="U39">
        <v>1.393333333333333</v>
      </c>
      <c r="V39">
        <v>2.9821</v>
      </c>
      <c r="W39">
        <v>1.53</v>
      </c>
      <c r="X39">
        <v>0.08</v>
      </c>
      <c r="Y39">
        <v>-0.315455</v>
      </c>
      <c r="Z39">
        <v>0.008264462809917356</v>
      </c>
      <c r="AA39">
        <v>0.2657004830917875</v>
      </c>
      <c r="AB39">
        <v>0.9766881028938907</v>
      </c>
      <c r="AC39">
        <v>0.2057877813504823</v>
      </c>
      <c r="AD39">
        <v>0.5578778135048231</v>
      </c>
    </row>
    <row r="40" spans="1:30">
      <c r="A40" s="1" t="s">
        <v>47</v>
      </c>
      <c r="B40">
        <f>HYPERLINK("https://www.suredividend.com/sure-analysis-NVS/","Novartis AG")</f>
        <v>0</v>
      </c>
      <c r="C40">
        <v>88.17</v>
      </c>
      <c r="D40">
        <v>199705.373408</v>
      </c>
      <c r="E40" t="s">
        <v>664</v>
      </c>
      <c r="F40" t="s">
        <v>631</v>
      </c>
      <c r="G40" t="s">
        <v>674</v>
      </c>
      <c r="H40" t="s">
        <v>699</v>
      </c>
      <c r="I40" t="s">
        <v>742</v>
      </c>
      <c r="J40" t="s">
        <v>1314</v>
      </c>
      <c r="K40">
        <v>43951</v>
      </c>
      <c r="L40">
        <v>0.022760462742429</v>
      </c>
      <c r="M40">
        <v>0.006338551614891275</v>
      </c>
      <c r="N40">
        <v>0.04</v>
      </c>
      <c r="O40">
        <v>0.07760885937602957</v>
      </c>
      <c r="P40" t="s">
        <v>635</v>
      </c>
      <c r="Q40" t="s">
        <v>636</v>
      </c>
      <c r="R40">
        <v>24</v>
      </c>
      <c r="S40">
        <v>0.3514518388791594</v>
      </c>
      <c r="T40">
        <v>91</v>
      </c>
      <c r="U40">
        <v>0.9689010989010989</v>
      </c>
      <c r="V40">
        <v>5.1085</v>
      </c>
      <c r="W40">
        <v>5.71</v>
      </c>
      <c r="X40">
        <v>2.00679</v>
      </c>
      <c r="Y40">
        <v>-0.064609</v>
      </c>
      <c r="Z40">
        <v>0.3008264462809918</v>
      </c>
      <c r="AA40">
        <v>0.6086956521739131</v>
      </c>
      <c r="AB40">
        <v>0.3794212218649518</v>
      </c>
      <c r="AC40">
        <v>0.6382636655948553</v>
      </c>
      <c r="AD40">
        <v>0.5514469453376205</v>
      </c>
    </row>
    <row r="41" spans="1:30">
      <c r="A41" s="1" t="s">
        <v>48</v>
      </c>
      <c r="B41">
        <f>HYPERLINK("https://www.suredividend.com/sure-analysis-TCEHY/","Tencent Holdings Ltd.")</f>
        <v>0</v>
      </c>
      <c r="C41">
        <v>67.56</v>
      </c>
      <c r="D41">
        <v>639956.193499</v>
      </c>
      <c r="E41" t="s">
        <v>665</v>
      </c>
      <c r="F41" t="s">
        <v>631</v>
      </c>
      <c r="G41" t="s">
        <v>672</v>
      </c>
      <c r="H41" t="s">
        <v>700</v>
      </c>
      <c r="I41" t="s">
        <v>743</v>
      </c>
      <c r="J41" t="s">
        <v>1320</v>
      </c>
      <c r="K41">
        <v>43997</v>
      </c>
      <c r="L41">
        <v>0.002291296625222</v>
      </c>
      <c r="M41">
        <v>-0.07399434652507864</v>
      </c>
      <c r="N41">
        <v>0.16</v>
      </c>
      <c r="O41">
        <v>0.07750516055601331</v>
      </c>
      <c r="P41" t="s">
        <v>635</v>
      </c>
      <c r="Q41" t="s">
        <v>300</v>
      </c>
      <c r="R41">
        <v>10</v>
      </c>
      <c r="S41">
        <v>0.1005194805194805</v>
      </c>
      <c r="T41">
        <v>46</v>
      </c>
      <c r="U41">
        <v>1.468695652173913</v>
      </c>
      <c r="V41">
        <v>1.4406</v>
      </c>
      <c r="W41">
        <v>1.54</v>
      </c>
      <c r="X41">
        <v>0.1548</v>
      </c>
      <c r="Y41">
        <v>0.483205</v>
      </c>
      <c r="Z41">
        <v>0.006611570247933884</v>
      </c>
      <c r="AA41">
        <v>0.9597423510466989</v>
      </c>
      <c r="AB41">
        <v>0.9839228295819936</v>
      </c>
      <c r="AC41">
        <v>0.1864951768488746</v>
      </c>
      <c r="AD41">
        <v>0.5482315112540193</v>
      </c>
    </row>
    <row r="42" spans="1:30">
      <c r="A42" s="1" t="s">
        <v>49</v>
      </c>
      <c r="B42">
        <f>HYPERLINK("https://www.suredividend.com/sure-analysis-ABM/","ABM Industries, Inc.")</f>
        <v>0</v>
      </c>
      <c r="C42">
        <v>36.09</v>
      </c>
      <c r="D42">
        <v>2405.979549</v>
      </c>
      <c r="E42" t="s">
        <v>660</v>
      </c>
      <c r="F42" t="s">
        <v>631</v>
      </c>
      <c r="G42" t="s">
        <v>670</v>
      </c>
      <c r="H42" t="s">
        <v>699</v>
      </c>
      <c r="I42" t="s">
        <v>744</v>
      </c>
      <c r="J42" t="s">
        <v>1313</v>
      </c>
      <c r="K42">
        <v>44001</v>
      </c>
      <c r="L42">
        <v>0.020227209753394</v>
      </c>
      <c r="M42">
        <v>0.004992841698793882</v>
      </c>
      <c r="N42">
        <v>0.05</v>
      </c>
      <c r="O42">
        <v>0.0727637955767082</v>
      </c>
      <c r="P42" t="s">
        <v>635</v>
      </c>
      <c r="Q42" t="s">
        <v>636</v>
      </c>
      <c r="R42">
        <v>52</v>
      </c>
      <c r="S42">
        <v>0.3476190476190476</v>
      </c>
      <c r="T42">
        <v>37</v>
      </c>
      <c r="U42">
        <v>0.9754054054054055</v>
      </c>
      <c r="V42">
        <v>-0.3567</v>
      </c>
      <c r="W42">
        <v>2.1</v>
      </c>
      <c r="X42">
        <v>0.73</v>
      </c>
      <c r="Y42">
        <v>-0.13928</v>
      </c>
      <c r="Z42">
        <v>0.2462809917355372</v>
      </c>
      <c r="AA42">
        <v>0.4927536231884058</v>
      </c>
      <c r="AB42">
        <v>0.5160771704180064</v>
      </c>
      <c r="AC42">
        <v>0.6318327974276527</v>
      </c>
      <c r="AD42">
        <v>0.5128617363344051</v>
      </c>
    </row>
    <row r="43" spans="1:30">
      <c r="A43" s="1" t="s">
        <v>50</v>
      </c>
      <c r="B43">
        <f>HYPERLINK("https://www.suredividend.com/sure-analysis-ADP/","Automatic Data Processing, Inc.")</f>
        <v>0</v>
      </c>
      <c r="C43">
        <v>147.6</v>
      </c>
      <c r="D43">
        <v>63434.6424</v>
      </c>
      <c r="E43" t="s">
        <v>663</v>
      </c>
      <c r="F43" t="s">
        <v>631</v>
      </c>
      <c r="G43" t="s">
        <v>670</v>
      </c>
      <c r="H43" t="s">
        <v>701</v>
      </c>
      <c r="I43" t="s">
        <v>745</v>
      </c>
      <c r="J43" t="s">
        <v>1313</v>
      </c>
      <c r="K43">
        <v>43953</v>
      </c>
      <c r="L43">
        <v>0.023035230352303</v>
      </c>
      <c r="M43">
        <v>-0.02961634507544053</v>
      </c>
      <c r="N43">
        <v>0.08</v>
      </c>
      <c r="O43">
        <v>0.07273088433506536</v>
      </c>
      <c r="P43" t="s">
        <v>635</v>
      </c>
      <c r="Q43" t="s">
        <v>636</v>
      </c>
      <c r="R43">
        <v>44</v>
      </c>
      <c r="S43">
        <v>0.591304347826087</v>
      </c>
      <c r="T43">
        <v>127</v>
      </c>
      <c r="U43">
        <v>1.162204724409449</v>
      </c>
      <c r="V43">
        <v>5.8651</v>
      </c>
      <c r="W43">
        <v>5.75</v>
      </c>
      <c r="X43">
        <v>3.4</v>
      </c>
      <c r="Y43">
        <v>-0.120224</v>
      </c>
      <c r="Z43">
        <v>0.3074380165289256</v>
      </c>
      <c r="AA43">
        <v>0.5136876006441223</v>
      </c>
      <c r="AB43">
        <v>0.8127009646302251</v>
      </c>
      <c r="AC43">
        <v>0.4147909967845659</v>
      </c>
      <c r="AD43">
        <v>0.5112540192926045</v>
      </c>
    </row>
    <row r="44" spans="1:30">
      <c r="A44" s="1" t="s">
        <v>51</v>
      </c>
      <c r="B44">
        <f>HYPERLINK("https://www.suredividend.com/sure-analysis-PRGO/","Perrigo Co. Plc")</f>
        <v>0</v>
      </c>
      <c r="C44">
        <v>58.54</v>
      </c>
      <c r="D44">
        <v>7979.002</v>
      </c>
      <c r="E44" t="s">
        <v>664</v>
      </c>
      <c r="F44" t="s">
        <v>631</v>
      </c>
      <c r="G44" t="s">
        <v>675</v>
      </c>
      <c r="H44" t="s">
        <v>699</v>
      </c>
      <c r="I44" t="s">
        <v>746</v>
      </c>
      <c r="J44" t="s">
        <v>1314</v>
      </c>
      <c r="K44">
        <v>43953</v>
      </c>
      <c r="L44">
        <v>0.014605398018448</v>
      </c>
      <c r="M44">
        <v>0.008266698583790033</v>
      </c>
      <c r="N44">
        <v>0.05</v>
      </c>
      <c r="O44">
        <v>0.07252489799909623</v>
      </c>
      <c r="P44" t="s">
        <v>635</v>
      </c>
      <c r="Q44" t="s">
        <v>383</v>
      </c>
      <c r="R44">
        <v>18</v>
      </c>
      <c r="S44">
        <v>0.2111111111111111</v>
      </c>
      <c r="T44">
        <v>61</v>
      </c>
      <c r="U44">
        <v>0.959672131147541</v>
      </c>
      <c r="V44">
        <v>1.3857</v>
      </c>
      <c r="W44">
        <v>4.05</v>
      </c>
      <c r="X44">
        <v>0.855</v>
      </c>
      <c r="Y44">
        <v>0.138689</v>
      </c>
      <c r="Z44">
        <v>0.1305785123966942</v>
      </c>
      <c r="AA44">
        <v>0.819645732689211</v>
      </c>
      <c r="AB44">
        <v>0.5160771704180064</v>
      </c>
      <c r="AC44">
        <v>0.6511254019292605</v>
      </c>
      <c r="AD44">
        <v>0.5080385852090032</v>
      </c>
    </row>
    <row r="45" spans="1:30">
      <c r="A45" s="1" t="s">
        <v>52</v>
      </c>
      <c r="B45">
        <f>HYPERLINK("https://www.suredividend.com/sure-analysis-SYK/","Stryker Corp.")</f>
        <v>0</v>
      </c>
      <c r="C45">
        <v>193.05</v>
      </c>
      <c r="D45">
        <v>72360.5454</v>
      </c>
      <c r="E45" t="s">
        <v>664</v>
      </c>
      <c r="F45" t="s">
        <v>631</v>
      </c>
      <c r="G45" t="s">
        <v>670</v>
      </c>
      <c r="H45" t="s">
        <v>699</v>
      </c>
      <c r="I45" t="s">
        <v>747</v>
      </c>
      <c r="J45" t="s">
        <v>1314</v>
      </c>
      <c r="K45">
        <v>43953</v>
      </c>
      <c r="L45">
        <v>0.011344211344211</v>
      </c>
      <c r="M45">
        <v>-0.0543365366403894</v>
      </c>
      <c r="N45">
        <v>0.12</v>
      </c>
      <c r="O45">
        <v>0.07227867495488183</v>
      </c>
      <c r="P45" t="s">
        <v>635</v>
      </c>
      <c r="Q45" t="s">
        <v>383</v>
      </c>
      <c r="R45">
        <v>26</v>
      </c>
      <c r="S45">
        <v>0.3459715639810426</v>
      </c>
      <c r="T45">
        <v>146</v>
      </c>
      <c r="U45">
        <v>1.322260273972603</v>
      </c>
      <c r="V45">
        <v>5.7809</v>
      </c>
      <c r="W45">
        <v>6.33</v>
      </c>
      <c r="X45">
        <v>2.19</v>
      </c>
      <c r="Y45">
        <v>-0.08268</v>
      </c>
      <c r="Z45">
        <v>0.09256198347107437</v>
      </c>
      <c r="AA45">
        <v>0.5668276972624799</v>
      </c>
      <c r="AB45">
        <v>0.9461414790996784</v>
      </c>
      <c r="AC45">
        <v>0.2604501607717042</v>
      </c>
      <c r="AD45">
        <v>0.5048231511254019</v>
      </c>
    </row>
    <row r="46" spans="1:30">
      <c r="A46" s="1" t="s">
        <v>53</v>
      </c>
      <c r="B46">
        <f>HYPERLINK("https://www.suredividend.com/sure-analysis-CB/","Chubb Ltd.")</f>
        <v>0</v>
      </c>
      <c r="C46">
        <v>135.95</v>
      </c>
      <c r="D46">
        <v>61361.98415</v>
      </c>
      <c r="E46" t="s">
        <v>660</v>
      </c>
      <c r="F46" t="s">
        <v>631</v>
      </c>
      <c r="G46" t="s">
        <v>674</v>
      </c>
      <c r="H46" t="s">
        <v>699</v>
      </c>
      <c r="I46" t="s">
        <v>748</v>
      </c>
      <c r="J46" t="s">
        <v>1311</v>
      </c>
      <c r="K46">
        <v>43946</v>
      </c>
      <c r="L46">
        <v>0.022066936373666</v>
      </c>
      <c r="M46">
        <v>0.001539935434636375</v>
      </c>
      <c r="N46">
        <v>0.05</v>
      </c>
      <c r="O46">
        <v>0.0720519662351391</v>
      </c>
      <c r="P46" t="s">
        <v>635</v>
      </c>
      <c r="Q46" t="s">
        <v>636</v>
      </c>
      <c r="R46">
        <v>26</v>
      </c>
      <c r="S46">
        <v>0.2857142857142857</v>
      </c>
      <c r="T46">
        <v>137</v>
      </c>
      <c r="U46">
        <v>0.9923357664233576</v>
      </c>
      <c r="V46">
        <v>8.066599999999999</v>
      </c>
      <c r="W46">
        <v>10.5</v>
      </c>
      <c r="X46">
        <v>3</v>
      </c>
      <c r="Y46">
        <v>-0.097457</v>
      </c>
      <c r="Z46">
        <v>0.2809917355371901</v>
      </c>
      <c r="AA46">
        <v>0.5491143317230274</v>
      </c>
      <c r="AB46">
        <v>0.5160771704180064</v>
      </c>
      <c r="AC46">
        <v>0.612540192926045</v>
      </c>
      <c r="AD46">
        <v>0.5032154340836013</v>
      </c>
    </row>
    <row r="47" spans="1:30">
      <c r="A47" s="1" t="s">
        <v>54</v>
      </c>
      <c r="B47">
        <f>HYPERLINK("https://www.suredividend.com/sure-analysis-CAH/","Cardinal Health, Inc.")</f>
        <v>0</v>
      </c>
      <c r="C47">
        <v>53.13</v>
      </c>
      <c r="D47">
        <v>15513.21618</v>
      </c>
      <c r="E47" t="s">
        <v>659</v>
      </c>
      <c r="F47" t="s">
        <v>631</v>
      </c>
      <c r="G47" t="s">
        <v>670</v>
      </c>
      <c r="H47" t="s">
        <v>699</v>
      </c>
      <c r="I47" t="s">
        <v>749</v>
      </c>
      <c r="J47" t="s">
        <v>1314</v>
      </c>
      <c r="K47">
        <v>43964</v>
      </c>
      <c r="L47">
        <v>0.036220591003199</v>
      </c>
      <c r="M47">
        <v>-0.0004898453687097737</v>
      </c>
      <c r="N47">
        <v>0.04</v>
      </c>
      <c r="O47">
        <v>0.07177546944828395</v>
      </c>
      <c r="P47" t="s">
        <v>635</v>
      </c>
      <c r="Q47" t="s">
        <v>635</v>
      </c>
      <c r="R47">
        <v>33</v>
      </c>
      <c r="S47">
        <v>0.3630943396226415</v>
      </c>
      <c r="T47">
        <v>53</v>
      </c>
      <c r="U47">
        <v>1.002452830188679</v>
      </c>
      <c r="V47">
        <v>-14.0253</v>
      </c>
      <c r="W47">
        <v>5.3</v>
      </c>
      <c r="X47">
        <v>1.9244</v>
      </c>
      <c r="Y47">
        <v>0.175703</v>
      </c>
      <c r="Z47">
        <v>0.4975206611570248</v>
      </c>
      <c r="AA47">
        <v>0.8438003220611917</v>
      </c>
      <c r="AB47">
        <v>0.3794212218649518</v>
      </c>
      <c r="AC47">
        <v>0.6077170418006431</v>
      </c>
      <c r="AD47">
        <v>0.5</v>
      </c>
    </row>
    <row r="48" spans="1:30">
      <c r="A48" s="1" t="s">
        <v>55</v>
      </c>
      <c r="B48">
        <f>HYPERLINK("https://www.suredividend.com/sure-analysis-SEIC/","SEI Investments Co.")</f>
        <v>0</v>
      </c>
      <c r="C48">
        <v>57.15</v>
      </c>
      <c r="D48">
        <v>8454.3138</v>
      </c>
      <c r="E48" t="s">
        <v>663</v>
      </c>
      <c r="F48" t="s">
        <v>631</v>
      </c>
      <c r="G48" t="s">
        <v>670</v>
      </c>
      <c r="H48" t="s">
        <v>701</v>
      </c>
      <c r="I48" t="s">
        <v>750</v>
      </c>
      <c r="J48" t="s">
        <v>1311</v>
      </c>
      <c r="K48">
        <v>43954</v>
      </c>
      <c r="L48">
        <v>0.011898512685914</v>
      </c>
      <c r="M48">
        <v>-0.03835157501349762</v>
      </c>
      <c r="N48">
        <v>0.1</v>
      </c>
      <c r="O48">
        <v>0.06993935422696929</v>
      </c>
      <c r="P48" t="s">
        <v>635</v>
      </c>
      <c r="Q48" t="s">
        <v>383</v>
      </c>
      <c r="R48">
        <v>29</v>
      </c>
      <c r="S48">
        <v>0.2472727272727273</v>
      </c>
      <c r="T48">
        <v>47</v>
      </c>
      <c r="U48">
        <v>1.215957446808511</v>
      </c>
      <c r="V48">
        <v>3.2978</v>
      </c>
      <c r="W48">
        <v>2.75</v>
      </c>
      <c r="X48">
        <v>0.68</v>
      </c>
      <c r="Y48">
        <v>0.015819</v>
      </c>
      <c r="Z48">
        <v>0.09586776859504133</v>
      </c>
      <c r="AA48">
        <v>0.7053140096618357</v>
      </c>
      <c r="AB48">
        <v>0.9051446945337621</v>
      </c>
      <c r="AC48">
        <v>0.3536977491961414</v>
      </c>
      <c r="AD48">
        <v>0.4823151125401929</v>
      </c>
    </row>
    <row r="49" spans="1:30">
      <c r="A49" s="1" t="s">
        <v>56</v>
      </c>
      <c r="B49">
        <f>HYPERLINK("https://www.suredividend.com/sure-analysis-SON/","Sonoco Products Co.")</f>
        <v>0</v>
      </c>
      <c r="C49">
        <v>54.7</v>
      </c>
      <c r="D49">
        <v>5487.9963</v>
      </c>
      <c r="E49" t="s">
        <v>664</v>
      </c>
      <c r="F49" t="s">
        <v>631</v>
      </c>
      <c r="G49" t="s">
        <v>670</v>
      </c>
      <c r="H49" t="s">
        <v>699</v>
      </c>
      <c r="I49" t="s">
        <v>751</v>
      </c>
      <c r="J49" t="s">
        <v>1312</v>
      </c>
      <c r="K49">
        <v>44029</v>
      </c>
      <c r="L49">
        <v>0.03144424131627</v>
      </c>
      <c r="M49">
        <v>-0.01390996517732923</v>
      </c>
      <c r="N49">
        <v>0.05</v>
      </c>
      <c r="O49">
        <v>0.06539593053611847</v>
      </c>
      <c r="P49" t="s">
        <v>635</v>
      </c>
      <c r="Q49" t="s">
        <v>636</v>
      </c>
      <c r="R49">
        <v>37</v>
      </c>
      <c r="S49">
        <v>0.5292307692307692</v>
      </c>
      <c r="T49">
        <v>51</v>
      </c>
      <c r="U49">
        <v>1.072549019607843</v>
      </c>
      <c r="V49">
        <v>2.9647</v>
      </c>
      <c r="W49">
        <v>3.25</v>
      </c>
      <c r="X49">
        <v>1.72</v>
      </c>
      <c r="Y49">
        <v>-0.112733</v>
      </c>
      <c r="Z49">
        <v>0.4115702479338843</v>
      </c>
      <c r="AA49">
        <v>0.5281803542673108</v>
      </c>
      <c r="AB49">
        <v>0.5160771704180064</v>
      </c>
      <c r="AC49">
        <v>0.5305466237942122</v>
      </c>
      <c r="AD49">
        <v>0.4453376205787782</v>
      </c>
    </row>
    <row r="50" spans="1:30">
      <c r="A50" s="1" t="s">
        <v>57</v>
      </c>
      <c r="B50">
        <f>HYPERLINK("https://www.suredividend.com/sure-analysis-ATO/","Atmos Energy Corp.")</f>
        <v>0</v>
      </c>
      <c r="C50">
        <v>101.06</v>
      </c>
      <c r="D50">
        <v>12360.85072</v>
      </c>
      <c r="E50" t="s">
        <v>663</v>
      </c>
      <c r="F50" t="s">
        <v>631</v>
      </c>
      <c r="G50" t="s">
        <v>670</v>
      </c>
      <c r="H50" t="s">
        <v>699</v>
      </c>
      <c r="I50" t="s">
        <v>752</v>
      </c>
      <c r="J50" t="s">
        <v>1315</v>
      </c>
      <c r="K50">
        <v>43959</v>
      </c>
      <c r="L50">
        <v>0.021769245992479</v>
      </c>
      <c r="M50">
        <v>-0.02729605858279238</v>
      </c>
      <c r="N50">
        <v>0.07000000000000001</v>
      </c>
      <c r="O50">
        <v>0.06428789576186178</v>
      </c>
      <c r="P50" t="s">
        <v>635</v>
      </c>
      <c r="Q50" t="s">
        <v>636</v>
      </c>
      <c r="R50">
        <v>36</v>
      </c>
      <c r="S50">
        <v>0.4731182795698925</v>
      </c>
      <c r="T50">
        <v>88</v>
      </c>
      <c r="U50">
        <v>1.148409090909091</v>
      </c>
      <c r="V50">
        <v>4.5924</v>
      </c>
      <c r="W50">
        <v>4.65</v>
      </c>
      <c r="X50">
        <v>2.2</v>
      </c>
      <c r="Y50">
        <v>-0.067798</v>
      </c>
      <c r="Z50">
        <v>0.2760330578512397</v>
      </c>
      <c r="AA50">
        <v>0.607085346215781</v>
      </c>
      <c r="AB50">
        <v>0.7387459807073955</v>
      </c>
      <c r="AC50">
        <v>0.4372990353697749</v>
      </c>
      <c r="AD50">
        <v>0.4421221864951769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87.86</v>
      </c>
      <c r="D51">
        <v>12674.6836</v>
      </c>
      <c r="E51" t="s">
        <v>663</v>
      </c>
      <c r="F51" t="s">
        <v>631</v>
      </c>
      <c r="G51" t="s">
        <v>670</v>
      </c>
      <c r="H51" t="s">
        <v>699</v>
      </c>
      <c r="I51" t="s">
        <v>753</v>
      </c>
      <c r="J51" t="s">
        <v>1312</v>
      </c>
      <c r="K51">
        <v>43960</v>
      </c>
      <c r="L51">
        <v>0.035027316184839</v>
      </c>
      <c r="M51">
        <v>0.0003184858919804689</v>
      </c>
      <c r="N51">
        <v>0.03</v>
      </c>
      <c r="O51">
        <v>0.06306593651476211</v>
      </c>
      <c r="P51" t="s">
        <v>635</v>
      </c>
      <c r="Q51" t="s">
        <v>635</v>
      </c>
      <c r="R51">
        <v>64</v>
      </c>
      <c r="S51">
        <v>0.779113924050633</v>
      </c>
      <c r="T51">
        <v>88</v>
      </c>
      <c r="U51">
        <v>0.9984090909090909</v>
      </c>
      <c r="V51">
        <v>4.1018</v>
      </c>
      <c r="W51">
        <v>3.95</v>
      </c>
      <c r="X51">
        <v>3.0775</v>
      </c>
      <c r="Y51">
        <v>-0.09988699999999999</v>
      </c>
      <c r="Z51">
        <v>0.4776859504132231</v>
      </c>
      <c r="AA51">
        <v>0.5442834138486312</v>
      </c>
      <c r="AB51">
        <v>0.247588424437299</v>
      </c>
      <c r="AC51">
        <v>0.6093247588424437</v>
      </c>
      <c r="AD51">
        <v>0.4340836012861736</v>
      </c>
    </row>
    <row r="52" spans="1:30">
      <c r="A52" s="1" t="s">
        <v>59</v>
      </c>
      <c r="B52">
        <f>HYPERLINK("https://www.suredividend.com/sure-analysis-PH/","Parker-Hannifin Corp.")</f>
        <v>0</v>
      </c>
      <c r="C52">
        <v>184.96</v>
      </c>
      <c r="D52">
        <v>23715.01632</v>
      </c>
      <c r="E52" t="s">
        <v>662</v>
      </c>
      <c r="F52" t="s">
        <v>631</v>
      </c>
      <c r="G52" t="s">
        <v>670</v>
      </c>
      <c r="H52" t="s">
        <v>699</v>
      </c>
      <c r="I52" t="s">
        <v>754</v>
      </c>
      <c r="J52" t="s">
        <v>1313</v>
      </c>
      <c r="K52">
        <v>43963</v>
      </c>
      <c r="L52">
        <v>0.019031141868512</v>
      </c>
      <c r="M52">
        <v>-0.05282929091976085</v>
      </c>
      <c r="N52">
        <v>0.1</v>
      </c>
      <c r="O52">
        <v>0.06072290539028669</v>
      </c>
      <c r="P52" t="s">
        <v>635</v>
      </c>
      <c r="Q52" t="s">
        <v>636</v>
      </c>
      <c r="R52">
        <v>63</v>
      </c>
      <c r="S52">
        <v>0.374468085106383</v>
      </c>
      <c r="T52">
        <v>141</v>
      </c>
      <c r="U52">
        <v>1.31177304964539</v>
      </c>
      <c r="V52">
        <v>10.3109</v>
      </c>
      <c r="W52">
        <v>9.4</v>
      </c>
      <c r="X52">
        <v>3.52</v>
      </c>
      <c r="Y52">
        <v>0.115763</v>
      </c>
      <c r="Z52">
        <v>0.2231404958677686</v>
      </c>
      <c r="AA52">
        <v>0.8051529790660226</v>
      </c>
      <c r="AB52">
        <v>0.9051446945337621</v>
      </c>
      <c r="AC52">
        <v>0.2749196141479099</v>
      </c>
      <c r="AD52">
        <v>0.4196141479099678</v>
      </c>
    </row>
    <row r="53" spans="1:30">
      <c r="A53" s="1" t="s">
        <v>60</v>
      </c>
      <c r="B53">
        <f>HYPERLINK("https://www.suredividend.com/sure-analysis-DPZ/","Domino's Pizza, Inc.")</f>
        <v>0</v>
      </c>
      <c r="C53">
        <v>390.22</v>
      </c>
      <c r="D53">
        <v>15355.376694</v>
      </c>
      <c r="E53" t="s">
        <v>662</v>
      </c>
      <c r="F53" t="s">
        <v>631</v>
      </c>
      <c r="G53" t="s">
        <v>670</v>
      </c>
      <c r="H53" t="s">
        <v>699</v>
      </c>
      <c r="I53" t="s">
        <v>755</v>
      </c>
      <c r="J53" t="s">
        <v>1312</v>
      </c>
      <c r="K53">
        <v>43945</v>
      </c>
      <c r="L53">
        <v>0.007329198913433001</v>
      </c>
      <c r="M53">
        <v>-0.06223205783844155</v>
      </c>
      <c r="N53">
        <v>0.12</v>
      </c>
      <c r="O53">
        <v>0.05975276232608828</v>
      </c>
      <c r="P53" t="s">
        <v>635</v>
      </c>
      <c r="Q53" t="s">
        <v>300</v>
      </c>
      <c r="R53">
        <v>7</v>
      </c>
      <c r="S53">
        <v>0.248695652173913</v>
      </c>
      <c r="T53">
        <v>283</v>
      </c>
      <c r="U53">
        <v>1.37886925795053</v>
      </c>
      <c r="V53">
        <v>11.494</v>
      </c>
      <c r="W53">
        <v>11.5</v>
      </c>
      <c r="X53">
        <v>2.86</v>
      </c>
      <c r="Y53">
        <v>0.5443249999999999</v>
      </c>
      <c r="Z53">
        <v>0.04132231404958677</v>
      </c>
      <c r="AA53">
        <v>0.9742351046698873</v>
      </c>
      <c r="AB53">
        <v>0.9461414790996784</v>
      </c>
      <c r="AC53">
        <v>0.2218649517684887</v>
      </c>
      <c r="AD53">
        <v>0.4163987138263666</v>
      </c>
    </row>
    <row r="54" spans="1:30">
      <c r="A54" s="1" t="s">
        <v>61</v>
      </c>
      <c r="B54">
        <f>HYPERLINK("https://www.suredividend.com/sure-analysis-DCI/","Donaldson Co., Inc.")</f>
        <v>0</v>
      </c>
      <c r="C54">
        <v>48.09</v>
      </c>
      <c r="D54">
        <v>6065.54361</v>
      </c>
      <c r="E54" t="s">
        <v>663</v>
      </c>
      <c r="F54" t="s">
        <v>631</v>
      </c>
      <c r="G54" t="s">
        <v>670</v>
      </c>
      <c r="H54" t="s">
        <v>699</v>
      </c>
      <c r="I54" t="s">
        <v>756</v>
      </c>
      <c r="J54" t="s">
        <v>1313</v>
      </c>
      <c r="K54">
        <v>43991</v>
      </c>
      <c r="L54">
        <v>0.017467248908296</v>
      </c>
      <c r="M54">
        <v>-0.03616866197613056</v>
      </c>
      <c r="N54">
        <v>0.08</v>
      </c>
      <c r="O54">
        <v>0.05910414482111048</v>
      </c>
      <c r="P54" t="s">
        <v>635</v>
      </c>
      <c r="Q54" t="s">
        <v>383</v>
      </c>
      <c r="R54">
        <v>33</v>
      </c>
      <c r="S54">
        <v>0.4421052631578947</v>
      </c>
      <c r="T54">
        <v>40</v>
      </c>
      <c r="U54">
        <v>1.20225</v>
      </c>
      <c r="V54">
        <v>1.9716</v>
      </c>
      <c r="W54">
        <v>1.9</v>
      </c>
      <c r="X54">
        <v>0.84</v>
      </c>
      <c r="Y54">
        <v>-0.00702</v>
      </c>
      <c r="Z54">
        <v>0.1801652892561983</v>
      </c>
      <c r="AA54">
        <v>0.6731078904991947</v>
      </c>
      <c r="AB54">
        <v>0.8127009646302251</v>
      </c>
      <c r="AC54">
        <v>0.3633440514469454</v>
      </c>
      <c r="AD54">
        <v>0.4131832797427653</v>
      </c>
    </row>
    <row r="55" spans="1:30">
      <c r="A55" s="1" t="s">
        <v>62</v>
      </c>
      <c r="B55">
        <f>HYPERLINK("https://www.suredividend.com/sure-analysis-BDX/","Becton, Dickinson &amp; Co.")</f>
        <v>0</v>
      </c>
      <c r="C55">
        <v>266.98</v>
      </c>
      <c r="D55">
        <v>75683.22341999999</v>
      </c>
      <c r="E55" t="s">
        <v>664</v>
      </c>
      <c r="F55" t="s">
        <v>631</v>
      </c>
      <c r="G55" t="s">
        <v>670</v>
      </c>
      <c r="H55" t="s">
        <v>699</v>
      </c>
      <c r="I55" t="s">
        <v>757</v>
      </c>
      <c r="J55" t="s">
        <v>1314</v>
      </c>
      <c r="K55">
        <v>43963</v>
      </c>
      <c r="L55">
        <v>0.011686268634354</v>
      </c>
      <c r="M55">
        <v>-0.04961773507660394</v>
      </c>
      <c r="N55">
        <v>0.1</v>
      </c>
      <c r="O55">
        <v>0.05840468679681066</v>
      </c>
      <c r="P55" t="s">
        <v>635</v>
      </c>
      <c r="Q55" t="s">
        <v>383</v>
      </c>
      <c r="R55">
        <v>48</v>
      </c>
      <c r="S55">
        <v>0.2775800711743772</v>
      </c>
      <c r="T55">
        <v>207</v>
      </c>
      <c r="U55">
        <v>1.28975845410628</v>
      </c>
      <c r="V55">
        <v>3.3583</v>
      </c>
      <c r="W55">
        <v>11.24</v>
      </c>
      <c r="X55">
        <v>3.12</v>
      </c>
      <c r="Y55">
        <v>0.051806</v>
      </c>
      <c r="Z55">
        <v>0.09421487603305785</v>
      </c>
      <c r="AA55">
        <v>0.748792270531401</v>
      </c>
      <c r="AB55">
        <v>0.9051446945337621</v>
      </c>
      <c r="AC55">
        <v>0.2958199356913183</v>
      </c>
      <c r="AD55">
        <v>0.409967845659164</v>
      </c>
    </row>
    <row r="56" spans="1:30">
      <c r="A56" s="1" t="s">
        <v>63</v>
      </c>
      <c r="B56">
        <f>HYPERLINK("https://www.suredividend.com/sure-analysis-MMM/","3M Co.")</f>
        <v>0</v>
      </c>
      <c r="C56">
        <v>159.83</v>
      </c>
      <c r="D56">
        <v>91933.57668</v>
      </c>
      <c r="E56" t="s">
        <v>664</v>
      </c>
      <c r="F56" t="s">
        <v>631</v>
      </c>
      <c r="G56" t="s">
        <v>670</v>
      </c>
      <c r="H56" t="s">
        <v>699</v>
      </c>
      <c r="I56" t="s">
        <v>758</v>
      </c>
      <c r="J56" t="s">
        <v>1313</v>
      </c>
      <c r="K56">
        <v>43949</v>
      </c>
      <c r="L56">
        <v>0.036225990114496</v>
      </c>
      <c r="M56">
        <v>-0.02754099969724744</v>
      </c>
      <c r="N56">
        <v>0.05</v>
      </c>
      <c r="O56">
        <v>0.05471463469428572</v>
      </c>
      <c r="P56" t="s">
        <v>635</v>
      </c>
      <c r="Q56" t="s">
        <v>635</v>
      </c>
      <c r="R56">
        <v>62</v>
      </c>
      <c r="S56">
        <v>0.6868327402135231</v>
      </c>
      <c r="T56">
        <v>139</v>
      </c>
      <c r="U56">
        <v>1.149856115107914</v>
      </c>
      <c r="V56">
        <v>8.6172</v>
      </c>
      <c r="W56">
        <v>8.43</v>
      </c>
      <c r="X56">
        <v>5.79</v>
      </c>
      <c r="Y56">
        <v>-0.076447</v>
      </c>
      <c r="Z56">
        <v>0.4991735537190082</v>
      </c>
      <c r="AA56">
        <v>0.5861513687600644</v>
      </c>
      <c r="AB56">
        <v>0.5160771704180064</v>
      </c>
      <c r="AC56">
        <v>0.4356913183279743</v>
      </c>
      <c r="AD56">
        <v>0.3810289389067524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144.37</v>
      </c>
      <c r="D57">
        <v>49164.77039</v>
      </c>
      <c r="E57" t="s">
        <v>663</v>
      </c>
      <c r="F57" t="s">
        <v>631</v>
      </c>
      <c r="G57" t="s">
        <v>670</v>
      </c>
      <c r="H57" t="s">
        <v>699</v>
      </c>
      <c r="I57" t="s">
        <v>759</v>
      </c>
      <c r="J57" t="s">
        <v>1318</v>
      </c>
      <c r="K57">
        <v>43945</v>
      </c>
      <c r="L57">
        <v>0.028814850730761</v>
      </c>
      <c r="M57">
        <v>-0.01479735670722659</v>
      </c>
      <c r="N57">
        <v>0.04</v>
      </c>
      <c r="O57">
        <v>0.05321092639444469</v>
      </c>
      <c r="P57" t="s">
        <v>635</v>
      </c>
      <c r="Q57" t="s">
        <v>636</v>
      </c>
      <c r="R57">
        <v>48</v>
      </c>
      <c r="S57">
        <v>0.5583892617449665</v>
      </c>
      <c r="T57">
        <v>134</v>
      </c>
      <c r="U57">
        <v>1.077388059701493</v>
      </c>
      <c r="V57">
        <v>6.894</v>
      </c>
      <c r="W57">
        <v>7.45</v>
      </c>
      <c r="X57">
        <v>4.16</v>
      </c>
      <c r="Y57">
        <v>0.049658</v>
      </c>
      <c r="Z57">
        <v>0.3801652892561984</v>
      </c>
      <c r="AA57">
        <v>0.747181964573269</v>
      </c>
      <c r="AB57">
        <v>0.3794212218649518</v>
      </c>
      <c r="AC57">
        <v>0.517684887459807</v>
      </c>
      <c r="AD57">
        <v>0.3697749196141479</v>
      </c>
    </row>
    <row r="58" spans="1:30">
      <c r="A58" s="1" t="s">
        <v>65</v>
      </c>
      <c r="B58">
        <f>HYPERLINK("https://www.suredividend.com/sure-analysis-MDT/","Medtronic Plc")</f>
        <v>0</v>
      </c>
      <c r="C58">
        <v>98.58</v>
      </c>
      <c r="D58">
        <v>132225.354</v>
      </c>
      <c r="E58" t="s">
        <v>659</v>
      </c>
      <c r="F58" t="s">
        <v>631</v>
      </c>
      <c r="G58" t="s">
        <v>675</v>
      </c>
      <c r="H58" t="s">
        <v>699</v>
      </c>
      <c r="I58" t="s">
        <v>760</v>
      </c>
      <c r="J58" t="s">
        <v>1314</v>
      </c>
      <c r="K58">
        <v>43979</v>
      </c>
      <c r="L58">
        <v>0.021911138161898</v>
      </c>
      <c r="M58">
        <v>-0.04090807469838487</v>
      </c>
      <c r="N58">
        <v>0.07000000000000001</v>
      </c>
      <c r="O58">
        <v>0.05185945307554962</v>
      </c>
      <c r="P58" t="s">
        <v>635</v>
      </c>
      <c r="Q58" t="s">
        <v>636</v>
      </c>
      <c r="R58">
        <v>43</v>
      </c>
      <c r="S58">
        <v>0.4320000000000001</v>
      </c>
      <c r="T58">
        <v>80</v>
      </c>
      <c r="U58">
        <v>1.23225</v>
      </c>
      <c r="V58">
        <v>3.5721</v>
      </c>
      <c r="W58">
        <v>5</v>
      </c>
      <c r="X58">
        <v>2.16</v>
      </c>
      <c r="Y58">
        <v>-0.027235</v>
      </c>
      <c r="Z58">
        <v>0.2776859504132231</v>
      </c>
      <c r="AA58">
        <v>0.6570048309178743</v>
      </c>
      <c r="AB58">
        <v>0.7387459807073955</v>
      </c>
      <c r="AC58">
        <v>0.3360128617363344</v>
      </c>
      <c r="AD58">
        <v>0.364951768488746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149.35</v>
      </c>
      <c r="D59">
        <v>393476.0165</v>
      </c>
      <c r="E59" t="s">
        <v>664</v>
      </c>
      <c r="F59" t="s">
        <v>631</v>
      </c>
      <c r="G59" t="s">
        <v>670</v>
      </c>
      <c r="H59" t="s">
        <v>699</v>
      </c>
      <c r="I59" t="s">
        <v>761</v>
      </c>
      <c r="J59" t="s">
        <v>1314</v>
      </c>
      <c r="K59">
        <v>44028</v>
      </c>
      <c r="L59">
        <v>0.025845329762303</v>
      </c>
      <c r="M59">
        <v>-0.03651869623134751</v>
      </c>
      <c r="N59">
        <v>0.06</v>
      </c>
      <c r="O59">
        <v>0.04942376575440877</v>
      </c>
      <c r="P59" t="s">
        <v>635</v>
      </c>
      <c r="Q59" t="s">
        <v>635</v>
      </c>
      <c r="R59">
        <v>58</v>
      </c>
      <c r="S59">
        <v>0.4917197452229299</v>
      </c>
      <c r="T59">
        <v>124</v>
      </c>
      <c r="U59">
        <v>1.204435483870968</v>
      </c>
      <c r="W59">
        <v>7.85</v>
      </c>
      <c r="X59">
        <v>3.86</v>
      </c>
      <c r="Y59">
        <v>0.13084</v>
      </c>
      <c r="Z59">
        <v>0.3421487603305785</v>
      </c>
      <c r="AA59">
        <v>0.8148148148148148</v>
      </c>
      <c r="AB59">
        <v>0.6463022508038585</v>
      </c>
      <c r="AC59">
        <v>0.3585209003215434</v>
      </c>
      <c r="AD59">
        <v>0.3536977491961414</v>
      </c>
    </row>
    <row r="60" spans="1:30">
      <c r="A60" s="1" t="s">
        <v>67</v>
      </c>
      <c r="B60">
        <f>HYPERLINK("https://www.suredividend.com/sure-analysis-KR/","The Kroger Co.")</f>
        <v>0</v>
      </c>
      <c r="C60">
        <v>33.85</v>
      </c>
      <c r="D60">
        <v>26332.7951</v>
      </c>
      <c r="E60" t="s">
        <v>659</v>
      </c>
      <c r="F60" t="s">
        <v>631</v>
      </c>
      <c r="G60" t="s">
        <v>670</v>
      </c>
      <c r="H60" t="s">
        <v>699</v>
      </c>
      <c r="I60" t="s">
        <v>762</v>
      </c>
      <c r="J60" t="s">
        <v>1318</v>
      </c>
      <c r="K60">
        <v>44007</v>
      </c>
      <c r="L60">
        <v>0.018906942392909</v>
      </c>
      <c r="M60">
        <v>-0.01117767959831328</v>
      </c>
      <c r="N60">
        <v>0.04</v>
      </c>
      <c r="O60">
        <v>0.04760160841082306</v>
      </c>
      <c r="P60" t="s">
        <v>635</v>
      </c>
      <c r="Q60" t="s">
        <v>383</v>
      </c>
      <c r="R60">
        <v>13</v>
      </c>
      <c r="S60">
        <v>0.237037037037037</v>
      </c>
      <c r="T60">
        <v>32</v>
      </c>
      <c r="U60">
        <v>1.0578125</v>
      </c>
      <c r="V60">
        <v>2.6583</v>
      </c>
      <c r="W60">
        <v>2.7</v>
      </c>
      <c r="X60">
        <v>0.64</v>
      </c>
      <c r="Y60">
        <v>0.562789</v>
      </c>
      <c r="Z60">
        <v>0.2214876033057851</v>
      </c>
      <c r="AA60">
        <v>0.9758454106280193</v>
      </c>
      <c r="AB60">
        <v>0.3794212218649518</v>
      </c>
      <c r="AC60">
        <v>0.5434083601286174</v>
      </c>
      <c r="AD60">
        <v>0.3392282958199357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188.48</v>
      </c>
      <c r="D61">
        <v>47444.56256</v>
      </c>
      <c r="E61" t="s">
        <v>661</v>
      </c>
      <c r="F61" t="s">
        <v>631</v>
      </c>
      <c r="G61" t="s">
        <v>670</v>
      </c>
      <c r="H61" t="s">
        <v>699</v>
      </c>
      <c r="I61" t="s">
        <v>763</v>
      </c>
      <c r="J61" t="s">
        <v>1318</v>
      </c>
      <c r="K61">
        <v>44007</v>
      </c>
      <c r="L61">
        <v>0.007003395585738001</v>
      </c>
      <c r="M61">
        <v>-0.05505917129179183</v>
      </c>
      <c r="N61">
        <v>0.1</v>
      </c>
      <c r="O61">
        <v>0.04759755569009627</v>
      </c>
      <c r="P61" t="s">
        <v>635</v>
      </c>
      <c r="Q61" t="s">
        <v>300</v>
      </c>
      <c r="R61">
        <v>5</v>
      </c>
      <c r="S61">
        <v>0.16751269035533</v>
      </c>
      <c r="T61">
        <v>142</v>
      </c>
      <c r="U61">
        <v>1.327323943661972</v>
      </c>
      <c r="V61">
        <v>7.7768</v>
      </c>
      <c r="W61">
        <v>7.88</v>
      </c>
      <c r="X61">
        <v>1.32</v>
      </c>
      <c r="Y61">
        <v>0.319703</v>
      </c>
      <c r="Z61">
        <v>0.03471074380165289</v>
      </c>
      <c r="AA61">
        <v>0.9194847020933977</v>
      </c>
      <c r="AB61">
        <v>0.9051446945337621</v>
      </c>
      <c r="AC61">
        <v>0.2508038585209003</v>
      </c>
      <c r="AD61">
        <v>0.3376205787781351</v>
      </c>
    </row>
    <row r="62" spans="1:30">
      <c r="A62" s="1" t="s">
        <v>69</v>
      </c>
      <c r="B62">
        <f>HYPERLINK("https://www.suredividend.com/sure-analysis-BRC/","Brady Corp.")</f>
        <v>0</v>
      </c>
      <c r="C62">
        <v>47.22</v>
      </c>
      <c r="D62">
        <v>2453.561966</v>
      </c>
      <c r="E62" t="s">
        <v>664</v>
      </c>
      <c r="F62" t="s">
        <v>631</v>
      </c>
      <c r="G62" t="s">
        <v>670</v>
      </c>
      <c r="H62" t="s">
        <v>699</v>
      </c>
      <c r="I62" t="s">
        <v>764</v>
      </c>
      <c r="J62" t="s">
        <v>1313</v>
      </c>
      <c r="K62">
        <v>43973</v>
      </c>
      <c r="L62">
        <v>0.01831850910631</v>
      </c>
      <c r="M62">
        <v>-0.01854928765791508</v>
      </c>
      <c r="N62">
        <v>0.05</v>
      </c>
      <c r="O62">
        <v>0.04689075395426667</v>
      </c>
      <c r="P62" t="s">
        <v>635</v>
      </c>
      <c r="Q62" t="s">
        <v>636</v>
      </c>
      <c r="R62">
        <v>34</v>
      </c>
      <c r="S62">
        <v>0.3680851063829787</v>
      </c>
      <c r="T62">
        <v>43</v>
      </c>
      <c r="U62">
        <v>1.098139534883721</v>
      </c>
      <c r="V62">
        <v>2.2863</v>
      </c>
      <c r="W62">
        <v>2.35</v>
      </c>
      <c r="X62">
        <v>0.865</v>
      </c>
      <c r="Y62">
        <v>-0.071021</v>
      </c>
      <c r="Z62">
        <v>0.2066115702479339</v>
      </c>
      <c r="AA62">
        <v>0.6006441223832528</v>
      </c>
      <c r="AB62">
        <v>0.5160771704180064</v>
      </c>
      <c r="AC62">
        <v>0.4919614147909968</v>
      </c>
      <c r="AD62">
        <v>0.3295819935691318</v>
      </c>
    </row>
    <row r="63" spans="1:30">
      <c r="A63" s="1" t="s">
        <v>70</v>
      </c>
      <c r="B63">
        <f>HYPERLINK("https://www.suredividend.com/sure-analysis-EMR/","Emerson Electric Co.")</f>
        <v>0</v>
      </c>
      <c r="C63">
        <v>63.53</v>
      </c>
      <c r="D63">
        <v>37957.58675</v>
      </c>
      <c r="E63" t="s">
        <v>663</v>
      </c>
      <c r="F63" t="s">
        <v>631</v>
      </c>
      <c r="G63" t="s">
        <v>670</v>
      </c>
      <c r="H63" t="s">
        <v>699</v>
      </c>
      <c r="I63" t="s">
        <v>765</v>
      </c>
      <c r="J63" t="s">
        <v>1313</v>
      </c>
      <c r="K63">
        <v>43965</v>
      </c>
      <c r="L63">
        <v>0.031166378089091</v>
      </c>
      <c r="M63">
        <v>-0.03198300761493933</v>
      </c>
      <c r="N63">
        <v>0.05</v>
      </c>
      <c r="O63">
        <v>0.04681592948098245</v>
      </c>
      <c r="P63" t="s">
        <v>635</v>
      </c>
      <c r="Q63" t="s">
        <v>635</v>
      </c>
      <c r="R63">
        <v>63</v>
      </c>
      <c r="S63">
        <v>0.66</v>
      </c>
      <c r="T63">
        <v>54</v>
      </c>
      <c r="U63">
        <v>1.176481481481481</v>
      </c>
      <c r="V63">
        <v>3.5356</v>
      </c>
      <c r="W63">
        <v>3</v>
      </c>
      <c r="X63">
        <v>1.98</v>
      </c>
      <c r="Y63">
        <v>-0.010898</v>
      </c>
      <c r="Z63">
        <v>0.4099173553719008</v>
      </c>
      <c r="AA63">
        <v>0.6714975845410628</v>
      </c>
      <c r="AB63">
        <v>0.5160771704180064</v>
      </c>
      <c r="AC63">
        <v>0.3922829581993569</v>
      </c>
      <c r="AD63">
        <v>0.3279742765273312</v>
      </c>
    </row>
    <row r="64" spans="1:30">
      <c r="A64" s="1" t="s">
        <v>71</v>
      </c>
      <c r="B64">
        <f>HYPERLINK("https://www.suredividend.com/sure-analysis-TGT/","Target Corp.")</f>
        <v>0</v>
      </c>
      <c r="C64">
        <v>121.67</v>
      </c>
      <c r="D64">
        <v>60836.82505</v>
      </c>
      <c r="E64" t="s">
        <v>663</v>
      </c>
      <c r="F64" t="s">
        <v>631</v>
      </c>
      <c r="G64" t="s">
        <v>670</v>
      </c>
      <c r="H64" t="s">
        <v>699</v>
      </c>
      <c r="I64" t="s">
        <v>766</v>
      </c>
      <c r="J64" t="s">
        <v>1318</v>
      </c>
      <c r="K64">
        <v>43984</v>
      </c>
      <c r="L64">
        <v>0.021698035670255</v>
      </c>
      <c r="M64">
        <v>-0.03465326345930597</v>
      </c>
      <c r="N64">
        <v>0.06</v>
      </c>
      <c r="O64">
        <v>0.0458845200471909</v>
      </c>
      <c r="P64" t="s">
        <v>635</v>
      </c>
      <c r="Q64" t="s">
        <v>636</v>
      </c>
      <c r="R64">
        <v>52</v>
      </c>
      <c r="S64">
        <v>0.528</v>
      </c>
      <c r="T64">
        <v>102</v>
      </c>
      <c r="U64">
        <v>1.192843137254902</v>
      </c>
      <c r="V64">
        <v>5.4469</v>
      </c>
      <c r="W64">
        <v>5</v>
      </c>
      <c r="X64">
        <v>2.64</v>
      </c>
      <c r="Y64">
        <v>0.374802</v>
      </c>
      <c r="Z64">
        <v>0.2743801652892562</v>
      </c>
      <c r="AA64">
        <v>0.930756843800322</v>
      </c>
      <c r="AB64">
        <v>0.6463022508038585</v>
      </c>
      <c r="AC64">
        <v>0.3729903536977492</v>
      </c>
      <c r="AD64">
        <v>0.3183279742765273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274.04</v>
      </c>
      <c r="D65">
        <v>37168.59328</v>
      </c>
      <c r="E65" t="s">
        <v>668</v>
      </c>
      <c r="F65" t="s">
        <v>631</v>
      </c>
      <c r="G65" t="s">
        <v>671</v>
      </c>
      <c r="H65" t="s">
        <v>699</v>
      </c>
      <c r="I65" t="s">
        <v>767</v>
      </c>
      <c r="J65" t="s">
        <v>1313</v>
      </c>
      <c r="K65">
        <v>43951</v>
      </c>
      <c r="L65">
        <v>0.009103483704927001</v>
      </c>
      <c r="M65">
        <v>-0.04038245251558148</v>
      </c>
      <c r="N65">
        <v>0.075</v>
      </c>
      <c r="O65">
        <v>0.04541130921339143</v>
      </c>
      <c r="P65" t="s">
        <v>635</v>
      </c>
      <c r="Q65" t="s">
        <v>300</v>
      </c>
      <c r="R65">
        <v>4</v>
      </c>
      <c r="S65">
        <v>0.2013493684017918</v>
      </c>
      <c r="T65">
        <v>223</v>
      </c>
      <c r="U65">
        <v>1.228878923766816</v>
      </c>
      <c r="V65">
        <v>13.1529</v>
      </c>
      <c r="W65">
        <v>12.39</v>
      </c>
      <c r="X65">
        <v>2.4947186744982</v>
      </c>
      <c r="Y65">
        <v>0.133708</v>
      </c>
      <c r="Z65">
        <v>0.06280991735537191</v>
      </c>
      <c r="AA65">
        <v>0.8180354267310789</v>
      </c>
      <c r="AB65">
        <v>0.7781350482315113</v>
      </c>
      <c r="AC65">
        <v>0.3376205787781351</v>
      </c>
      <c r="AD65">
        <v>0.3167202572347267</v>
      </c>
    </row>
    <row r="66" spans="1:30">
      <c r="A66" s="1" t="s">
        <v>73</v>
      </c>
      <c r="B66">
        <f>HYPERLINK("https://www.suredividend.com/sure-analysis-AROW/","Arrow Financial Corp.")</f>
        <v>0</v>
      </c>
      <c r="C66">
        <v>28.39</v>
      </c>
      <c r="D66">
        <v>425.387243</v>
      </c>
      <c r="E66" t="s">
        <v>663</v>
      </c>
      <c r="F66" t="s">
        <v>631</v>
      </c>
      <c r="G66" t="s">
        <v>670</v>
      </c>
      <c r="H66" t="s">
        <v>701</v>
      </c>
      <c r="I66" t="s">
        <v>768</v>
      </c>
      <c r="J66" t="s">
        <v>1311</v>
      </c>
      <c r="K66">
        <v>43951</v>
      </c>
      <c r="L66">
        <v>0.036099330750264</v>
      </c>
      <c r="M66">
        <v>-0.002762668849212613</v>
      </c>
      <c r="N66">
        <v>0.01</v>
      </c>
      <c r="O66">
        <v>0.04453175637848061</v>
      </c>
      <c r="P66" t="s">
        <v>635</v>
      </c>
      <c r="Q66" t="s">
        <v>635</v>
      </c>
      <c r="R66">
        <v>26</v>
      </c>
      <c r="S66">
        <v>0.4455913043478262</v>
      </c>
      <c r="T66">
        <v>28</v>
      </c>
      <c r="U66">
        <v>1.013928571428572</v>
      </c>
      <c r="V66">
        <v>2.4641</v>
      </c>
      <c r="W66">
        <v>2.3</v>
      </c>
      <c r="X66">
        <v>1.02486</v>
      </c>
      <c r="Y66">
        <v>-0.134604</v>
      </c>
      <c r="Z66">
        <v>0.4958677685950413</v>
      </c>
      <c r="AA66">
        <v>0.4959742351046699</v>
      </c>
      <c r="AB66">
        <v>0.0819935691318328</v>
      </c>
      <c r="AC66">
        <v>0.5932475884244373</v>
      </c>
      <c r="AD66">
        <v>0.3118971061093248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103.58</v>
      </c>
      <c r="D67">
        <v>14910.03026</v>
      </c>
      <c r="E67" t="s">
        <v>664</v>
      </c>
      <c r="F67" t="s">
        <v>631</v>
      </c>
      <c r="G67" t="s">
        <v>670</v>
      </c>
      <c r="H67" t="s">
        <v>699</v>
      </c>
      <c r="I67" t="s">
        <v>769</v>
      </c>
      <c r="J67" t="s">
        <v>1313</v>
      </c>
      <c r="K67">
        <v>43944</v>
      </c>
      <c r="L67">
        <v>0.01882602819077</v>
      </c>
      <c r="M67">
        <v>-0.05273773551709438</v>
      </c>
      <c r="N67">
        <v>0.08</v>
      </c>
      <c r="O67">
        <v>0.04233897296223987</v>
      </c>
      <c r="P67" t="s">
        <v>635</v>
      </c>
      <c r="Q67" t="s">
        <v>636</v>
      </c>
      <c r="R67">
        <v>64</v>
      </c>
      <c r="S67">
        <v>0.4012345679012346</v>
      </c>
      <c r="T67">
        <v>79</v>
      </c>
      <c r="U67">
        <v>1.311139240506329</v>
      </c>
      <c r="V67">
        <v>5.1614</v>
      </c>
      <c r="W67">
        <v>4.86</v>
      </c>
      <c r="X67">
        <v>1.95</v>
      </c>
      <c r="Y67">
        <v>0.06541899999999999</v>
      </c>
      <c r="Z67">
        <v>0.2198347107438016</v>
      </c>
      <c r="AA67">
        <v>0.7616747181964573</v>
      </c>
      <c r="AB67">
        <v>0.8127009646302251</v>
      </c>
      <c r="AC67">
        <v>0.2765273311897106</v>
      </c>
      <c r="AD67">
        <v>0.2942122186495177</v>
      </c>
    </row>
    <row r="68" spans="1:30">
      <c r="A68" s="1" t="s">
        <v>75</v>
      </c>
      <c r="B68">
        <f>HYPERLINK("https://www.suredividend.com/sure-analysis-CSX/","CSX Corp.")</f>
        <v>0</v>
      </c>
      <c r="C68">
        <v>72.16</v>
      </c>
      <c r="D68">
        <v>55236.02656</v>
      </c>
      <c r="E68" t="s">
        <v>663</v>
      </c>
      <c r="F68" t="s">
        <v>631</v>
      </c>
      <c r="G68" t="s">
        <v>670</v>
      </c>
      <c r="H68" t="s">
        <v>701</v>
      </c>
      <c r="I68" t="s">
        <v>770</v>
      </c>
      <c r="J68" t="s">
        <v>1313</v>
      </c>
      <c r="K68">
        <v>43947</v>
      </c>
      <c r="L68">
        <v>0.013580931263858</v>
      </c>
      <c r="M68">
        <v>-0.05985277387068488</v>
      </c>
      <c r="N68">
        <v>0.09</v>
      </c>
      <c r="O68">
        <v>0.04220885506354621</v>
      </c>
      <c r="P68" t="s">
        <v>635</v>
      </c>
      <c r="Q68" t="s">
        <v>383</v>
      </c>
      <c r="R68">
        <v>16</v>
      </c>
      <c r="S68">
        <v>0.276056338028169</v>
      </c>
      <c r="T68">
        <v>53</v>
      </c>
      <c r="U68">
        <v>1.361509433962264</v>
      </c>
      <c r="V68">
        <v>4.1517</v>
      </c>
      <c r="W68">
        <v>3.55</v>
      </c>
      <c r="X68">
        <v>0.98</v>
      </c>
      <c r="Y68">
        <v>0.004594</v>
      </c>
      <c r="Z68">
        <v>0.1206611570247934</v>
      </c>
      <c r="AA68">
        <v>0.6908212560386474</v>
      </c>
      <c r="AB68">
        <v>0.8633440514469453</v>
      </c>
      <c r="AC68">
        <v>0.229903536977492</v>
      </c>
      <c r="AD68">
        <v>0.2926045016077171</v>
      </c>
    </row>
    <row r="69" spans="1:30">
      <c r="A69" s="1" t="s">
        <v>76</v>
      </c>
      <c r="B69">
        <f>HYPERLINK("https://www.suredividend.com/sure-analysis-MSA/","MSA Safety, Inc.")</f>
        <v>0</v>
      </c>
      <c r="C69">
        <v>116.22</v>
      </c>
      <c r="D69">
        <v>4515.20511</v>
      </c>
      <c r="E69" t="s">
        <v>659</v>
      </c>
      <c r="F69" t="s">
        <v>631</v>
      </c>
      <c r="G69" t="s">
        <v>670</v>
      </c>
      <c r="H69" t="s">
        <v>699</v>
      </c>
      <c r="I69" t="s">
        <v>771</v>
      </c>
      <c r="J69" t="s">
        <v>1313</v>
      </c>
      <c r="K69">
        <v>43958</v>
      </c>
      <c r="L69">
        <v>0.014541387024608</v>
      </c>
      <c r="M69">
        <v>-0.04155014393754064</v>
      </c>
      <c r="N69">
        <v>0.07000000000000001</v>
      </c>
      <c r="O69">
        <v>0.04203162427954577</v>
      </c>
      <c r="P69" t="s">
        <v>635</v>
      </c>
      <c r="Q69" t="s">
        <v>636</v>
      </c>
      <c r="R69">
        <v>48</v>
      </c>
      <c r="S69">
        <v>0.3595744680851063</v>
      </c>
      <c r="T69">
        <v>94</v>
      </c>
      <c r="U69">
        <v>1.236382978723404</v>
      </c>
      <c r="V69">
        <v>4.0452</v>
      </c>
      <c r="W69">
        <v>4.7</v>
      </c>
      <c r="X69">
        <v>1.69</v>
      </c>
      <c r="Y69">
        <v>0.088202</v>
      </c>
      <c r="Z69">
        <v>0.1289256198347107</v>
      </c>
      <c r="AA69">
        <v>0.7858293075684379</v>
      </c>
      <c r="AB69">
        <v>0.7387459807073955</v>
      </c>
      <c r="AC69">
        <v>0.3263665594855306</v>
      </c>
      <c r="AD69">
        <v>0.2909967845659164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31.39</v>
      </c>
      <c r="D70">
        <v>819.012185</v>
      </c>
      <c r="E70" t="s">
        <v>663</v>
      </c>
      <c r="F70" t="s">
        <v>631</v>
      </c>
      <c r="G70" t="s">
        <v>670</v>
      </c>
      <c r="H70" t="s">
        <v>699</v>
      </c>
      <c r="I70" t="s">
        <v>772</v>
      </c>
      <c r="J70" t="s">
        <v>1313</v>
      </c>
      <c r="K70">
        <v>43963</v>
      </c>
      <c r="L70">
        <v>0.01784007645747</v>
      </c>
      <c r="M70">
        <v>-0.05227140328512447</v>
      </c>
      <c r="N70">
        <v>0.08</v>
      </c>
      <c r="O70">
        <v>0.04113583366762374</v>
      </c>
      <c r="P70" t="s">
        <v>635</v>
      </c>
      <c r="Q70" t="s">
        <v>636</v>
      </c>
      <c r="R70">
        <v>47</v>
      </c>
      <c r="S70">
        <v>0.5090909090909091</v>
      </c>
      <c r="T70">
        <v>24</v>
      </c>
      <c r="U70">
        <v>1.307916666666667</v>
      </c>
      <c r="V70">
        <v>1.3055</v>
      </c>
      <c r="W70">
        <v>1.1</v>
      </c>
      <c r="X70">
        <v>0.5600000000000001</v>
      </c>
      <c r="Y70">
        <v>-0.004124</v>
      </c>
      <c r="Z70">
        <v>0.1933884297520661</v>
      </c>
      <c r="AA70">
        <v>0.677938808373591</v>
      </c>
      <c r="AB70">
        <v>0.8127009646302251</v>
      </c>
      <c r="AC70">
        <v>0.2829581993569132</v>
      </c>
      <c r="AD70">
        <v>0.2877813504823151</v>
      </c>
    </row>
    <row r="71" spans="1:30">
      <c r="A71" s="1" t="s">
        <v>78</v>
      </c>
      <c r="B71">
        <f>HYPERLINK("https://www.suredividend.com/sure-analysis-NWN/","Northwest Natural Holding Co.")</f>
        <v>0</v>
      </c>
      <c r="C71">
        <v>53.44</v>
      </c>
      <c r="D71">
        <v>1631.46976</v>
      </c>
      <c r="E71" t="s">
        <v>669</v>
      </c>
      <c r="F71" t="s">
        <v>631</v>
      </c>
      <c r="G71" t="s">
        <v>670</v>
      </c>
      <c r="H71" t="s">
        <v>699</v>
      </c>
      <c r="I71" t="s">
        <v>773</v>
      </c>
      <c r="J71" t="s">
        <v>1315</v>
      </c>
      <c r="K71">
        <v>44013</v>
      </c>
      <c r="L71">
        <v>0.035694236526946</v>
      </c>
      <c r="M71">
        <v>-0.02535539829234157</v>
      </c>
      <c r="N71">
        <v>0.029</v>
      </c>
      <c r="O71">
        <v>0.03818138467870158</v>
      </c>
      <c r="P71" t="s">
        <v>635</v>
      </c>
      <c r="Q71" t="s">
        <v>635</v>
      </c>
      <c r="R71">
        <v>64</v>
      </c>
      <c r="S71">
        <v>0.8117021276595745</v>
      </c>
      <c r="T71">
        <v>47</v>
      </c>
      <c r="U71">
        <v>1.137021276595745</v>
      </c>
      <c r="V71">
        <v>2.1674</v>
      </c>
      <c r="W71">
        <v>2.35</v>
      </c>
      <c r="X71">
        <v>1.9075</v>
      </c>
      <c r="Y71">
        <v>-0.255192</v>
      </c>
      <c r="Z71">
        <v>0.4925619834710744</v>
      </c>
      <c r="AA71">
        <v>0.3301127214170693</v>
      </c>
      <c r="AB71">
        <v>0.202572347266881</v>
      </c>
      <c r="AC71">
        <v>0.4469453376205788</v>
      </c>
      <c r="AD71">
        <v>0.2700964630225081</v>
      </c>
    </row>
    <row r="72" spans="1:30">
      <c r="A72" s="1" t="s">
        <v>79</v>
      </c>
      <c r="B72">
        <f>HYPERLINK("https://www.suredividend.com/sure-analysis-ABC/","AmerisourceBergen Corp.")</f>
        <v>0</v>
      </c>
      <c r="C72">
        <v>104.45</v>
      </c>
      <c r="D72">
        <v>21245.44335</v>
      </c>
      <c r="E72" t="s">
        <v>659</v>
      </c>
      <c r="F72" t="s">
        <v>631</v>
      </c>
      <c r="G72" t="s">
        <v>670</v>
      </c>
      <c r="H72" t="s">
        <v>699</v>
      </c>
      <c r="I72" t="s">
        <v>774</v>
      </c>
      <c r="J72" t="s">
        <v>1314</v>
      </c>
      <c r="K72">
        <v>43964</v>
      </c>
      <c r="L72">
        <v>0.015509813307802</v>
      </c>
      <c r="M72">
        <v>-0.02934071542016403</v>
      </c>
      <c r="N72">
        <v>0.05</v>
      </c>
      <c r="O72">
        <v>0.0369271638969817</v>
      </c>
      <c r="P72" t="s">
        <v>635</v>
      </c>
      <c r="Q72" t="s">
        <v>383</v>
      </c>
      <c r="R72">
        <v>16</v>
      </c>
      <c r="S72">
        <v>0.216</v>
      </c>
      <c r="T72">
        <v>90</v>
      </c>
      <c r="U72">
        <v>1.160555555555556</v>
      </c>
      <c r="V72">
        <v>7.6643</v>
      </c>
      <c r="W72">
        <v>7.5</v>
      </c>
      <c r="X72">
        <v>1.62</v>
      </c>
      <c r="Y72">
        <v>0.203896</v>
      </c>
      <c r="Z72">
        <v>0.1487603305785124</v>
      </c>
      <c r="AA72">
        <v>0.8615136876006442</v>
      </c>
      <c r="AB72">
        <v>0.5160771704180064</v>
      </c>
      <c r="AC72">
        <v>0.4196141479099678</v>
      </c>
      <c r="AD72">
        <v>0.2604501607717042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144.86</v>
      </c>
      <c r="D73">
        <v>10009.999832</v>
      </c>
      <c r="E73" t="s">
        <v>659</v>
      </c>
      <c r="F73" t="s">
        <v>631</v>
      </c>
      <c r="G73" t="s">
        <v>670</v>
      </c>
      <c r="H73" t="s">
        <v>699</v>
      </c>
      <c r="I73" t="s">
        <v>775</v>
      </c>
      <c r="J73" t="s">
        <v>1312</v>
      </c>
      <c r="K73">
        <v>43971</v>
      </c>
      <c r="L73">
        <v>0.002968383266602</v>
      </c>
      <c r="M73">
        <v>-0.06412688437668201</v>
      </c>
      <c r="N73">
        <v>0.1</v>
      </c>
      <c r="O73">
        <v>0.03650817864995481</v>
      </c>
      <c r="P73" t="s">
        <v>635</v>
      </c>
      <c r="Q73" t="s">
        <v>300</v>
      </c>
      <c r="R73">
        <v>1</v>
      </c>
      <c r="S73">
        <v>0.06615384615384615</v>
      </c>
      <c r="T73">
        <v>104</v>
      </c>
      <c r="U73">
        <v>1.392884615384615</v>
      </c>
      <c r="V73">
        <v>5.5118</v>
      </c>
      <c r="W73">
        <v>6.5</v>
      </c>
      <c r="X73">
        <v>0.43</v>
      </c>
      <c r="Y73">
        <v>-0.08258399999999999</v>
      </c>
      <c r="Z73">
        <v>0.0115702479338843</v>
      </c>
      <c r="AA73">
        <v>0.5684380032206119</v>
      </c>
      <c r="AB73">
        <v>0.9051446945337621</v>
      </c>
      <c r="AC73">
        <v>0.207395498392283</v>
      </c>
      <c r="AD73">
        <v>0.2588424437299035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133.77</v>
      </c>
      <c r="D74">
        <v>30439.22973</v>
      </c>
      <c r="E74" t="s">
        <v>659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43951</v>
      </c>
      <c r="L74">
        <v>0.023772146221125</v>
      </c>
      <c r="M74">
        <v>-0.04012748960943202</v>
      </c>
      <c r="N74">
        <v>0.05</v>
      </c>
      <c r="O74">
        <v>0.03416825411552171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1.227247706422018</v>
      </c>
      <c r="V74">
        <v>8.1348</v>
      </c>
      <c r="W74">
        <v>7.25</v>
      </c>
      <c r="X74">
        <v>3.18</v>
      </c>
      <c r="Y74">
        <v>0.220195</v>
      </c>
      <c r="Z74">
        <v>0.3206611570247934</v>
      </c>
      <c r="AA74">
        <v>0.8808373590982286</v>
      </c>
      <c r="AB74">
        <v>0.5160771704180064</v>
      </c>
      <c r="AC74">
        <v>0.3392282958199357</v>
      </c>
      <c r="AD74">
        <v>0.2491961414790997</v>
      </c>
    </row>
    <row r="75" spans="1:30">
      <c r="A75" s="1" t="s">
        <v>82</v>
      </c>
      <c r="B75">
        <f>HYPERLINK("https://www.suredividend.com/sure-analysis-GWW/","W.W. Grainger, Inc.")</f>
        <v>0</v>
      </c>
      <c r="C75">
        <v>330.27</v>
      </c>
      <c r="D75">
        <v>17658.843333</v>
      </c>
      <c r="E75" t="s">
        <v>669</v>
      </c>
      <c r="F75" t="s">
        <v>631</v>
      </c>
      <c r="G75" t="s">
        <v>670</v>
      </c>
      <c r="H75" t="s">
        <v>699</v>
      </c>
      <c r="I75" t="s">
        <v>777</v>
      </c>
      <c r="J75" t="s">
        <v>1313</v>
      </c>
      <c r="K75">
        <v>43963</v>
      </c>
      <c r="L75">
        <v>0.017440276137705</v>
      </c>
      <c r="M75">
        <v>-0.06185833789578354</v>
      </c>
      <c r="N75">
        <v>0.08</v>
      </c>
      <c r="O75">
        <v>0.03122117768551824</v>
      </c>
      <c r="P75" t="s">
        <v>635</v>
      </c>
      <c r="Q75" t="s">
        <v>636</v>
      </c>
      <c r="R75">
        <v>48</v>
      </c>
      <c r="S75">
        <v>0.36</v>
      </c>
      <c r="T75">
        <v>240</v>
      </c>
      <c r="U75">
        <v>1.376125</v>
      </c>
      <c r="V75">
        <v>14.1622</v>
      </c>
      <c r="W75">
        <v>16</v>
      </c>
      <c r="X75">
        <v>5.76</v>
      </c>
      <c r="Y75">
        <v>0.229323</v>
      </c>
      <c r="Z75">
        <v>0.1785123966942149</v>
      </c>
      <c r="AA75">
        <v>0.8872785829307568</v>
      </c>
      <c r="AB75">
        <v>0.8127009646302251</v>
      </c>
      <c r="AC75">
        <v>0.22508038585209</v>
      </c>
      <c r="AD75">
        <v>0.2427652733118971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43.7</v>
      </c>
      <c r="D76">
        <v>12384.7548</v>
      </c>
      <c r="E76" t="s">
        <v>663</v>
      </c>
      <c r="F76" t="s">
        <v>631</v>
      </c>
      <c r="G76" t="s">
        <v>670</v>
      </c>
      <c r="H76" t="s">
        <v>699</v>
      </c>
      <c r="I76" t="s">
        <v>778</v>
      </c>
      <c r="J76" t="s">
        <v>1311</v>
      </c>
      <c r="K76">
        <v>43949</v>
      </c>
      <c r="L76">
        <v>0.00766590389016</v>
      </c>
      <c r="M76">
        <v>-0.05461980356287444</v>
      </c>
      <c r="N76">
        <v>0.08</v>
      </c>
      <c r="O76">
        <v>0.03015062549879821</v>
      </c>
      <c r="P76" t="s">
        <v>635</v>
      </c>
      <c r="Q76" t="s">
        <v>383</v>
      </c>
      <c r="R76">
        <v>26</v>
      </c>
      <c r="S76">
        <v>0.2203947368421053</v>
      </c>
      <c r="T76">
        <v>33</v>
      </c>
      <c r="U76">
        <v>1.324242424242424</v>
      </c>
      <c r="V76">
        <v>1.5491</v>
      </c>
      <c r="W76">
        <v>1.52</v>
      </c>
      <c r="X76">
        <v>0.335</v>
      </c>
      <c r="Y76">
        <v>0.243951</v>
      </c>
      <c r="Z76">
        <v>0.04462809917355372</v>
      </c>
      <c r="AA76">
        <v>0.895330112721417</v>
      </c>
      <c r="AB76">
        <v>0.8127009646302251</v>
      </c>
      <c r="AC76">
        <v>0.2588424437299035</v>
      </c>
      <c r="AD76">
        <v>0.2347266881028939</v>
      </c>
    </row>
    <row r="77" spans="1:30">
      <c r="A77" s="1" t="s">
        <v>84</v>
      </c>
      <c r="B77">
        <f>HYPERLINK("https://www.suredividend.com/sure-analysis-COST/","Costco Wholesale Corp.")</f>
        <v>0</v>
      </c>
      <c r="C77">
        <v>324.79</v>
      </c>
      <c r="D77">
        <v>143402.57996</v>
      </c>
      <c r="E77" t="s">
        <v>663</v>
      </c>
      <c r="F77" t="s">
        <v>631</v>
      </c>
      <c r="G77" t="s">
        <v>670</v>
      </c>
      <c r="H77" t="s">
        <v>701</v>
      </c>
      <c r="I77" t="s">
        <v>779</v>
      </c>
      <c r="J77" t="s">
        <v>1318</v>
      </c>
      <c r="K77">
        <v>43998</v>
      </c>
      <c r="L77">
        <v>0.008159118199451001</v>
      </c>
      <c r="M77">
        <v>-0.07411313110916296</v>
      </c>
      <c r="N77">
        <v>0.1</v>
      </c>
      <c r="O77">
        <v>0.02901732120239031</v>
      </c>
      <c r="P77" t="s">
        <v>635</v>
      </c>
      <c r="Q77" t="s">
        <v>300</v>
      </c>
      <c r="R77">
        <v>17</v>
      </c>
      <c r="S77">
        <v>0.3117647058823529</v>
      </c>
      <c r="T77">
        <v>221</v>
      </c>
      <c r="U77">
        <v>1.469638009049774</v>
      </c>
      <c r="V77">
        <v>8.405799999999999</v>
      </c>
      <c r="W77">
        <v>8.5</v>
      </c>
      <c r="X77">
        <v>2.65</v>
      </c>
      <c r="Y77">
        <v>0.148033</v>
      </c>
      <c r="Z77">
        <v>0.05454545454545454</v>
      </c>
      <c r="AA77">
        <v>0.826086956521739</v>
      </c>
      <c r="AB77">
        <v>0.9051446945337621</v>
      </c>
      <c r="AC77">
        <v>0.184887459807074</v>
      </c>
      <c r="AD77">
        <v>0.229903536977492</v>
      </c>
    </row>
    <row r="78" spans="1:30">
      <c r="A78" s="1" t="s">
        <v>85</v>
      </c>
      <c r="B78">
        <f>HYPERLINK("https://www.suredividend.com/sure-analysis-CINF/","Cincinnati Financial Corp.")</f>
        <v>0</v>
      </c>
      <c r="C78">
        <v>76.66</v>
      </c>
      <c r="D78">
        <v>12437.77836</v>
      </c>
      <c r="E78" t="s">
        <v>667</v>
      </c>
      <c r="F78" t="s">
        <v>631</v>
      </c>
      <c r="G78" t="s">
        <v>670</v>
      </c>
      <c r="H78" t="s">
        <v>701</v>
      </c>
      <c r="I78" t="s">
        <v>780</v>
      </c>
      <c r="J78" t="s">
        <v>1311</v>
      </c>
      <c r="K78">
        <v>43958</v>
      </c>
      <c r="L78">
        <v>0.029741716671014</v>
      </c>
      <c r="M78">
        <v>-0.01801275899689725</v>
      </c>
      <c r="N78">
        <v>0.01</v>
      </c>
      <c r="O78">
        <v>0.0267733211751835</v>
      </c>
      <c r="P78" t="s">
        <v>635</v>
      </c>
      <c r="Q78" t="s">
        <v>635</v>
      </c>
      <c r="R78">
        <v>59</v>
      </c>
      <c r="S78">
        <v>0.6514285714285715</v>
      </c>
      <c r="T78">
        <v>70</v>
      </c>
      <c r="U78">
        <v>1.095142857142857</v>
      </c>
      <c r="V78">
        <v>0.4239</v>
      </c>
      <c r="W78">
        <v>3.5</v>
      </c>
      <c r="X78">
        <v>2.28</v>
      </c>
      <c r="Y78">
        <v>-0.286552</v>
      </c>
      <c r="Z78">
        <v>0.3900826446280992</v>
      </c>
      <c r="AA78">
        <v>0.3011272141706924</v>
      </c>
      <c r="AB78">
        <v>0.0819935691318328</v>
      </c>
      <c r="AC78">
        <v>0.4983922829581994</v>
      </c>
      <c r="AD78">
        <v>0.2170418006430868</v>
      </c>
    </row>
    <row r="79" spans="1:30">
      <c r="A79" s="1" t="s">
        <v>86</v>
      </c>
      <c r="B79">
        <f>HYPERLINK("https://www.suredividend.com/sure-analysis-THFF/","First Financial Corp. (Indiana)")</f>
        <v>0</v>
      </c>
      <c r="C79">
        <v>34.52</v>
      </c>
      <c r="D79">
        <v>473.42454</v>
      </c>
      <c r="E79" t="s">
        <v>663</v>
      </c>
      <c r="F79" t="s">
        <v>631</v>
      </c>
      <c r="G79" t="s">
        <v>670</v>
      </c>
      <c r="H79" t="s">
        <v>701</v>
      </c>
      <c r="I79" t="s">
        <v>781</v>
      </c>
      <c r="J79" t="s">
        <v>1311</v>
      </c>
      <c r="K79">
        <v>43960</v>
      </c>
      <c r="L79">
        <v>0.030127462340672</v>
      </c>
      <c r="M79">
        <v>-0.0150462494641288</v>
      </c>
      <c r="N79">
        <v>0.01</v>
      </c>
      <c r="O79">
        <v>0.02553318459657272</v>
      </c>
      <c r="P79" t="s">
        <v>635</v>
      </c>
      <c r="Q79" t="s">
        <v>635</v>
      </c>
      <c r="R79">
        <v>31</v>
      </c>
      <c r="S79">
        <v>0.3586206896551725</v>
      </c>
      <c r="T79">
        <v>32</v>
      </c>
      <c r="U79">
        <v>1.07875</v>
      </c>
      <c r="V79">
        <v>3.8884</v>
      </c>
      <c r="W79">
        <v>2.9</v>
      </c>
      <c r="X79">
        <v>1.04</v>
      </c>
      <c r="Y79">
        <v>-0.130698</v>
      </c>
      <c r="Z79">
        <v>0.3933884297520661</v>
      </c>
      <c r="AA79">
        <v>0.500805152979066</v>
      </c>
      <c r="AB79">
        <v>0.0819935691318328</v>
      </c>
      <c r="AC79">
        <v>0.5160771704180064</v>
      </c>
      <c r="AD79">
        <v>0.2057877813504823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53.22</v>
      </c>
      <c r="D80">
        <v>2456.858724</v>
      </c>
      <c r="E80" t="s">
        <v>662</v>
      </c>
      <c r="F80" t="s">
        <v>631</v>
      </c>
      <c r="G80" t="s">
        <v>670</v>
      </c>
      <c r="H80" t="s">
        <v>701</v>
      </c>
      <c r="I80" t="s">
        <v>782</v>
      </c>
      <c r="J80" t="s">
        <v>1313</v>
      </c>
      <c r="K80">
        <v>43956</v>
      </c>
      <c r="L80">
        <v>0.01108605787298</v>
      </c>
      <c r="M80">
        <v>-0.09673533434864556</v>
      </c>
      <c r="N80">
        <v>0.12</v>
      </c>
      <c r="O80">
        <v>0.02489796059131799</v>
      </c>
      <c r="P80" t="s">
        <v>635</v>
      </c>
      <c r="Q80" t="s">
        <v>383</v>
      </c>
      <c r="R80">
        <v>28</v>
      </c>
      <c r="S80">
        <v>0.3470588235294118</v>
      </c>
      <c r="T80">
        <v>32</v>
      </c>
      <c r="U80">
        <v>1.663125</v>
      </c>
      <c r="V80">
        <v>2.0807</v>
      </c>
      <c r="W80">
        <v>1.7</v>
      </c>
      <c r="X80">
        <v>0.59</v>
      </c>
      <c r="Y80">
        <v>0.16967</v>
      </c>
      <c r="Z80">
        <v>0.08760330578512397</v>
      </c>
      <c r="AA80">
        <v>0.8421900161030595</v>
      </c>
      <c r="AB80">
        <v>0.9461414790996784</v>
      </c>
      <c r="AC80">
        <v>0.09485530546623794</v>
      </c>
      <c r="AD80">
        <v>0.2009646302250804</v>
      </c>
    </row>
    <row r="81" spans="1:30">
      <c r="A81" s="1" t="s">
        <v>88</v>
      </c>
      <c r="B81">
        <f>HYPERLINK("https://www.suredividend.com/sure-analysis-TR/","Tootsie Roll Industries, Inc.")</f>
        <v>0</v>
      </c>
      <c r="C81">
        <v>33.83</v>
      </c>
      <c r="D81">
        <v>2260.074044</v>
      </c>
      <c r="E81" t="s">
        <v>661</v>
      </c>
      <c r="F81" t="s">
        <v>631</v>
      </c>
      <c r="G81" t="s">
        <v>670</v>
      </c>
      <c r="H81" t="s">
        <v>699</v>
      </c>
      <c r="I81" t="s">
        <v>783</v>
      </c>
      <c r="J81" t="s">
        <v>1318</v>
      </c>
      <c r="K81">
        <v>43993</v>
      </c>
      <c r="L81">
        <v>0.01025639902262</v>
      </c>
      <c r="M81">
        <v>-0.01732040265251122</v>
      </c>
      <c r="N81">
        <v>0.03</v>
      </c>
      <c r="O81">
        <v>0.02210195068331</v>
      </c>
      <c r="P81" t="s">
        <v>635</v>
      </c>
      <c r="Q81" t="s">
        <v>383</v>
      </c>
      <c r="R81">
        <v>52</v>
      </c>
      <c r="S81">
        <v>0.3401705675835882</v>
      </c>
      <c r="T81">
        <v>31</v>
      </c>
      <c r="U81">
        <v>1.091290322580645</v>
      </c>
      <c r="V81">
        <v>1.0109</v>
      </c>
      <c r="W81">
        <v>1.02</v>
      </c>
      <c r="X81">
        <v>0.34697397893526</v>
      </c>
      <c r="Y81">
        <v>-0.07204000000000001</v>
      </c>
      <c r="Z81">
        <v>0.0743801652892562</v>
      </c>
      <c r="AA81">
        <v>0.5958132045088567</v>
      </c>
      <c r="AB81">
        <v>0.247588424437299</v>
      </c>
      <c r="AC81">
        <v>0.5048231511254019</v>
      </c>
      <c r="AD81">
        <v>0.1945337620578778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125.63</v>
      </c>
      <c r="D82">
        <v>311014.6532</v>
      </c>
      <c r="E82" t="s">
        <v>669</v>
      </c>
      <c r="F82" t="s">
        <v>631</v>
      </c>
      <c r="G82" t="s">
        <v>670</v>
      </c>
      <c r="H82" t="s">
        <v>699</v>
      </c>
      <c r="I82" t="s">
        <v>784</v>
      </c>
      <c r="J82" t="s">
        <v>1318</v>
      </c>
      <c r="K82">
        <v>43950</v>
      </c>
      <c r="L82">
        <v>0.023749104513253</v>
      </c>
      <c r="M82">
        <v>-0.05237704014348432</v>
      </c>
      <c r="N82">
        <v>0.05</v>
      </c>
      <c r="O82">
        <v>0.02127429008148018</v>
      </c>
      <c r="P82" t="s">
        <v>635</v>
      </c>
      <c r="Q82" t="s">
        <v>636</v>
      </c>
      <c r="R82">
        <v>63</v>
      </c>
      <c r="S82">
        <v>0.6190041493775933</v>
      </c>
      <c r="T82">
        <v>96</v>
      </c>
      <c r="U82">
        <v>1.308645833333333</v>
      </c>
      <c r="V82">
        <v>1.911</v>
      </c>
      <c r="W82">
        <v>4.82</v>
      </c>
      <c r="X82">
        <v>2.9836</v>
      </c>
      <c r="Y82">
        <v>0.088271</v>
      </c>
      <c r="Z82">
        <v>0.3190082644628099</v>
      </c>
      <c r="AA82">
        <v>0.7874396135265701</v>
      </c>
      <c r="AB82">
        <v>0.5160771704180064</v>
      </c>
      <c r="AC82">
        <v>0.2813504823151126</v>
      </c>
      <c r="AD82">
        <v>0.1897106109324759</v>
      </c>
    </row>
    <row r="83" spans="1:30">
      <c r="A83" s="1" t="s">
        <v>90</v>
      </c>
      <c r="B83">
        <f>HYPERLINK("https://www.suredividend.com/sure-analysis-PPG/","PPG Industries, Inc.")</f>
        <v>0</v>
      </c>
      <c r="C83">
        <v>111.88</v>
      </c>
      <c r="D83">
        <v>26395.06524</v>
      </c>
      <c r="E83" t="s">
        <v>664</v>
      </c>
      <c r="F83" t="s">
        <v>631</v>
      </c>
      <c r="G83" t="s">
        <v>670</v>
      </c>
      <c r="H83" t="s">
        <v>699</v>
      </c>
      <c r="I83" t="s">
        <v>785</v>
      </c>
      <c r="J83" t="s">
        <v>1319</v>
      </c>
      <c r="K83">
        <v>44029</v>
      </c>
      <c r="L83">
        <v>0.018233821952091</v>
      </c>
      <c r="M83">
        <v>-0.07687234625458961</v>
      </c>
      <c r="N83">
        <v>0.08</v>
      </c>
      <c r="O83">
        <v>0.02057811945047283</v>
      </c>
      <c r="P83" t="s">
        <v>635</v>
      </c>
      <c r="Q83" t="s">
        <v>636</v>
      </c>
      <c r="R83">
        <v>49</v>
      </c>
      <c r="S83">
        <v>0.4594594594594594</v>
      </c>
      <c r="T83">
        <v>75</v>
      </c>
      <c r="U83">
        <v>1.491733333333333</v>
      </c>
      <c r="V83">
        <v>4.2385</v>
      </c>
      <c r="W83">
        <v>4.44</v>
      </c>
      <c r="X83">
        <v>2.04</v>
      </c>
      <c r="Y83">
        <v>-0.043761</v>
      </c>
      <c r="Z83">
        <v>0.2016528925619835</v>
      </c>
      <c r="AA83">
        <v>0.6360708534621579</v>
      </c>
      <c r="AB83">
        <v>0.8127009646302251</v>
      </c>
      <c r="AC83">
        <v>0.1688102893890675</v>
      </c>
      <c r="AD83">
        <v>0.1864951768488746</v>
      </c>
    </row>
    <row r="84" spans="1:30">
      <c r="A84" s="1" t="s">
        <v>91</v>
      </c>
      <c r="B84">
        <f>HYPERLINK("https://www.suredividend.com/sure-analysis-SPGI/","S&amp;P Global, Inc.")</f>
        <v>0</v>
      </c>
      <c r="C84">
        <v>354.69</v>
      </c>
      <c r="D84">
        <v>85444.821</v>
      </c>
      <c r="E84" t="s">
        <v>663</v>
      </c>
      <c r="F84" t="s">
        <v>631</v>
      </c>
      <c r="G84" t="s">
        <v>670</v>
      </c>
      <c r="H84" t="s">
        <v>699</v>
      </c>
      <c r="I84" t="s">
        <v>786</v>
      </c>
      <c r="J84" t="s">
        <v>1311</v>
      </c>
      <c r="K84">
        <v>43950</v>
      </c>
      <c r="L84">
        <v>0.006710084862837</v>
      </c>
      <c r="M84">
        <v>-0.07514753273612051</v>
      </c>
      <c r="N84">
        <v>0.09</v>
      </c>
      <c r="O84">
        <v>0.01828770296473659</v>
      </c>
      <c r="P84" t="s">
        <v>635</v>
      </c>
      <c r="Q84" t="s">
        <v>383</v>
      </c>
      <c r="R84">
        <v>47</v>
      </c>
      <c r="S84">
        <v>0.238</v>
      </c>
      <c r="T84">
        <v>240</v>
      </c>
      <c r="U84">
        <v>1.477875</v>
      </c>
      <c r="V84">
        <v>9.6302</v>
      </c>
      <c r="W84">
        <v>10</v>
      </c>
      <c r="X84">
        <v>2.38</v>
      </c>
      <c r="Y84">
        <v>0.471071</v>
      </c>
      <c r="Z84">
        <v>0.02809917355371901</v>
      </c>
      <c r="AA84">
        <v>0.9549114331723026</v>
      </c>
      <c r="AB84">
        <v>0.8633440514469453</v>
      </c>
      <c r="AC84">
        <v>0.180064308681672</v>
      </c>
      <c r="AD84">
        <v>0.1752411575562701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84.87</v>
      </c>
      <c r="D85">
        <v>20868.93891</v>
      </c>
      <c r="E85" t="s">
        <v>663</v>
      </c>
      <c r="F85" t="s">
        <v>631</v>
      </c>
      <c r="G85" t="s">
        <v>670</v>
      </c>
      <c r="H85" t="s">
        <v>699</v>
      </c>
      <c r="I85" t="s">
        <v>787</v>
      </c>
      <c r="J85" t="s">
        <v>1318</v>
      </c>
      <c r="K85">
        <v>43964</v>
      </c>
      <c r="L85">
        <v>0.010869565217391</v>
      </c>
      <c r="M85">
        <v>-0.06086614353474917</v>
      </c>
      <c r="N85">
        <v>0.07000000000000001</v>
      </c>
      <c r="O85">
        <v>0.01819051289356</v>
      </c>
      <c r="P85" t="s">
        <v>635</v>
      </c>
      <c r="Q85" t="s">
        <v>383</v>
      </c>
      <c r="R85">
        <v>24</v>
      </c>
      <c r="S85">
        <v>0.3416666666666667</v>
      </c>
      <c r="T85">
        <v>62</v>
      </c>
      <c r="U85">
        <v>1.368870967741936</v>
      </c>
      <c r="V85">
        <v>2.7238</v>
      </c>
      <c r="W85">
        <v>2.7</v>
      </c>
      <c r="X85">
        <v>0.9225000000000001</v>
      </c>
      <c r="Y85">
        <v>0.10753</v>
      </c>
      <c r="Z85">
        <v>0.08264462809917354</v>
      </c>
      <c r="AA85">
        <v>0.8003220611916264</v>
      </c>
      <c r="AB85">
        <v>0.7387459807073955</v>
      </c>
      <c r="AC85">
        <v>0.2266881028938907</v>
      </c>
      <c r="AD85">
        <v>0.1736334405144694</v>
      </c>
    </row>
    <row r="86" spans="1:30">
      <c r="A86" s="1" t="s">
        <v>93</v>
      </c>
      <c r="B86">
        <f>HYPERLINK("https://www.suredividend.com/sure-analysis-SWK/","Stanley Black &amp; Decker, Inc.")</f>
        <v>0</v>
      </c>
      <c r="C86">
        <v>153.36</v>
      </c>
      <c r="D86">
        <v>23636.91672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1313</v>
      </c>
      <c r="K86">
        <v>43951</v>
      </c>
      <c r="L86">
        <v>0.017801251956181</v>
      </c>
      <c r="M86">
        <v>-0.07832541009667204</v>
      </c>
      <c r="N86">
        <v>0.08</v>
      </c>
      <c r="O86">
        <v>0.01763906464380627</v>
      </c>
      <c r="P86" t="s">
        <v>635</v>
      </c>
      <c r="Q86" t="s">
        <v>636</v>
      </c>
      <c r="R86">
        <v>52</v>
      </c>
      <c r="S86">
        <v>0.4193548387096774</v>
      </c>
      <c r="T86">
        <v>102</v>
      </c>
      <c r="U86">
        <v>1.503529411764706</v>
      </c>
      <c r="V86">
        <v>6.1817</v>
      </c>
      <c r="W86">
        <v>6.51</v>
      </c>
      <c r="X86">
        <v>2.73</v>
      </c>
      <c r="Y86">
        <v>0.07628599999999999</v>
      </c>
      <c r="Z86">
        <v>0.1917355371900827</v>
      </c>
      <c r="AA86">
        <v>0.7761674718196457</v>
      </c>
      <c r="AB86">
        <v>0.8127009646302251</v>
      </c>
      <c r="AC86">
        <v>0.1607717041800643</v>
      </c>
      <c r="AD86">
        <v>0.1720257234726688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65.06</v>
      </c>
      <c r="D87">
        <v>1854.691444</v>
      </c>
      <c r="E87" t="s">
        <v>664</v>
      </c>
      <c r="F87" t="s">
        <v>631</v>
      </c>
      <c r="G87" t="s">
        <v>670</v>
      </c>
      <c r="H87" t="s">
        <v>699</v>
      </c>
      <c r="I87" t="s">
        <v>789</v>
      </c>
      <c r="J87" t="s">
        <v>1315</v>
      </c>
      <c r="K87">
        <v>43956</v>
      </c>
      <c r="L87">
        <v>0.018751921303412</v>
      </c>
      <c r="M87">
        <v>-0.0752427953887751</v>
      </c>
      <c r="N87">
        <v>0.076</v>
      </c>
      <c r="O87">
        <v>0.01562858710635995</v>
      </c>
      <c r="P87" t="s">
        <v>635</v>
      </c>
      <c r="Q87" t="s">
        <v>636</v>
      </c>
      <c r="R87">
        <v>54</v>
      </c>
      <c r="S87">
        <v>0.61</v>
      </c>
      <c r="T87">
        <v>44</v>
      </c>
      <c r="U87">
        <v>1.478636363636364</v>
      </c>
      <c r="V87">
        <v>0.7012</v>
      </c>
      <c r="W87">
        <v>2</v>
      </c>
      <c r="X87">
        <v>1.22</v>
      </c>
      <c r="Y87">
        <v>-0.004133</v>
      </c>
      <c r="Z87">
        <v>0.2181818181818182</v>
      </c>
      <c r="AA87">
        <v>0.6763285024154589</v>
      </c>
      <c r="AB87">
        <v>0.7829581993569131</v>
      </c>
      <c r="AC87">
        <v>0.1752411575562701</v>
      </c>
      <c r="AD87">
        <v>0.1655948553054662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99.25</v>
      </c>
      <c r="D88">
        <v>175558.3625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1314</v>
      </c>
      <c r="K88">
        <v>43937</v>
      </c>
      <c r="L88">
        <v>0.014105793450881</v>
      </c>
      <c r="M88">
        <v>-0.06217804376643699</v>
      </c>
      <c r="N88">
        <v>0.06</v>
      </c>
      <c r="O88">
        <v>0.01131334424343233</v>
      </c>
      <c r="P88" t="s">
        <v>635</v>
      </c>
      <c r="Q88" t="s">
        <v>383</v>
      </c>
      <c r="R88">
        <v>48</v>
      </c>
      <c r="S88">
        <v>0.3888888888888888</v>
      </c>
      <c r="T88">
        <v>72</v>
      </c>
      <c r="U88">
        <v>1.378472222222222</v>
      </c>
      <c r="W88">
        <v>3.6</v>
      </c>
      <c r="X88">
        <v>1.4</v>
      </c>
      <c r="Y88">
        <v>0.130925</v>
      </c>
      <c r="Z88">
        <v>0.1256198347107438</v>
      </c>
      <c r="AA88">
        <v>0.8164251207729468</v>
      </c>
      <c r="AB88">
        <v>0.6463022508038585</v>
      </c>
      <c r="AC88">
        <v>0.2234726688102894</v>
      </c>
      <c r="AD88">
        <v>0.1511254019292605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95.56999999999999</v>
      </c>
      <c r="D89">
        <v>67835.586</v>
      </c>
      <c r="E89" t="s">
        <v>664</v>
      </c>
      <c r="F89" t="s">
        <v>631</v>
      </c>
      <c r="G89" t="s">
        <v>671</v>
      </c>
      <c r="H89" t="s">
        <v>699</v>
      </c>
      <c r="I89" t="s">
        <v>791</v>
      </c>
      <c r="J89" t="s">
        <v>1313</v>
      </c>
      <c r="K89">
        <v>43951</v>
      </c>
      <c r="L89">
        <v>0.017196148056364</v>
      </c>
      <c r="M89">
        <v>-0.07706380617302588</v>
      </c>
      <c r="N89">
        <v>0.07000000000000001</v>
      </c>
      <c r="O89">
        <v>0.00880900289493991</v>
      </c>
      <c r="P89" t="s">
        <v>635</v>
      </c>
      <c r="Q89" t="s">
        <v>383</v>
      </c>
      <c r="R89">
        <v>25</v>
      </c>
      <c r="S89">
        <v>0.4313479973088714</v>
      </c>
      <c r="T89">
        <v>64</v>
      </c>
      <c r="U89">
        <v>1.49328125</v>
      </c>
      <c r="V89">
        <v>4.6502</v>
      </c>
      <c r="W89">
        <v>3.81</v>
      </c>
      <c r="X89">
        <v>1.6434358697468</v>
      </c>
      <c r="Y89">
        <v>0.03096</v>
      </c>
      <c r="Z89">
        <v>0.1702479338842975</v>
      </c>
      <c r="AA89">
        <v>0.7262479871175523</v>
      </c>
      <c r="AB89">
        <v>0.7387459807073955</v>
      </c>
      <c r="AC89">
        <v>0.1672025723472669</v>
      </c>
      <c r="AD89">
        <v>0.1430868167202572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53.1</v>
      </c>
      <c r="D90">
        <v>1474.1622</v>
      </c>
      <c r="E90" t="s">
        <v>662</v>
      </c>
      <c r="F90" t="s">
        <v>631</v>
      </c>
      <c r="G90" t="s">
        <v>670</v>
      </c>
      <c r="H90" t="s">
        <v>700</v>
      </c>
      <c r="I90" t="s">
        <v>792</v>
      </c>
      <c r="J90" t="s">
        <v>1317</v>
      </c>
      <c r="K90">
        <v>44021</v>
      </c>
      <c r="L90">
        <v>0.015254237288135</v>
      </c>
      <c r="M90">
        <v>-0.07998543114428036</v>
      </c>
      <c r="N90">
        <v>0.07000000000000001</v>
      </c>
      <c r="O90">
        <v>0.004679765272556757</v>
      </c>
      <c r="P90" t="s">
        <v>635</v>
      </c>
      <c r="Q90" t="s">
        <v>636</v>
      </c>
      <c r="R90">
        <v>48</v>
      </c>
      <c r="S90">
        <v>0.405</v>
      </c>
      <c r="T90">
        <v>35</v>
      </c>
      <c r="U90">
        <v>1.517142857142857</v>
      </c>
      <c r="V90">
        <v>1.9677</v>
      </c>
      <c r="W90">
        <v>2</v>
      </c>
      <c r="X90">
        <v>0.8100000000000001</v>
      </c>
      <c r="Y90">
        <v>0.402906</v>
      </c>
      <c r="Z90">
        <v>0.1454545454545454</v>
      </c>
      <c r="AA90">
        <v>0.9404186795491144</v>
      </c>
      <c r="AB90">
        <v>0.7387459807073955</v>
      </c>
      <c r="AC90">
        <v>0.1543408360128617</v>
      </c>
      <c r="AD90">
        <v>0.1318327974276527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131.74</v>
      </c>
      <c r="D91">
        <v>373081.093</v>
      </c>
      <c r="E91" t="s">
        <v>663</v>
      </c>
      <c r="F91" t="s">
        <v>631</v>
      </c>
      <c r="G91" t="s">
        <v>670</v>
      </c>
      <c r="H91" t="s">
        <v>699</v>
      </c>
      <c r="I91" t="s">
        <v>793</v>
      </c>
      <c r="J91" t="s">
        <v>1318</v>
      </c>
      <c r="K91">
        <v>43976</v>
      </c>
      <c r="L91">
        <v>0.016168210110824</v>
      </c>
      <c r="M91">
        <v>-0.06329855706438414</v>
      </c>
      <c r="N91">
        <v>0.05</v>
      </c>
      <c r="O91">
        <v>0.003089969460843944</v>
      </c>
      <c r="P91" t="s">
        <v>635</v>
      </c>
      <c r="Q91" t="s">
        <v>636</v>
      </c>
      <c r="R91">
        <v>47</v>
      </c>
      <c r="S91">
        <v>0.426</v>
      </c>
      <c r="T91">
        <v>95</v>
      </c>
      <c r="U91">
        <v>1.386736842105263</v>
      </c>
      <c r="V91">
        <v>5.2914</v>
      </c>
      <c r="W91">
        <v>5</v>
      </c>
      <c r="X91">
        <v>2.13</v>
      </c>
      <c r="Y91">
        <v>0.148361</v>
      </c>
      <c r="Z91">
        <v>0.1553719008264463</v>
      </c>
      <c r="AA91">
        <v>0.8276972624798712</v>
      </c>
      <c r="AB91">
        <v>0.5160771704180064</v>
      </c>
      <c r="AC91">
        <v>0.2122186495176849</v>
      </c>
      <c r="AD91">
        <v>0.1254019292604502</v>
      </c>
    </row>
    <row r="92" spans="1:30">
      <c r="A92" s="1" t="s">
        <v>99</v>
      </c>
      <c r="B92">
        <f>HYPERLINK("https://www.suredividend.com/sure-analysis-CL/","Colgate-Palmolive Co.")</f>
        <v>0</v>
      </c>
      <c r="C92">
        <v>75.2</v>
      </c>
      <c r="D92">
        <v>64410.9056</v>
      </c>
      <c r="E92" t="s">
        <v>663</v>
      </c>
      <c r="F92" t="s">
        <v>631</v>
      </c>
      <c r="G92" t="s">
        <v>670</v>
      </c>
      <c r="H92" t="s">
        <v>699</v>
      </c>
      <c r="I92" t="s">
        <v>794</v>
      </c>
      <c r="J92" t="s">
        <v>1318</v>
      </c>
      <c r="K92">
        <v>43957</v>
      </c>
      <c r="L92">
        <v>0.022872340425531</v>
      </c>
      <c r="M92">
        <v>-0.06408763767082515</v>
      </c>
      <c r="N92">
        <v>0.04</v>
      </c>
      <c r="O92">
        <v>0.001910679804039583</v>
      </c>
      <c r="P92" t="s">
        <v>635</v>
      </c>
      <c r="Q92" t="s">
        <v>636</v>
      </c>
      <c r="R92">
        <v>57</v>
      </c>
      <c r="S92">
        <v>0.6035087719298246</v>
      </c>
      <c r="T92">
        <v>54</v>
      </c>
      <c r="U92">
        <v>1.392592592592593</v>
      </c>
      <c r="V92">
        <v>2.9381</v>
      </c>
      <c r="W92">
        <v>2.85</v>
      </c>
      <c r="X92">
        <v>1.72</v>
      </c>
      <c r="Y92">
        <v>0.017867</v>
      </c>
      <c r="Z92">
        <v>0.3024793388429752</v>
      </c>
      <c r="AA92">
        <v>0.7085346215780999</v>
      </c>
      <c r="AB92">
        <v>0.3794212218649518</v>
      </c>
      <c r="AC92">
        <v>0.2090032154340836</v>
      </c>
      <c r="AD92">
        <v>0.1221864951768489</v>
      </c>
    </row>
    <row r="93" spans="1:30">
      <c r="A93" s="1" t="s">
        <v>100</v>
      </c>
      <c r="B93">
        <f>HYPERLINK("https://www.suredividend.com/sure-analysis-SCL/","Stepan Co.")</f>
        <v>0</v>
      </c>
      <c r="C93">
        <v>99.83</v>
      </c>
      <c r="D93">
        <v>2243.439658</v>
      </c>
      <c r="E93" t="s">
        <v>663</v>
      </c>
      <c r="F93" t="s">
        <v>631</v>
      </c>
      <c r="G93" t="s">
        <v>670</v>
      </c>
      <c r="H93" t="s">
        <v>699</v>
      </c>
      <c r="I93" t="s">
        <v>795</v>
      </c>
      <c r="J93" t="s">
        <v>1319</v>
      </c>
      <c r="K93">
        <v>43984</v>
      </c>
      <c r="L93">
        <v>0.010517880396674</v>
      </c>
      <c r="M93">
        <v>-0.0506072065205786</v>
      </c>
      <c r="N93">
        <v>0.04</v>
      </c>
      <c r="O93">
        <v>0.001661228497634948</v>
      </c>
      <c r="P93" t="s">
        <v>635</v>
      </c>
      <c r="Q93" t="s">
        <v>383</v>
      </c>
      <c r="R93">
        <v>52</v>
      </c>
      <c r="S93">
        <v>0.2333333333333333</v>
      </c>
      <c r="T93">
        <v>77</v>
      </c>
      <c r="U93">
        <v>1.296493506493506</v>
      </c>
      <c r="V93">
        <v>4.5877</v>
      </c>
      <c r="W93">
        <v>4.5</v>
      </c>
      <c r="X93">
        <v>1.05</v>
      </c>
      <c r="Y93">
        <v>0.075754</v>
      </c>
      <c r="Z93">
        <v>0.07933884297520662</v>
      </c>
      <c r="AA93">
        <v>0.7729468599033816</v>
      </c>
      <c r="AB93">
        <v>0.3794212218649518</v>
      </c>
      <c r="AC93">
        <v>0.2926045016077171</v>
      </c>
      <c r="AD93">
        <v>0.1205787781350482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156.75</v>
      </c>
      <c r="D94">
        <v>4313.133</v>
      </c>
      <c r="E94" t="s">
        <v>663</v>
      </c>
      <c r="F94" t="s">
        <v>631</v>
      </c>
      <c r="G94" t="s">
        <v>670</v>
      </c>
      <c r="H94" t="s">
        <v>701</v>
      </c>
      <c r="I94" t="s">
        <v>796</v>
      </c>
      <c r="J94" t="s">
        <v>1318</v>
      </c>
      <c r="K94">
        <v>43963</v>
      </c>
      <c r="L94">
        <v>0.017224880382775</v>
      </c>
      <c r="M94">
        <v>-0.05843547377774438</v>
      </c>
      <c r="N94">
        <v>0.04</v>
      </c>
      <c r="O94">
        <v>0.0007859860652403849</v>
      </c>
      <c r="P94" t="s">
        <v>635</v>
      </c>
      <c r="Q94" t="s">
        <v>636</v>
      </c>
      <c r="R94">
        <v>57</v>
      </c>
      <c r="S94">
        <v>0.5142857142857143</v>
      </c>
      <c r="T94">
        <v>116</v>
      </c>
      <c r="U94">
        <v>1.351293103448276</v>
      </c>
      <c r="V94">
        <v>5.0784</v>
      </c>
      <c r="W94">
        <v>5.25</v>
      </c>
      <c r="X94">
        <v>2.7</v>
      </c>
      <c r="Y94">
        <v>0.039456</v>
      </c>
      <c r="Z94">
        <v>0.1752066115702479</v>
      </c>
      <c r="AA94">
        <v>0.7407407407407408</v>
      </c>
      <c r="AB94">
        <v>0.3794212218649518</v>
      </c>
      <c r="AC94">
        <v>0.2363344051446945</v>
      </c>
      <c r="AD94">
        <v>0.1173633440514469</v>
      </c>
    </row>
    <row r="95" spans="1:30">
      <c r="A95" s="1" t="s">
        <v>102</v>
      </c>
      <c r="B95">
        <f>HYPERLINK("https://www.suredividend.com/sure-analysis-BAM/","Brookfield Asset Management, Inc.")</f>
        <v>0</v>
      </c>
      <c r="C95">
        <v>34.57</v>
      </c>
      <c r="D95">
        <v>52262.411598</v>
      </c>
      <c r="E95" t="s">
        <v>663</v>
      </c>
      <c r="F95" t="s">
        <v>631</v>
      </c>
      <c r="G95" t="s">
        <v>671</v>
      </c>
      <c r="H95" t="s">
        <v>699</v>
      </c>
      <c r="I95" t="s">
        <v>797</v>
      </c>
      <c r="J95" t="s">
        <v>1311</v>
      </c>
      <c r="K95">
        <v>43967</v>
      </c>
      <c r="L95">
        <v>0.01277638677575</v>
      </c>
      <c r="M95">
        <v>-0.04822810366038688</v>
      </c>
      <c r="N95">
        <v>0.03</v>
      </c>
      <c r="O95">
        <v>-0.002371564990271025</v>
      </c>
      <c r="P95" t="s">
        <v>635</v>
      </c>
      <c r="Q95" t="s">
        <v>300</v>
      </c>
      <c r="R95">
        <v>8</v>
      </c>
      <c r="S95">
        <v>0.2523883947643875</v>
      </c>
      <c r="T95">
        <v>27</v>
      </c>
      <c r="U95">
        <v>1.28037037037037</v>
      </c>
      <c r="V95">
        <v>1.2752</v>
      </c>
      <c r="W95">
        <v>1.75</v>
      </c>
      <c r="X95">
        <v>0.4416796908376781</v>
      </c>
      <c r="Y95">
        <v>0.065223</v>
      </c>
      <c r="Z95">
        <v>0.1090909090909091</v>
      </c>
      <c r="AA95">
        <v>0.7600644122383252</v>
      </c>
      <c r="AB95">
        <v>0.247588424437299</v>
      </c>
      <c r="AC95">
        <v>0.3006430868167203</v>
      </c>
      <c r="AD95">
        <v>0.112540192926045</v>
      </c>
    </row>
    <row r="96" spans="1:30">
      <c r="A96" s="1" t="s">
        <v>103</v>
      </c>
      <c r="B96">
        <f>HYPERLINK("https://www.suredividend.com/sure-analysis-MSFT/","Microsoft Corp.")</f>
        <v>0</v>
      </c>
      <c r="C96">
        <v>202.88</v>
      </c>
      <c r="D96">
        <v>1538528.3072</v>
      </c>
      <c r="E96" t="s">
        <v>659</v>
      </c>
      <c r="F96" t="s">
        <v>631</v>
      </c>
      <c r="G96" t="s">
        <v>670</v>
      </c>
      <c r="H96" t="s">
        <v>701</v>
      </c>
      <c r="I96" t="s">
        <v>798</v>
      </c>
      <c r="J96" t="s">
        <v>1317</v>
      </c>
      <c r="K96">
        <v>43958</v>
      </c>
      <c r="L96">
        <v>0.009808753943217001</v>
      </c>
      <c r="M96">
        <v>-0.09820208508117667</v>
      </c>
      <c r="N96">
        <v>0.09</v>
      </c>
      <c r="O96">
        <v>-0.003209279378387775</v>
      </c>
      <c r="P96" t="s">
        <v>635</v>
      </c>
      <c r="Q96" t="s">
        <v>300</v>
      </c>
      <c r="R96">
        <v>18</v>
      </c>
      <c r="S96">
        <v>0.3618181818181818</v>
      </c>
      <c r="T96">
        <v>121</v>
      </c>
      <c r="U96">
        <v>1.676694214876033</v>
      </c>
      <c r="V96">
        <v>6.0629</v>
      </c>
      <c r="W96">
        <v>5.5</v>
      </c>
      <c r="X96">
        <v>1.99</v>
      </c>
      <c r="Y96">
        <v>0.487172</v>
      </c>
      <c r="Z96">
        <v>0.06611570247933884</v>
      </c>
      <c r="AA96">
        <v>0.9613526570048309</v>
      </c>
      <c r="AB96">
        <v>0.8633440514469453</v>
      </c>
      <c r="AC96">
        <v>0.08842443729903536</v>
      </c>
      <c r="AD96">
        <v>0.1093247588424437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610.09</v>
      </c>
      <c r="D97">
        <v>55396.172</v>
      </c>
      <c r="E97" t="s">
        <v>659</v>
      </c>
      <c r="F97" t="s">
        <v>631</v>
      </c>
      <c r="G97" t="s">
        <v>670</v>
      </c>
      <c r="H97" t="s">
        <v>699</v>
      </c>
      <c r="I97" t="s">
        <v>799</v>
      </c>
      <c r="J97" t="s">
        <v>1319</v>
      </c>
      <c r="K97">
        <v>43951</v>
      </c>
      <c r="L97">
        <v>0.007752954482125001</v>
      </c>
      <c r="M97">
        <v>-0.08096253289794331</v>
      </c>
      <c r="N97">
        <v>0.07000000000000001</v>
      </c>
      <c r="O97">
        <v>-0.004316220348799749</v>
      </c>
      <c r="P97" t="s">
        <v>635</v>
      </c>
      <c r="Q97" t="s">
        <v>383</v>
      </c>
      <c r="R97">
        <v>42</v>
      </c>
      <c r="S97">
        <v>0.2365</v>
      </c>
      <c r="T97">
        <v>400</v>
      </c>
      <c r="U97">
        <v>1.525225</v>
      </c>
      <c r="V97">
        <v>17.6542</v>
      </c>
      <c r="W97">
        <v>20</v>
      </c>
      <c r="X97">
        <v>4.73</v>
      </c>
      <c r="Y97">
        <v>0.332976</v>
      </c>
      <c r="Z97">
        <v>0.04793388429752066</v>
      </c>
      <c r="AA97">
        <v>0.9259259259259259</v>
      </c>
      <c r="AB97">
        <v>0.7387459807073955</v>
      </c>
      <c r="AC97">
        <v>0.1495176848874598</v>
      </c>
      <c r="AD97">
        <v>0.1045016077170418</v>
      </c>
    </row>
    <row r="98" spans="1:30">
      <c r="A98" s="1" t="s">
        <v>105</v>
      </c>
      <c r="B98">
        <f>HYPERLINK("https://www.suredividend.com/sure-analysis-ALB/","Albemarle Corp.")</f>
        <v>0</v>
      </c>
      <c r="C98">
        <v>88.45999999999999</v>
      </c>
      <c r="D98">
        <v>9404.97874</v>
      </c>
      <c r="E98" t="s">
        <v>664</v>
      </c>
      <c r="F98" t="s">
        <v>631</v>
      </c>
      <c r="G98" t="s">
        <v>670</v>
      </c>
      <c r="H98" t="s">
        <v>699</v>
      </c>
      <c r="I98" t="s">
        <v>800</v>
      </c>
      <c r="J98" t="s">
        <v>1319</v>
      </c>
      <c r="K98">
        <v>43961</v>
      </c>
      <c r="L98">
        <v>0.016815509834953</v>
      </c>
      <c r="M98">
        <v>-0.1008103865354057</v>
      </c>
      <c r="N98">
        <v>0.08</v>
      </c>
      <c r="O98">
        <v>-0.006275155407449828</v>
      </c>
      <c r="P98" t="s">
        <v>635</v>
      </c>
      <c r="Q98" t="s">
        <v>383</v>
      </c>
      <c r="R98">
        <v>25</v>
      </c>
      <c r="S98">
        <v>0.3451276102088168</v>
      </c>
      <c r="T98">
        <v>52</v>
      </c>
      <c r="U98">
        <v>1.701153846153846</v>
      </c>
      <c r="V98">
        <v>4.7798</v>
      </c>
      <c r="W98">
        <v>4.31</v>
      </c>
      <c r="X98">
        <v>1.4875</v>
      </c>
      <c r="Y98">
        <v>0.211781</v>
      </c>
      <c r="Z98">
        <v>0.168595041322314</v>
      </c>
      <c r="AA98">
        <v>0.8711755233494364</v>
      </c>
      <c r="AB98">
        <v>0.8127009646302251</v>
      </c>
      <c r="AC98">
        <v>0.0819935691318328</v>
      </c>
      <c r="AD98">
        <v>0.09967845659163987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78</v>
      </c>
      <c r="D99">
        <v>10100.298</v>
      </c>
      <c r="E99" t="s">
        <v>664</v>
      </c>
      <c r="F99" t="s">
        <v>631</v>
      </c>
      <c r="G99" t="s">
        <v>670</v>
      </c>
      <c r="H99" t="s">
        <v>699</v>
      </c>
      <c r="I99" t="s">
        <v>801</v>
      </c>
      <c r="J99" t="s">
        <v>1319</v>
      </c>
      <c r="K99">
        <v>43929</v>
      </c>
      <c r="L99">
        <v>0.018205128205128</v>
      </c>
      <c r="M99">
        <v>-0.07789208851827223</v>
      </c>
      <c r="N99">
        <v>0.05</v>
      </c>
      <c r="O99">
        <v>-0.008535596298946069</v>
      </c>
      <c r="P99" t="s">
        <v>635</v>
      </c>
      <c r="Q99" t="s">
        <v>636</v>
      </c>
      <c r="R99">
        <v>46</v>
      </c>
      <c r="S99">
        <v>0.4355828220858896</v>
      </c>
      <c r="T99">
        <v>52</v>
      </c>
      <c r="U99">
        <v>1.5</v>
      </c>
      <c r="V99">
        <v>2.5357</v>
      </c>
      <c r="W99">
        <v>3.26</v>
      </c>
      <c r="X99">
        <v>1.42</v>
      </c>
      <c r="Y99">
        <v>0.254624</v>
      </c>
      <c r="Z99">
        <v>0.1983471074380165</v>
      </c>
      <c r="AA99">
        <v>0.9017713365539453</v>
      </c>
      <c r="AB99">
        <v>0.5160771704180064</v>
      </c>
      <c r="AC99">
        <v>0.162379421221865</v>
      </c>
      <c r="AD99">
        <v>0.09646302250803858</v>
      </c>
    </row>
    <row r="100" spans="1:30">
      <c r="A100" s="1" t="s">
        <v>107</v>
      </c>
      <c r="B100">
        <f>HYPERLINK("https://www.suredividend.com/sure-analysis-MCO/","Moody's Corp.")</f>
        <v>0</v>
      </c>
      <c r="C100">
        <v>292.51</v>
      </c>
      <c r="D100">
        <v>54845.625</v>
      </c>
      <c r="E100" t="s">
        <v>663</v>
      </c>
      <c r="F100" t="s">
        <v>631</v>
      </c>
      <c r="G100" t="s">
        <v>670</v>
      </c>
      <c r="H100" t="s">
        <v>699</v>
      </c>
      <c r="I100" t="s">
        <v>802</v>
      </c>
      <c r="J100" t="s">
        <v>1311</v>
      </c>
      <c r="K100">
        <v>43956</v>
      </c>
      <c r="L100">
        <v>0.007042494273700001</v>
      </c>
      <c r="M100">
        <v>-0.09254236819232753</v>
      </c>
      <c r="N100">
        <v>0.08</v>
      </c>
      <c r="O100">
        <v>-0.00873778749123999</v>
      </c>
      <c r="P100" t="s">
        <v>635</v>
      </c>
      <c r="Q100" t="s">
        <v>300</v>
      </c>
      <c r="R100">
        <v>11</v>
      </c>
      <c r="S100">
        <v>0.251219512195122</v>
      </c>
      <c r="T100">
        <v>180</v>
      </c>
      <c r="U100">
        <v>1.625055555555555</v>
      </c>
      <c r="V100">
        <v>8.156599999999999</v>
      </c>
      <c r="W100">
        <v>8.199999999999999</v>
      </c>
      <c r="X100">
        <v>2.06</v>
      </c>
      <c r="Y100">
        <v>0.431977</v>
      </c>
      <c r="Z100">
        <v>0.03636363636363636</v>
      </c>
      <c r="AA100">
        <v>0.9484702093397747</v>
      </c>
      <c r="AB100">
        <v>0.8127009646302251</v>
      </c>
      <c r="AC100">
        <v>0.1077170418006431</v>
      </c>
      <c r="AD100">
        <v>0.09485530546623794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49.92</v>
      </c>
      <c r="D101">
        <v>26904.48384</v>
      </c>
      <c r="E101" t="s">
        <v>663</v>
      </c>
      <c r="F101" t="s">
        <v>631</v>
      </c>
      <c r="G101" t="s">
        <v>670</v>
      </c>
      <c r="H101" t="s">
        <v>699</v>
      </c>
      <c r="I101" t="s">
        <v>803</v>
      </c>
      <c r="J101" t="s">
        <v>1318</v>
      </c>
      <c r="K101">
        <v>43988</v>
      </c>
      <c r="L101">
        <v>0.017728365384615</v>
      </c>
      <c r="M101">
        <v>-0.07944896073530106</v>
      </c>
      <c r="N101">
        <v>0.05</v>
      </c>
      <c r="O101">
        <v>-0.00979881474495381</v>
      </c>
      <c r="P101" t="s">
        <v>635</v>
      </c>
      <c r="Q101" t="s">
        <v>636</v>
      </c>
      <c r="R101">
        <v>54</v>
      </c>
      <c r="S101">
        <v>0.5363636363636364</v>
      </c>
      <c r="T101">
        <v>33</v>
      </c>
      <c r="U101">
        <v>1.512727272727273</v>
      </c>
      <c r="V101">
        <v>1.7288</v>
      </c>
      <c r="W101">
        <v>1.65</v>
      </c>
      <c r="X101">
        <v>0.885</v>
      </c>
      <c r="Y101">
        <v>0.194544</v>
      </c>
      <c r="Z101">
        <v>0.1900826446280992</v>
      </c>
      <c r="AA101">
        <v>0.855072463768116</v>
      </c>
      <c r="AB101">
        <v>0.5160771704180064</v>
      </c>
      <c r="AC101">
        <v>0.157556270096463</v>
      </c>
      <c r="AD101">
        <v>0.09163987138263666</v>
      </c>
    </row>
    <row r="102" spans="1:30">
      <c r="A102" s="1" t="s">
        <v>109</v>
      </c>
      <c r="B102">
        <f>HYPERLINK("https://www.suredividend.com/sure-analysis-CARR/","Carrier Global Corp.")</f>
        <v>0</v>
      </c>
      <c r="C102">
        <v>26.48</v>
      </c>
      <c r="D102">
        <v>22935.89032</v>
      </c>
      <c r="E102" t="s">
        <v>659</v>
      </c>
      <c r="F102" t="s">
        <v>631</v>
      </c>
      <c r="G102" t="s">
        <v>670</v>
      </c>
      <c r="H102" t="s">
        <v>699</v>
      </c>
      <c r="I102" t="s">
        <v>804</v>
      </c>
      <c r="J102" t="s">
        <v>1313</v>
      </c>
      <c r="K102">
        <v>43964</v>
      </c>
      <c r="L102">
        <v>0.003021148036253</v>
      </c>
      <c r="M102">
        <v>-0.084820700716705</v>
      </c>
      <c r="N102">
        <v>0.05</v>
      </c>
      <c r="O102">
        <v>-0.0119707972198434</v>
      </c>
      <c r="P102" t="s">
        <v>635</v>
      </c>
      <c r="Q102" t="s">
        <v>383</v>
      </c>
      <c r="R102">
        <v>26</v>
      </c>
      <c r="S102">
        <v>0.05755395683453238</v>
      </c>
      <c r="T102">
        <v>17</v>
      </c>
      <c r="U102">
        <v>1.557647058823529</v>
      </c>
      <c r="W102">
        <v>1.39</v>
      </c>
      <c r="X102">
        <v>0.08</v>
      </c>
      <c r="Y102">
        <v>1.206667</v>
      </c>
      <c r="Z102">
        <v>0.01322314049586777</v>
      </c>
      <c r="AA102">
        <v>0.9951690821256038</v>
      </c>
      <c r="AB102">
        <v>0.5160771704180064</v>
      </c>
      <c r="AC102">
        <v>0.1382636655948553</v>
      </c>
      <c r="AD102">
        <v>0.08520900321543408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79.63</v>
      </c>
      <c r="D103">
        <v>13233.94859</v>
      </c>
      <c r="E103" t="s">
        <v>667</v>
      </c>
      <c r="F103" t="s">
        <v>631</v>
      </c>
      <c r="G103" t="s">
        <v>670</v>
      </c>
      <c r="H103" t="s">
        <v>701</v>
      </c>
      <c r="I103" t="s">
        <v>805</v>
      </c>
      <c r="J103" t="s">
        <v>1313</v>
      </c>
      <c r="K103">
        <v>43978</v>
      </c>
      <c r="L103">
        <v>0.012558081125204</v>
      </c>
      <c r="M103">
        <v>-0.07474080687864426</v>
      </c>
      <c r="N103">
        <v>0.05</v>
      </c>
      <c r="O103">
        <v>-0.01201264288336734</v>
      </c>
      <c r="P103" t="s">
        <v>635</v>
      </c>
      <c r="Q103" t="s">
        <v>383</v>
      </c>
      <c r="R103">
        <v>26</v>
      </c>
      <c r="S103">
        <v>0.3333333333333333</v>
      </c>
      <c r="T103">
        <v>54</v>
      </c>
      <c r="U103">
        <v>1.47462962962963</v>
      </c>
      <c r="V103">
        <v>3.367</v>
      </c>
      <c r="W103">
        <v>3</v>
      </c>
      <c r="X103">
        <v>1</v>
      </c>
      <c r="Y103">
        <v>0.075936</v>
      </c>
      <c r="Z103">
        <v>0.1041322314049587</v>
      </c>
      <c r="AA103">
        <v>0.7745571658615137</v>
      </c>
      <c r="AB103">
        <v>0.5160771704180064</v>
      </c>
      <c r="AC103">
        <v>0.1816720257234727</v>
      </c>
      <c r="AD103">
        <v>0.08360128617363344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66.53</v>
      </c>
      <c r="D104">
        <v>2306.488652</v>
      </c>
      <c r="E104" t="s">
        <v>669</v>
      </c>
      <c r="F104" t="s">
        <v>631</v>
      </c>
      <c r="G104" t="s">
        <v>670</v>
      </c>
      <c r="H104" t="s">
        <v>701</v>
      </c>
      <c r="I104" t="s">
        <v>806</v>
      </c>
      <c r="J104" t="s">
        <v>1315</v>
      </c>
      <c r="K104">
        <v>44012</v>
      </c>
      <c r="L104">
        <v>0.021193446565459</v>
      </c>
      <c r="M104">
        <v>-0.07521878779872981</v>
      </c>
      <c r="N104">
        <v>0.04</v>
      </c>
      <c r="O104">
        <v>-0.01273022670104673</v>
      </c>
      <c r="P104" t="s">
        <v>635</v>
      </c>
      <c r="Q104" t="s">
        <v>636</v>
      </c>
      <c r="R104">
        <v>44</v>
      </c>
      <c r="S104">
        <v>0.5595238095238095</v>
      </c>
      <c r="T104">
        <v>45</v>
      </c>
      <c r="U104">
        <v>1.478444444444444</v>
      </c>
      <c r="V104">
        <v>2.5644</v>
      </c>
      <c r="W104">
        <v>2.52</v>
      </c>
      <c r="X104">
        <v>1.41</v>
      </c>
      <c r="Y104">
        <v>-0.10614</v>
      </c>
      <c r="Z104">
        <v>0.2661157024793389</v>
      </c>
      <c r="AA104">
        <v>0.537842190016103</v>
      </c>
      <c r="AB104">
        <v>0.3794212218649518</v>
      </c>
      <c r="AC104">
        <v>0.1776527331189711</v>
      </c>
      <c r="AD104">
        <v>0.0819935691318328</v>
      </c>
    </row>
    <row r="105" spans="1:30">
      <c r="A105" s="1" t="s">
        <v>112</v>
      </c>
      <c r="B105">
        <f>HYPERLINK("https://www.suredividend.com/sure-analysis-MKC/","McCormick &amp; Co., Inc.")</f>
        <v>0</v>
      </c>
      <c r="C105">
        <v>190.89</v>
      </c>
      <c r="D105">
        <v>25430.827754</v>
      </c>
      <c r="E105" t="s">
        <v>664</v>
      </c>
      <c r="F105" t="s">
        <v>631</v>
      </c>
      <c r="G105" t="s">
        <v>670</v>
      </c>
      <c r="H105" t="s">
        <v>699</v>
      </c>
      <c r="I105" t="s">
        <v>807</v>
      </c>
      <c r="J105" t="s">
        <v>1318</v>
      </c>
      <c r="K105">
        <v>44009</v>
      </c>
      <c r="L105">
        <v>0.012467913458012</v>
      </c>
      <c r="M105">
        <v>-0.1043838806370551</v>
      </c>
      <c r="N105">
        <v>0.08</v>
      </c>
      <c r="O105">
        <v>-0.01409020086080948</v>
      </c>
      <c r="P105" t="s">
        <v>635</v>
      </c>
      <c r="Q105" t="s">
        <v>383</v>
      </c>
      <c r="R105">
        <v>34</v>
      </c>
      <c r="S105">
        <v>0.4533333333333333</v>
      </c>
      <c r="T105">
        <v>110</v>
      </c>
      <c r="U105">
        <v>1.735363636363636</v>
      </c>
      <c r="V105">
        <v>5.6093</v>
      </c>
      <c r="W105">
        <v>5.25</v>
      </c>
      <c r="X105">
        <v>2.38</v>
      </c>
      <c r="Y105">
        <v>0.191722</v>
      </c>
      <c r="Z105">
        <v>0.1024793388429752</v>
      </c>
      <c r="AA105">
        <v>0.8518518518518519</v>
      </c>
      <c r="AB105">
        <v>0.8127009646302251</v>
      </c>
      <c r="AC105">
        <v>0.06752411575562701</v>
      </c>
      <c r="AD105">
        <v>0.07877813504823152</v>
      </c>
    </row>
    <row r="106" spans="1:30">
      <c r="A106" s="1" t="s">
        <v>113</v>
      </c>
      <c r="B106">
        <f>HYPERLINK("https://www.suredividend.com/sure-analysis-EBAY/","eBay, Inc.")</f>
        <v>0</v>
      </c>
      <c r="C106">
        <v>58.13</v>
      </c>
      <c r="D106">
        <v>40846.73027</v>
      </c>
      <c r="E106" t="s">
        <v>669</v>
      </c>
      <c r="F106" t="s">
        <v>631</v>
      </c>
      <c r="G106" t="s">
        <v>670</v>
      </c>
      <c r="H106" t="s">
        <v>701</v>
      </c>
      <c r="I106" t="s">
        <v>808</v>
      </c>
      <c r="J106" t="s">
        <v>1312</v>
      </c>
      <c r="K106">
        <v>43963</v>
      </c>
      <c r="L106">
        <v>0.009977636332358</v>
      </c>
      <c r="M106">
        <v>-0.09138388401396547</v>
      </c>
      <c r="N106">
        <v>0.07000000000000001</v>
      </c>
      <c r="O106">
        <v>-0.01417781787624872</v>
      </c>
      <c r="P106" t="s">
        <v>635</v>
      </c>
      <c r="Q106" t="s">
        <v>300</v>
      </c>
      <c r="R106">
        <v>1</v>
      </c>
      <c r="S106">
        <v>0.1933333333333333</v>
      </c>
      <c r="T106">
        <v>36</v>
      </c>
      <c r="U106">
        <v>1.614722222222222</v>
      </c>
      <c r="V106">
        <v>6.0637</v>
      </c>
      <c r="W106">
        <v>3</v>
      </c>
      <c r="X106">
        <v>0.58</v>
      </c>
      <c r="Y106">
        <v>0.461655</v>
      </c>
      <c r="Z106">
        <v>0.07107438016528926</v>
      </c>
      <c r="AA106">
        <v>0.9533011272141707</v>
      </c>
      <c r="AB106">
        <v>0.7387459807073955</v>
      </c>
      <c r="AC106">
        <v>0.112540192926045</v>
      </c>
      <c r="AD106">
        <v>0.07556270096463023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210.36</v>
      </c>
      <c r="D107">
        <v>59793.98856</v>
      </c>
      <c r="E107" t="s">
        <v>662</v>
      </c>
      <c r="F107" t="s">
        <v>631</v>
      </c>
      <c r="G107" t="s">
        <v>670</v>
      </c>
      <c r="H107" t="s">
        <v>699</v>
      </c>
      <c r="I107" t="s">
        <v>809</v>
      </c>
      <c r="J107" t="s">
        <v>1319</v>
      </c>
      <c r="K107">
        <v>43950</v>
      </c>
      <c r="L107">
        <v>0.008841985168282001</v>
      </c>
      <c r="M107">
        <v>-0.1561682357208831</v>
      </c>
      <c r="N107">
        <v>0.15</v>
      </c>
      <c r="O107">
        <v>-0.01676715179468624</v>
      </c>
      <c r="P107" t="s">
        <v>635</v>
      </c>
      <c r="Q107" t="s">
        <v>383</v>
      </c>
      <c r="R107">
        <v>34</v>
      </c>
      <c r="S107">
        <v>0.4133333333333333</v>
      </c>
      <c r="T107">
        <v>90</v>
      </c>
      <c r="U107">
        <v>2.337333333333333</v>
      </c>
      <c r="V107">
        <v>5.3643</v>
      </c>
      <c r="W107">
        <v>4.5</v>
      </c>
      <c r="X107">
        <v>1.86</v>
      </c>
      <c r="Y107">
        <v>0.06409000000000001</v>
      </c>
      <c r="Z107">
        <v>0.05785123966942149</v>
      </c>
      <c r="AA107">
        <v>0.7568438003220612</v>
      </c>
      <c r="AB107">
        <v>0.9766881028938907</v>
      </c>
      <c r="AC107">
        <v>0.01929260450160772</v>
      </c>
      <c r="AD107">
        <v>0.0707395498392283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119.4</v>
      </c>
      <c r="D108">
        <v>7663.90392</v>
      </c>
      <c r="E108" t="s">
        <v>667</v>
      </c>
      <c r="F108" t="s">
        <v>631</v>
      </c>
      <c r="G108" t="s">
        <v>670</v>
      </c>
      <c r="H108" t="s">
        <v>699</v>
      </c>
      <c r="I108" t="s">
        <v>810</v>
      </c>
      <c r="J108" t="s">
        <v>1312</v>
      </c>
      <c r="K108">
        <v>43971</v>
      </c>
      <c r="L108">
        <v>0.012060301507537</v>
      </c>
      <c r="M108">
        <v>-0.08880487548581784</v>
      </c>
      <c r="N108">
        <v>0.06</v>
      </c>
      <c r="O108">
        <v>-0.0185521986557623</v>
      </c>
      <c r="P108" t="s">
        <v>635</v>
      </c>
      <c r="Q108" t="s">
        <v>383</v>
      </c>
      <c r="R108">
        <v>26</v>
      </c>
      <c r="S108">
        <v>0.384</v>
      </c>
      <c r="T108">
        <v>75</v>
      </c>
      <c r="U108">
        <v>1.592</v>
      </c>
      <c r="V108">
        <v>3.6746</v>
      </c>
      <c r="W108">
        <v>3.75</v>
      </c>
      <c r="X108">
        <v>1.44</v>
      </c>
      <c r="Y108">
        <v>-0.039884</v>
      </c>
      <c r="Z108">
        <v>0.09917355371900827</v>
      </c>
      <c r="AA108">
        <v>0.6425120772946861</v>
      </c>
      <c r="AB108">
        <v>0.6463022508038585</v>
      </c>
      <c r="AC108">
        <v>0.1237942122186495</v>
      </c>
      <c r="AD108">
        <v>0.06913183279742766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79.92</v>
      </c>
      <c r="D109">
        <v>2947.76928</v>
      </c>
      <c r="E109" t="s">
        <v>669</v>
      </c>
      <c r="F109" t="s">
        <v>631</v>
      </c>
      <c r="G109" t="s">
        <v>670</v>
      </c>
      <c r="H109" t="s">
        <v>699</v>
      </c>
      <c r="I109" t="s">
        <v>811</v>
      </c>
      <c r="J109" t="s">
        <v>1315</v>
      </c>
      <c r="K109">
        <v>43978</v>
      </c>
      <c r="L109">
        <v>0.014889889889889</v>
      </c>
      <c r="M109">
        <v>-0.06536104934582054</v>
      </c>
      <c r="N109">
        <v>0.027</v>
      </c>
      <c r="O109">
        <v>-0.01969737719076792</v>
      </c>
      <c r="P109" t="s">
        <v>635</v>
      </c>
      <c r="Q109" t="s">
        <v>636</v>
      </c>
      <c r="R109">
        <v>64</v>
      </c>
      <c r="S109">
        <v>0.5219298245614036</v>
      </c>
      <c r="T109">
        <v>57</v>
      </c>
      <c r="U109">
        <v>1.402105263157895</v>
      </c>
      <c r="V109">
        <v>2.3135</v>
      </c>
      <c r="W109">
        <v>2.28</v>
      </c>
      <c r="X109">
        <v>1.19</v>
      </c>
      <c r="Y109">
        <v>0.036173</v>
      </c>
      <c r="Z109">
        <v>0.1388429752066116</v>
      </c>
      <c r="AA109">
        <v>0.7375201288244766</v>
      </c>
      <c r="AB109">
        <v>0.1985530546623794</v>
      </c>
      <c r="AC109">
        <v>0.202572347266881</v>
      </c>
      <c r="AD109">
        <v>0.06752411575562701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409.06</v>
      </c>
      <c r="D110">
        <v>42704.63682</v>
      </c>
      <c r="E110" t="s">
        <v>668</v>
      </c>
      <c r="F110" t="s">
        <v>631</v>
      </c>
      <c r="G110" t="s">
        <v>670</v>
      </c>
      <c r="H110" t="s">
        <v>699</v>
      </c>
      <c r="I110" t="s">
        <v>812</v>
      </c>
      <c r="J110" t="s">
        <v>1313</v>
      </c>
      <c r="K110">
        <v>43964</v>
      </c>
      <c r="L110">
        <v>0.004767026842028</v>
      </c>
      <c r="M110">
        <v>-0.09597177938650181</v>
      </c>
      <c r="N110">
        <v>0.07000000000000001</v>
      </c>
      <c r="O110">
        <v>-0.02534061997212977</v>
      </c>
      <c r="P110" t="s">
        <v>635</v>
      </c>
      <c r="Q110" t="s">
        <v>383</v>
      </c>
      <c r="R110">
        <v>27</v>
      </c>
      <c r="S110">
        <v>0.1611570247933884</v>
      </c>
      <c r="T110">
        <v>247</v>
      </c>
      <c r="U110">
        <v>1.656113360323887</v>
      </c>
      <c r="V110">
        <v>15.7434</v>
      </c>
      <c r="W110">
        <v>12.1</v>
      </c>
      <c r="X110">
        <v>1.95</v>
      </c>
      <c r="Y110">
        <v>0.08345899999999999</v>
      </c>
      <c r="Z110">
        <v>0.01652892561983471</v>
      </c>
      <c r="AA110">
        <v>0.7842190016103059</v>
      </c>
      <c r="AB110">
        <v>0.7387459807073955</v>
      </c>
      <c r="AC110">
        <v>0.09967845659163987</v>
      </c>
      <c r="AD110">
        <v>0.06270096463022508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67.45</v>
      </c>
      <c r="D111">
        <v>32268.41725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1318</v>
      </c>
      <c r="K111">
        <v>43992</v>
      </c>
      <c r="L111">
        <v>0.010090437361008</v>
      </c>
      <c r="M111">
        <v>-0.1037760807074989</v>
      </c>
      <c r="N111">
        <v>0.07000000000000001</v>
      </c>
      <c r="O111">
        <v>-0.02677383261237221</v>
      </c>
      <c r="P111" t="s">
        <v>635</v>
      </c>
      <c r="Q111" t="s">
        <v>300</v>
      </c>
      <c r="R111">
        <v>30</v>
      </c>
      <c r="S111">
        <v>0.4253749999999999</v>
      </c>
      <c r="T111">
        <v>39</v>
      </c>
      <c r="U111">
        <v>1.72948717948718</v>
      </c>
      <c r="V111">
        <v>1.7311</v>
      </c>
      <c r="W111">
        <v>1.6</v>
      </c>
      <c r="X111">
        <v>0.6806</v>
      </c>
      <c r="Y111">
        <v>0.2103</v>
      </c>
      <c r="Z111">
        <v>0.07272727272727272</v>
      </c>
      <c r="AA111">
        <v>0.8695652173913043</v>
      </c>
      <c r="AB111">
        <v>0.7387459807073955</v>
      </c>
      <c r="AC111">
        <v>0.07234726688102894</v>
      </c>
      <c r="AD111">
        <v>0.05948553054662379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58.55</v>
      </c>
      <c r="D112">
        <v>25356.77545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1313</v>
      </c>
      <c r="K112">
        <v>43964</v>
      </c>
      <c r="L112">
        <v>0.003415883859948</v>
      </c>
      <c r="M112">
        <v>-0.1138145488316185</v>
      </c>
      <c r="N112">
        <v>0.07000000000000001</v>
      </c>
      <c r="O112">
        <v>-0.03185998417728997</v>
      </c>
      <c r="P112" t="s">
        <v>635</v>
      </c>
      <c r="Q112" t="s">
        <v>383</v>
      </c>
      <c r="R112">
        <v>32</v>
      </c>
      <c r="S112">
        <v>0.09852216748768475</v>
      </c>
      <c r="T112">
        <v>32</v>
      </c>
      <c r="U112">
        <v>1.8296875</v>
      </c>
      <c r="W112">
        <v>2.03</v>
      </c>
      <c r="X112">
        <v>0.2</v>
      </c>
      <c r="Y112">
        <v>0.330682</v>
      </c>
      <c r="Z112">
        <v>0.01487603305785124</v>
      </c>
      <c r="AA112">
        <v>0.9227053140096618</v>
      </c>
      <c r="AB112">
        <v>0.7387459807073955</v>
      </c>
      <c r="AC112">
        <v>0.04983922829581994</v>
      </c>
      <c r="AD112">
        <v>0.05144694533762058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190.51</v>
      </c>
      <c r="D113">
        <v>10988.673953</v>
      </c>
      <c r="E113" t="s">
        <v>659</v>
      </c>
      <c r="F113" t="s">
        <v>631</v>
      </c>
      <c r="G113" t="s">
        <v>670</v>
      </c>
      <c r="H113" t="s">
        <v>701</v>
      </c>
      <c r="I113" t="s">
        <v>815</v>
      </c>
      <c r="J113" t="s">
        <v>1313</v>
      </c>
      <c r="K113">
        <v>43979</v>
      </c>
      <c r="L113">
        <v>0.007821111752663</v>
      </c>
      <c r="M113">
        <v>-0.1157320396239649</v>
      </c>
      <c r="N113">
        <v>0.08</v>
      </c>
      <c r="O113">
        <v>-0.03314525778102606</v>
      </c>
      <c r="P113" t="s">
        <v>635</v>
      </c>
      <c r="Q113" t="s">
        <v>383</v>
      </c>
      <c r="R113">
        <v>56</v>
      </c>
      <c r="S113">
        <v>0.2759259259259259</v>
      </c>
      <c r="T113">
        <v>103</v>
      </c>
      <c r="U113">
        <v>1.849611650485437</v>
      </c>
      <c r="V113">
        <v>5.9217</v>
      </c>
      <c r="W113">
        <v>5.4</v>
      </c>
      <c r="X113">
        <v>1.49</v>
      </c>
      <c r="Y113">
        <v>0.392515</v>
      </c>
      <c r="Z113">
        <v>0.04958677685950413</v>
      </c>
      <c r="AA113">
        <v>0.9371980676328502</v>
      </c>
      <c r="AB113">
        <v>0.8127009646302251</v>
      </c>
      <c r="AC113">
        <v>0.04501607717041801</v>
      </c>
      <c r="AD113">
        <v>0.04983922829581994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66.53</v>
      </c>
      <c r="D114">
        <v>1160.269894</v>
      </c>
      <c r="E114" t="s">
        <v>669</v>
      </c>
      <c r="F114" t="s">
        <v>631</v>
      </c>
      <c r="G114" t="s">
        <v>670</v>
      </c>
      <c r="H114" t="s">
        <v>701</v>
      </c>
      <c r="I114" t="s">
        <v>816</v>
      </c>
      <c r="J114" t="s">
        <v>1315</v>
      </c>
      <c r="K114">
        <v>44012</v>
      </c>
      <c r="L114">
        <v>0.014918082068239</v>
      </c>
      <c r="M114">
        <v>-0.07521878779872981</v>
      </c>
      <c r="N114">
        <v>0.02</v>
      </c>
      <c r="O114">
        <v>-0.03618488006839871</v>
      </c>
      <c r="P114" t="s">
        <v>635</v>
      </c>
      <c r="Q114" t="s">
        <v>383</v>
      </c>
      <c r="R114">
        <v>47</v>
      </c>
      <c r="S114">
        <v>0.4841463414634147</v>
      </c>
      <c r="T114">
        <v>45</v>
      </c>
      <c r="U114">
        <v>1.478444444444444</v>
      </c>
      <c r="V114">
        <v>2.0578</v>
      </c>
      <c r="W114">
        <v>2.05</v>
      </c>
      <c r="X114">
        <v>0.9925</v>
      </c>
      <c r="Y114">
        <v>0.098217</v>
      </c>
      <c r="Z114">
        <v>0.140495867768595</v>
      </c>
      <c r="AA114">
        <v>0.7938808373590982</v>
      </c>
      <c r="AB114">
        <v>0.157556270096463</v>
      </c>
      <c r="AC114">
        <v>0.1776527331189711</v>
      </c>
      <c r="AD114">
        <v>0.04180064308681672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385.31</v>
      </c>
      <c r="D115">
        <v>1670064.5454</v>
      </c>
      <c r="E115" t="s">
        <v>659</v>
      </c>
      <c r="F115" t="s">
        <v>631</v>
      </c>
      <c r="G115" t="s">
        <v>670</v>
      </c>
      <c r="H115" t="s">
        <v>701</v>
      </c>
      <c r="I115" t="s">
        <v>817</v>
      </c>
      <c r="J115" t="s">
        <v>1317</v>
      </c>
      <c r="K115">
        <v>43958</v>
      </c>
      <c r="L115">
        <v>0.007993563624094001</v>
      </c>
      <c r="M115">
        <v>-0.122910437151703</v>
      </c>
      <c r="N115">
        <v>0.08</v>
      </c>
      <c r="O115">
        <v>-0.03970814769279407</v>
      </c>
      <c r="P115" t="s">
        <v>635</v>
      </c>
      <c r="Q115" t="s">
        <v>300</v>
      </c>
      <c r="R115">
        <v>8</v>
      </c>
      <c r="S115">
        <v>0.2464</v>
      </c>
      <c r="T115">
        <v>200</v>
      </c>
      <c r="U115">
        <v>1.92655</v>
      </c>
      <c r="V115">
        <v>12.8615</v>
      </c>
      <c r="W115">
        <v>12.5</v>
      </c>
      <c r="X115">
        <v>3.08</v>
      </c>
      <c r="Y115">
        <v>0.873529</v>
      </c>
      <c r="Z115">
        <v>0.05289256198347107</v>
      </c>
      <c r="AA115">
        <v>0.9903381642512078</v>
      </c>
      <c r="AB115">
        <v>0.8127009646302251</v>
      </c>
      <c r="AC115">
        <v>0.03697749196141479</v>
      </c>
      <c r="AD115">
        <v>0.03536977491961415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181.58</v>
      </c>
      <c r="D116">
        <v>13911.824332</v>
      </c>
      <c r="E116" t="s">
        <v>660</v>
      </c>
      <c r="F116" t="s">
        <v>631</v>
      </c>
      <c r="G116" t="s">
        <v>670</v>
      </c>
      <c r="H116" t="s">
        <v>701</v>
      </c>
      <c r="I116" t="s">
        <v>818</v>
      </c>
      <c r="J116" t="s">
        <v>1317</v>
      </c>
      <c r="K116">
        <v>43961</v>
      </c>
      <c r="L116">
        <v>0.008976759555017</v>
      </c>
      <c r="M116">
        <v>-0.1388355606648485</v>
      </c>
      <c r="N116">
        <v>0.095</v>
      </c>
      <c r="O116">
        <v>-0.04187617557646361</v>
      </c>
      <c r="P116" t="s">
        <v>635</v>
      </c>
      <c r="Q116" t="s">
        <v>300</v>
      </c>
      <c r="R116">
        <v>30</v>
      </c>
      <c r="S116">
        <v>0.4179487179487179</v>
      </c>
      <c r="T116">
        <v>86</v>
      </c>
      <c r="U116">
        <v>2.111395348837209</v>
      </c>
      <c r="V116">
        <v>3.8535</v>
      </c>
      <c r="W116">
        <v>3.9</v>
      </c>
      <c r="X116">
        <v>1.63</v>
      </c>
      <c r="Y116">
        <v>0.273352</v>
      </c>
      <c r="Z116">
        <v>0.06115702479338843</v>
      </c>
      <c r="AA116">
        <v>0.9066022544283413</v>
      </c>
      <c r="AB116">
        <v>0.8818327974276527</v>
      </c>
      <c r="AC116">
        <v>0.022508038585209</v>
      </c>
      <c r="AD116">
        <v>0.03215434083601286</v>
      </c>
    </row>
    <row r="117" spans="1:30">
      <c r="A117" s="1" t="s">
        <v>124</v>
      </c>
      <c r="B117">
        <f>HYPERLINK("https://www.suredividend.com/sure-analysis-APD/","Air Products &amp; Chemicals, Inc.")</f>
        <v>0</v>
      </c>
      <c r="C117">
        <v>294</v>
      </c>
      <c r="D117">
        <v>64931.37</v>
      </c>
      <c r="E117" t="s">
        <v>660</v>
      </c>
      <c r="F117" t="s">
        <v>631</v>
      </c>
      <c r="G117" t="s">
        <v>670</v>
      </c>
      <c r="H117" t="s">
        <v>699</v>
      </c>
      <c r="I117" t="s">
        <v>819</v>
      </c>
      <c r="J117" t="s">
        <v>1319</v>
      </c>
      <c r="K117">
        <v>43946</v>
      </c>
      <c r="L117">
        <v>0.016394557823129</v>
      </c>
      <c r="M117">
        <v>-0.1224561638727135</v>
      </c>
      <c r="N117">
        <v>0.06</v>
      </c>
      <c r="O117">
        <v>-0.04316982437635586</v>
      </c>
      <c r="P117" t="s">
        <v>635</v>
      </c>
      <c r="Q117" t="s">
        <v>383</v>
      </c>
      <c r="R117">
        <v>38</v>
      </c>
      <c r="S117">
        <v>0.5670588235294118</v>
      </c>
      <c r="T117">
        <v>153</v>
      </c>
      <c r="U117">
        <v>1.92156862745098</v>
      </c>
      <c r="V117">
        <v>8.867699999999999</v>
      </c>
      <c r="W117">
        <v>8.5</v>
      </c>
      <c r="X117">
        <v>4.82</v>
      </c>
      <c r="Y117">
        <v>0.303538</v>
      </c>
      <c r="Z117">
        <v>0.1603305785123967</v>
      </c>
      <c r="AA117">
        <v>0.9130434782608695</v>
      </c>
      <c r="AB117">
        <v>0.6463022508038585</v>
      </c>
      <c r="AC117">
        <v>0.03858520900321544</v>
      </c>
      <c r="AD117">
        <v>0.03054662379421222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280.06</v>
      </c>
      <c r="D118">
        <v>29140.243</v>
      </c>
      <c r="E118" t="s">
        <v>663</v>
      </c>
      <c r="F118" t="s">
        <v>631</v>
      </c>
      <c r="G118" t="s">
        <v>670</v>
      </c>
      <c r="H118" t="s">
        <v>701</v>
      </c>
      <c r="I118" t="s">
        <v>820</v>
      </c>
      <c r="J118" t="s">
        <v>1313</v>
      </c>
      <c r="K118">
        <v>43920</v>
      </c>
      <c r="L118">
        <v>0.007319860029993</v>
      </c>
      <c r="M118">
        <v>-0.1150504745728027</v>
      </c>
      <c r="N118">
        <v>0.06</v>
      </c>
      <c r="O118">
        <v>-0.0466581096367682</v>
      </c>
      <c r="P118" t="s">
        <v>635</v>
      </c>
      <c r="Q118" t="s">
        <v>383</v>
      </c>
      <c r="R118">
        <v>36</v>
      </c>
      <c r="S118">
        <v>0.25625</v>
      </c>
      <c r="T118">
        <v>152</v>
      </c>
      <c r="U118">
        <v>1.8425</v>
      </c>
      <c r="V118">
        <v>9.123200000000001</v>
      </c>
      <c r="W118">
        <v>8</v>
      </c>
      <c r="X118">
        <v>2.05</v>
      </c>
      <c r="Y118">
        <v>0.07446799999999999</v>
      </c>
      <c r="Z118">
        <v>0.03966942148760331</v>
      </c>
      <c r="AA118">
        <v>0.7713365539452497</v>
      </c>
      <c r="AB118">
        <v>0.6463022508038585</v>
      </c>
      <c r="AC118">
        <v>0.04662379421221865</v>
      </c>
      <c r="AD118">
        <v>0.02733118971061093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49.32</v>
      </c>
      <c r="D119">
        <v>2402.57448</v>
      </c>
      <c r="E119" t="s">
        <v>660</v>
      </c>
      <c r="F119" t="s">
        <v>631</v>
      </c>
      <c r="G119" t="s">
        <v>670</v>
      </c>
      <c r="H119" t="s">
        <v>699</v>
      </c>
      <c r="I119" t="s">
        <v>821</v>
      </c>
      <c r="J119" t="s">
        <v>1315</v>
      </c>
      <c r="K119">
        <v>43959</v>
      </c>
      <c r="L119">
        <v>0.016321978913219</v>
      </c>
      <c r="M119">
        <v>-0.1135216383059823</v>
      </c>
      <c r="N119">
        <v>0.04</v>
      </c>
      <c r="O119">
        <v>-0.05297732100255326</v>
      </c>
      <c r="P119" t="s">
        <v>635</v>
      </c>
      <c r="Q119" t="s">
        <v>383</v>
      </c>
      <c r="R119">
        <v>52</v>
      </c>
      <c r="S119">
        <v>0.5962962962962963</v>
      </c>
      <c r="T119">
        <v>27</v>
      </c>
      <c r="U119">
        <v>1.826666666666667</v>
      </c>
      <c r="V119">
        <v>1.051</v>
      </c>
      <c r="W119">
        <v>1.35</v>
      </c>
      <c r="X119">
        <v>0.805</v>
      </c>
      <c r="Y119">
        <v>-0.078303</v>
      </c>
      <c r="Z119">
        <v>0.1586776859504132</v>
      </c>
      <c r="AA119">
        <v>0.5829307568438004</v>
      </c>
      <c r="AB119">
        <v>0.3794212218649518</v>
      </c>
      <c r="AC119">
        <v>0.05144694533762058</v>
      </c>
      <c r="AD119">
        <v>0.01929260450160772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62.3</v>
      </c>
      <c r="D120">
        <v>1814.01402</v>
      </c>
      <c r="E120" t="s">
        <v>664</v>
      </c>
      <c r="F120" t="s">
        <v>631</v>
      </c>
      <c r="G120" t="s">
        <v>670</v>
      </c>
      <c r="H120" t="s">
        <v>699</v>
      </c>
      <c r="I120" t="s">
        <v>822</v>
      </c>
      <c r="J120" t="s">
        <v>1313</v>
      </c>
      <c r="K120">
        <v>44028</v>
      </c>
      <c r="L120">
        <v>0.01091492776886</v>
      </c>
      <c r="M120">
        <v>-0.1038867666339698</v>
      </c>
      <c r="N120">
        <v>0.034</v>
      </c>
      <c r="O120">
        <v>-0.05471009966954021</v>
      </c>
      <c r="P120" t="s">
        <v>635</v>
      </c>
      <c r="Q120" t="s">
        <v>300</v>
      </c>
      <c r="R120">
        <v>27</v>
      </c>
      <c r="S120">
        <v>0.4503311258278146</v>
      </c>
      <c r="T120">
        <v>36</v>
      </c>
      <c r="U120">
        <v>1.730555555555555</v>
      </c>
      <c r="V120">
        <v>1.5975</v>
      </c>
      <c r="W120">
        <v>1.51</v>
      </c>
      <c r="X120">
        <v>0.68</v>
      </c>
      <c r="Y120">
        <v>0.204097</v>
      </c>
      <c r="Z120">
        <v>0.08429752066115702</v>
      </c>
      <c r="AA120">
        <v>0.8647342995169082</v>
      </c>
      <c r="AB120">
        <v>0.3014469453376206</v>
      </c>
      <c r="AC120">
        <v>0.06913183279742766</v>
      </c>
      <c r="AD120">
        <v>0.01607717041800643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82</v>
      </c>
      <c r="D121">
        <v>3683.6614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0.011219512195121</v>
      </c>
      <c r="M121">
        <v>-0.1252436825867802</v>
      </c>
      <c r="N121">
        <v>0.03</v>
      </c>
      <c r="O121">
        <v>-0.08009939558224111</v>
      </c>
      <c r="P121" t="s">
        <v>635</v>
      </c>
      <c r="Q121" t="s">
        <v>383</v>
      </c>
      <c r="R121">
        <v>44</v>
      </c>
      <c r="S121">
        <v>0.3755102040816327</v>
      </c>
      <c r="T121">
        <v>42</v>
      </c>
      <c r="U121">
        <v>1.952380952380952</v>
      </c>
      <c r="V121">
        <v>1.4525</v>
      </c>
      <c r="W121">
        <v>2.45</v>
      </c>
      <c r="X121">
        <v>0.92</v>
      </c>
      <c r="Y121">
        <v>-0.08979899999999999</v>
      </c>
      <c r="Z121">
        <v>0.09090909090909091</v>
      </c>
      <c r="AA121">
        <v>0.5539452495974235</v>
      </c>
      <c r="AB121">
        <v>0.247588424437299</v>
      </c>
      <c r="AC121">
        <v>0.03376205787781351</v>
      </c>
      <c r="AD121">
        <v>0.0112540192926045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246.94</v>
      </c>
      <c r="D122">
        <v>18175.327268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1314</v>
      </c>
      <c r="K122">
        <v>43950</v>
      </c>
      <c r="L122">
        <v>0.002551227018708</v>
      </c>
      <c r="M122">
        <v>-0.2206484903762177</v>
      </c>
      <c r="N122">
        <v>0.08</v>
      </c>
      <c r="O122">
        <v>-0.1522025593479054</v>
      </c>
      <c r="P122" t="s">
        <v>635</v>
      </c>
      <c r="Q122" t="s">
        <v>383</v>
      </c>
      <c r="R122">
        <v>26</v>
      </c>
      <c r="S122">
        <v>0.1764705882352941</v>
      </c>
      <c r="T122">
        <v>71</v>
      </c>
      <c r="U122">
        <v>3.478028169014085</v>
      </c>
      <c r="V122">
        <v>3.5254</v>
      </c>
      <c r="W122">
        <v>3.57</v>
      </c>
      <c r="X122">
        <v>0.63</v>
      </c>
      <c r="Y122">
        <v>1.022938</v>
      </c>
      <c r="Z122">
        <v>0.009917355371900827</v>
      </c>
      <c r="AA122">
        <v>0.9935587761674718</v>
      </c>
      <c r="AB122">
        <v>0.8127009646302251</v>
      </c>
      <c r="AC122">
        <v>0.003215434083601286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23.23</v>
      </c>
      <c r="D123">
        <v>2310.016288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0.14214377959535</v>
      </c>
      <c r="M123">
        <v>0.09156765471495087</v>
      </c>
      <c r="N123">
        <v>0.015</v>
      </c>
      <c r="O123">
        <v>0.1893433798403592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0.6452777777777778</v>
      </c>
      <c r="V123">
        <v>-0.019</v>
      </c>
      <c r="W123">
        <v>8</v>
      </c>
      <c r="X123">
        <v>3.302</v>
      </c>
      <c r="Y123">
        <v>-0.29435</v>
      </c>
      <c r="Z123">
        <v>0.9256198347107438</v>
      </c>
      <c r="AA123">
        <v>0.2914653784219002</v>
      </c>
      <c r="AB123">
        <v>0.1085209003215434</v>
      </c>
      <c r="AC123">
        <v>0.9614147909967846</v>
      </c>
      <c r="AD123">
        <v>0.9807073954983924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99.31999999999999</v>
      </c>
      <c r="D124">
        <v>12741.826464</v>
      </c>
      <c r="E124" t="s">
        <v>664</v>
      </c>
      <c r="F124" t="s">
        <v>631</v>
      </c>
      <c r="G124" t="s">
        <v>670</v>
      </c>
      <c r="H124" t="s">
        <v>699</v>
      </c>
      <c r="I124" t="s">
        <v>826</v>
      </c>
      <c r="J124" t="s">
        <v>1311</v>
      </c>
      <c r="K124">
        <v>43944</v>
      </c>
      <c r="L124">
        <v>0.04228755537656</v>
      </c>
      <c r="M124">
        <v>0.06487943376361804</v>
      </c>
      <c r="N124">
        <v>0.057</v>
      </c>
      <c r="O124">
        <v>0.1544244505694283</v>
      </c>
      <c r="P124" t="s">
        <v>636</v>
      </c>
      <c r="Q124" t="s">
        <v>636</v>
      </c>
      <c r="R124">
        <v>4</v>
      </c>
      <c r="S124">
        <v>0.4952830188679245</v>
      </c>
      <c r="T124">
        <v>136</v>
      </c>
      <c r="U124">
        <v>0.7302941176470588</v>
      </c>
      <c r="V124">
        <v>12.3448</v>
      </c>
      <c r="W124">
        <v>8.48</v>
      </c>
      <c r="X124">
        <v>4.2</v>
      </c>
      <c r="Y124">
        <v>-0.389776</v>
      </c>
      <c r="Z124">
        <v>0.5752066115702479</v>
      </c>
      <c r="AA124">
        <v>0.1755233494363929</v>
      </c>
      <c r="AB124">
        <v>0.6004823151125401</v>
      </c>
      <c r="AC124">
        <v>0.9147909967845659</v>
      </c>
      <c r="AD124">
        <v>0.9372990353697749</v>
      </c>
    </row>
    <row r="125" spans="1:30">
      <c r="A125" s="1" t="s">
        <v>132</v>
      </c>
      <c r="B125">
        <f>HYPERLINK("https://www.suredividend.com/sure-analysis-FDX/","FedEx Corp.")</f>
        <v>0</v>
      </c>
      <c r="C125">
        <v>165.98</v>
      </c>
      <c r="D125">
        <v>43362.275</v>
      </c>
      <c r="E125" t="s">
        <v>665</v>
      </c>
      <c r="F125" t="s">
        <v>631</v>
      </c>
      <c r="G125" t="s">
        <v>670</v>
      </c>
      <c r="H125" t="s">
        <v>699</v>
      </c>
      <c r="I125" t="s">
        <v>827</v>
      </c>
      <c r="J125" t="s">
        <v>1313</v>
      </c>
      <c r="K125">
        <v>44013</v>
      </c>
      <c r="L125">
        <v>0.015664537896132</v>
      </c>
      <c r="M125">
        <v>0.07018788966821066</v>
      </c>
      <c r="N125">
        <v>0.06</v>
      </c>
      <c r="O125">
        <v>0.1454859064255059</v>
      </c>
      <c r="P125" t="s">
        <v>636</v>
      </c>
      <c r="Q125" t="s">
        <v>300</v>
      </c>
      <c r="R125">
        <v>0</v>
      </c>
      <c r="S125">
        <v>0.2736842105263158</v>
      </c>
      <c r="T125">
        <v>233</v>
      </c>
      <c r="U125">
        <v>0.7123605150214591</v>
      </c>
      <c r="W125">
        <v>9.5</v>
      </c>
      <c r="X125">
        <v>2.6</v>
      </c>
      <c r="Y125">
        <v>0.003628</v>
      </c>
      <c r="Z125">
        <v>0.1504132231404959</v>
      </c>
      <c r="AA125">
        <v>0.6892109500805152</v>
      </c>
      <c r="AB125">
        <v>0.6463022508038585</v>
      </c>
      <c r="AC125">
        <v>0.9260450160771704</v>
      </c>
      <c r="AD125">
        <v>0.9115755627009646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30.25</v>
      </c>
      <c r="D126">
        <v>215531.25</v>
      </c>
      <c r="E126" t="s">
        <v>659</v>
      </c>
      <c r="F126" t="s">
        <v>631</v>
      </c>
      <c r="G126" t="s">
        <v>670</v>
      </c>
      <c r="H126" t="s">
        <v>699</v>
      </c>
      <c r="I126" t="s">
        <v>828</v>
      </c>
      <c r="J126" t="s">
        <v>1320</v>
      </c>
      <c r="K126">
        <v>43944</v>
      </c>
      <c r="L126">
        <v>0.068099173553719</v>
      </c>
      <c r="M126">
        <v>0.05212622444375081</v>
      </c>
      <c r="N126">
        <v>0.04</v>
      </c>
      <c r="O126">
        <v>0.1407753177141375</v>
      </c>
      <c r="P126" t="s">
        <v>636</v>
      </c>
      <c r="Q126" t="s">
        <v>635</v>
      </c>
      <c r="R126">
        <v>36</v>
      </c>
      <c r="S126">
        <v>0.6338461538461538</v>
      </c>
      <c r="T126">
        <v>39</v>
      </c>
      <c r="U126">
        <v>0.7756410256410257</v>
      </c>
      <c r="V126">
        <v>1.9834</v>
      </c>
      <c r="W126">
        <v>3.25</v>
      </c>
      <c r="X126">
        <v>2.06</v>
      </c>
      <c r="Y126">
        <v>-0.085827</v>
      </c>
      <c r="Z126">
        <v>0.7801652892561983</v>
      </c>
      <c r="AA126">
        <v>0.5587761674718197</v>
      </c>
      <c r="AB126">
        <v>0.3794212218649518</v>
      </c>
      <c r="AC126">
        <v>0.8633440514469453</v>
      </c>
      <c r="AD126">
        <v>0.8971061093247589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18.17</v>
      </c>
      <c r="D127">
        <v>39717.6213</v>
      </c>
      <c r="E127" t="s">
        <v>669</v>
      </c>
      <c r="F127" t="s">
        <v>632</v>
      </c>
      <c r="G127" t="s">
        <v>670</v>
      </c>
      <c r="H127" t="s">
        <v>699</v>
      </c>
      <c r="I127" t="s">
        <v>829</v>
      </c>
      <c r="J127" t="s">
        <v>1316</v>
      </c>
      <c r="K127">
        <v>43978</v>
      </c>
      <c r="L127">
        <v>0.09713813979086401</v>
      </c>
      <c r="M127">
        <v>0.02937323885751075</v>
      </c>
      <c r="N127">
        <v>0.037</v>
      </c>
      <c r="O127">
        <v>0.1382172529656316</v>
      </c>
      <c r="P127" t="s">
        <v>636</v>
      </c>
      <c r="Q127" t="s">
        <v>635</v>
      </c>
      <c r="R127">
        <v>21</v>
      </c>
      <c r="S127">
        <v>0.5883333333333334</v>
      </c>
      <c r="T127">
        <v>21</v>
      </c>
      <c r="U127">
        <v>0.8652380952380954</v>
      </c>
      <c r="V127">
        <v>2.1247</v>
      </c>
      <c r="W127">
        <v>3</v>
      </c>
      <c r="X127">
        <v>1.765</v>
      </c>
      <c r="Y127">
        <v>-0.392917</v>
      </c>
      <c r="Z127">
        <v>0.8628099173553718</v>
      </c>
      <c r="AA127">
        <v>0.1739130434782609</v>
      </c>
      <c r="AB127">
        <v>0.3231511254019293</v>
      </c>
      <c r="AC127">
        <v>0.770096463022508</v>
      </c>
      <c r="AD127">
        <v>0.8906752411575564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11.35</v>
      </c>
      <c r="D128">
        <v>4819.8683</v>
      </c>
      <c r="E128" t="s">
        <v>662</v>
      </c>
      <c r="F128" t="s">
        <v>631</v>
      </c>
      <c r="G128" t="s">
        <v>670</v>
      </c>
      <c r="H128" t="s">
        <v>701</v>
      </c>
      <c r="I128" t="s">
        <v>830</v>
      </c>
      <c r="J128" t="s">
        <v>1311</v>
      </c>
      <c r="K128">
        <v>43949</v>
      </c>
      <c r="L128">
        <v>0.06255506607929501</v>
      </c>
      <c r="M128">
        <v>0.04286102024739691</v>
      </c>
      <c r="N128">
        <v>0.05</v>
      </c>
      <c r="O128">
        <v>0.1375180631006145</v>
      </c>
      <c r="P128" t="s">
        <v>636</v>
      </c>
      <c r="Q128" t="s">
        <v>635</v>
      </c>
      <c r="R128">
        <v>27</v>
      </c>
      <c r="S128">
        <v>0.6454545454545454</v>
      </c>
      <c r="T128">
        <v>14</v>
      </c>
      <c r="U128">
        <v>0.8107142857142857</v>
      </c>
      <c r="V128">
        <v>1.2742</v>
      </c>
      <c r="W128">
        <v>1.1</v>
      </c>
      <c r="X128">
        <v>0.71</v>
      </c>
      <c r="Y128">
        <v>-0.310868</v>
      </c>
      <c r="Z128">
        <v>0.740495867768595</v>
      </c>
      <c r="AA128">
        <v>0.2737520128824477</v>
      </c>
      <c r="AB128">
        <v>0.5160771704180064</v>
      </c>
      <c r="AC128">
        <v>0.8311897106109325</v>
      </c>
      <c r="AD128">
        <v>0.8890675241157556</v>
      </c>
    </row>
    <row r="129" spans="1:30">
      <c r="A129" s="1" t="s">
        <v>136</v>
      </c>
      <c r="B129">
        <f>HYPERLINK("https://www.suredividend.com/sure-analysis-AXP/","American Express Co.")</f>
        <v>0</v>
      </c>
      <c r="C129">
        <v>95.18000000000001</v>
      </c>
      <c r="D129">
        <v>76617.23496</v>
      </c>
      <c r="E129" t="s">
        <v>660</v>
      </c>
      <c r="F129" t="s">
        <v>631</v>
      </c>
      <c r="G129" t="s">
        <v>670</v>
      </c>
      <c r="H129" t="s">
        <v>699</v>
      </c>
      <c r="I129" t="s">
        <v>831</v>
      </c>
      <c r="J129" t="s">
        <v>1311</v>
      </c>
      <c r="K129">
        <v>43946</v>
      </c>
      <c r="L129">
        <v>0.01765076696785</v>
      </c>
      <c r="M129">
        <v>0.04568349256506332</v>
      </c>
      <c r="N129">
        <v>0.07000000000000001</v>
      </c>
      <c r="O129">
        <v>0.1331348122675722</v>
      </c>
      <c r="P129" t="s">
        <v>636</v>
      </c>
      <c r="Q129" t="s">
        <v>383</v>
      </c>
      <c r="R129">
        <v>8</v>
      </c>
      <c r="S129">
        <v>0.28</v>
      </c>
      <c r="T129">
        <v>119</v>
      </c>
      <c r="U129">
        <v>0.7998319327731093</v>
      </c>
      <c r="V129">
        <v>6.6148</v>
      </c>
      <c r="W129">
        <v>6</v>
      </c>
      <c r="X129">
        <v>1.68</v>
      </c>
      <c r="Y129">
        <v>-0.258723</v>
      </c>
      <c r="Z129">
        <v>0.1867768595041323</v>
      </c>
      <c r="AA129">
        <v>0.3236714975845411</v>
      </c>
      <c r="AB129">
        <v>0.7387459807073955</v>
      </c>
      <c r="AC129">
        <v>0.8472668810289389</v>
      </c>
      <c r="AD129">
        <v>0.8681672025723473</v>
      </c>
    </row>
    <row r="130" spans="1:30">
      <c r="A130" s="1" t="s">
        <v>137</v>
      </c>
      <c r="B130">
        <f>HYPERLINK("https://www.suredividend.com/sure-analysis-OMC/","Omnicom Group, Inc.")</f>
        <v>0</v>
      </c>
      <c r="C130">
        <v>55.69</v>
      </c>
      <c r="D130">
        <v>11933.42027</v>
      </c>
      <c r="E130" t="s">
        <v>660</v>
      </c>
      <c r="F130" t="s">
        <v>631</v>
      </c>
      <c r="G130" t="s">
        <v>670</v>
      </c>
      <c r="H130" t="s">
        <v>699</v>
      </c>
      <c r="I130" t="s">
        <v>832</v>
      </c>
      <c r="J130" t="s">
        <v>1320</v>
      </c>
      <c r="K130">
        <v>43958</v>
      </c>
      <c r="L130">
        <v>0.046687017417848</v>
      </c>
      <c r="M130">
        <v>0.05850009264811229</v>
      </c>
      <c r="N130">
        <v>0.035</v>
      </c>
      <c r="O130">
        <v>0.1313137409059135</v>
      </c>
      <c r="P130" t="s">
        <v>636</v>
      </c>
      <c r="Q130" t="s">
        <v>635</v>
      </c>
      <c r="R130">
        <v>10</v>
      </c>
      <c r="S130">
        <v>0.4193548387096774</v>
      </c>
      <c r="T130">
        <v>74</v>
      </c>
      <c r="U130">
        <v>0.7525675675675675</v>
      </c>
      <c r="V130">
        <v>6.1116</v>
      </c>
      <c r="W130">
        <v>6.2</v>
      </c>
      <c r="X130">
        <v>2.6</v>
      </c>
      <c r="Y130">
        <v>-0.315427</v>
      </c>
      <c r="Z130">
        <v>0.6181818181818182</v>
      </c>
      <c r="AA130">
        <v>0.2673107890499195</v>
      </c>
      <c r="AB130">
        <v>0.3086816720257235</v>
      </c>
      <c r="AC130">
        <v>0.892282958199357</v>
      </c>
      <c r="AD130">
        <v>0.8649517684887459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38.97</v>
      </c>
      <c r="D131">
        <v>22783.0311</v>
      </c>
      <c r="E131" t="s">
        <v>660</v>
      </c>
      <c r="F131" t="s">
        <v>631</v>
      </c>
      <c r="G131" t="s">
        <v>671</v>
      </c>
      <c r="H131" t="s">
        <v>699</v>
      </c>
      <c r="I131" t="s">
        <v>833</v>
      </c>
      <c r="J131" t="s">
        <v>1311</v>
      </c>
      <c r="K131">
        <v>43969</v>
      </c>
      <c r="L131">
        <v>0.04145523453847801</v>
      </c>
      <c r="M131">
        <v>0.02457665003224108</v>
      </c>
      <c r="N131">
        <v>0.07000000000000001</v>
      </c>
      <c r="O131">
        <v>0.130394242437962</v>
      </c>
      <c r="P131" t="s">
        <v>636</v>
      </c>
      <c r="Q131" t="s">
        <v>636</v>
      </c>
      <c r="R131">
        <v>4</v>
      </c>
      <c r="S131">
        <v>0.40387762249113</v>
      </c>
      <c r="T131">
        <v>44</v>
      </c>
      <c r="U131">
        <v>0.8856818181818181</v>
      </c>
      <c r="V131">
        <v>3.0455</v>
      </c>
      <c r="W131">
        <v>4</v>
      </c>
      <c r="X131">
        <v>1.61551048996452</v>
      </c>
      <c r="Y131">
        <v>-0.079376</v>
      </c>
      <c r="Z131">
        <v>0.5669421487603306</v>
      </c>
      <c r="AA131">
        <v>0.5764895330112721</v>
      </c>
      <c r="AB131">
        <v>0.7387459807073955</v>
      </c>
      <c r="AC131">
        <v>0.7427652733118971</v>
      </c>
      <c r="AD131">
        <v>0.8633440514469453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78.43000000000001</v>
      </c>
      <c r="D132">
        <v>5990.296501</v>
      </c>
      <c r="E132" t="s">
        <v>669</v>
      </c>
      <c r="F132" t="s">
        <v>633</v>
      </c>
      <c r="G132" t="s">
        <v>670</v>
      </c>
      <c r="H132" t="s">
        <v>699</v>
      </c>
      <c r="I132" t="s">
        <v>834</v>
      </c>
      <c r="J132" t="s">
        <v>1321</v>
      </c>
      <c r="K132">
        <v>43978</v>
      </c>
      <c r="L132">
        <v>0.05316843044753201</v>
      </c>
      <c r="M132">
        <v>0.01859900415338211</v>
      </c>
      <c r="N132">
        <v>0.06900000000000001</v>
      </c>
      <c r="O132">
        <v>0.1294252859863139</v>
      </c>
      <c r="P132" t="s">
        <v>636</v>
      </c>
      <c r="Q132" t="s">
        <v>635</v>
      </c>
      <c r="R132">
        <v>51</v>
      </c>
      <c r="S132">
        <v>0.7277486910994764</v>
      </c>
      <c r="T132">
        <v>86</v>
      </c>
      <c r="U132">
        <v>0.9119767441860466</v>
      </c>
      <c r="V132">
        <v>4.5201</v>
      </c>
      <c r="W132">
        <v>5.73</v>
      </c>
      <c r="X132">
        <v>4.17</v>
      </c>
      <c r="Y132">
        <v>-0.398174</v>
      </c>
      <c r="Z132">
        <v>0.6760330578512397</v>
      </c>
      <c r="AA132">
        <v>0.1690821256038647</v>
      </c>
      <c r="AB132">
        <v>0.7041800643086816</v>
      </c>
      <c r="AC132">
        <v>0.712218649517685</v>
      </c>
      <c r="AD132">
        <v>0.8569131832797428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368.5</v>
      </c>
      <c r="D133">
        <v>103340.2975</v>
      </c>
      <c r="E133" t="s">
        <v>661</v>
      </c>
      <c r="F133" t="s">
        <v>631</v>
      </c>
      <c r="G133" t="s">
        <v>670</v>
      </c>
      <c r="H133" t="s">
        <v>699</v>
      </c>
      <c r="I133" t="s">
        <v>835</v>
      </c>
      <c r="J133" t="s">
        <v>1313</v>
      </c>
      <c r="K133">
        <v>43964</v>
      </c>
      <c r="L133">
        <v>0.024966078697421</v>
      </c>
      <c r="M133">
        <v>0.006694038286113813</v>
      </c>
      <c r="N133">
        <v>0.1</v>
      </c>
      <c r="O133">
        <v>0.1284994118427694</v>
      </c>
      <c r="P133" t="s">
        <v>636</v>
      </c>
      <c r="Q133" t="s">
        <v>636</v>
      </c>
      <c r="R133">
        <v>17</v>
      </c>
      <c r="S133">
        <v>0.3865546218487395</v>
      </c>
      <c r="T133">
        <v>381</v>
      </c>
      <c r="U133">
        <v>0.9671916010498688</v>
      </c>
      <c r="V133">
        <v>22.1612</v>
      </c>
      <c r="W133">
        <v>23.8</v>
      </c>
      <c r="X133">
        <v>9.199999999999999</v>
      </c>
      <c r="Y133">
        <v>0.034502</v>
      </c>
      <c r="Z133">
        <v>0.3338842975206612</v>
      </c>
      <c r="AA133">
        <v>0.7326892109500805</v>
      </c>
      <c r="AB133">
        <v>0.9051446945337621</v>
      </c>
      <c r="AC133">
        <v>0.6446945337620579</v>
      </c>
      <c r="AD133">
        <v>0.8536977491961415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17.89</v>
      </c>
      <c r="D134">
        <v>16572.15104</v>
      </c>
      <c r="E134" t="s">
        <v>666</v>
      </c>
      <c r="F134" t="s">
        <v>631</v>
      </c>
      <c r="G134" t="s">
        <v>671</v>
      </c>
      <c r="H134" t="s">
        <v>700</v>
      </c>
      <c r="I134" t="s">
        <v>836</v>
      </c>
      <c r="J134" t="s">
        <v>1311</v>
      </c>
      <c r="K134">
        <v>43971</v>
      </c>
      <c r="L134">
        <v>0.07042675804161</v>
      </c>
      <c r="M134">
        <v>0.03257543946445485</v>
      </c>
      <c r="N134">
        <v>0.04</v>
      </c>
      <c r="O134">
        <v>0.1271873003293045</v>
      </c>
      <c r="P134" t="s">
        <v>636</v>
      </c>
      <c r="Q134" t="s">
        <v>635</v>
      </c>
      <c r="R134">
        <v>27</v>
      </c>
      <c r="S134">
        <v>0.7199626864939542</v>
      </c>
      <c r="T134">
        <v>21</v>
      </c>
      <c r="U134">
        <v>0.8519047619047619</v>
      </c>
      <c r="V134">
        <v>1.6536</v>
      </c>
      <c r="W134">
        <v>1.75</v>
      </c>
      <c r="X134">
        <v>1.25993470136442</v>
      </c>
      <c r="Y134">
        <v>-0.215774</v>
      </c>
      <c r="Z134">
        <v>0.7917355371900827</v>
      </c>
      <c r="AA134">
        <v>0.3864734299516908</v>
      </c>
      <c r="AB134">
        <v>0.3794212218649518</v>
      </c>
      <c r="AC134">
        <v>0.7781350482315113</v>
      </c>
      <c r="AD134">
        <v>0.8472668810289389</v>
      </c>
    </row>
    <row r="135" spans="1:30">
      <c r="A135" s="1" t="s">
        <v>142</v>
      </c>
      <c r="B135">
        <f>HYPERLINK("https://www.suredividend.com/sure-analysis-JW.A/","John Wiley &amp; Sons, Inc.")</f>
        <v>0</v>
      </c>
      <c r="C135">
        <v>35.77</v>
      </c>
      <c r="D135">
        <v>1998.200552</v>
      </c>
      <c r="E135" t="s">
        <v>660</v>
      </c>
      <c r="F135" t="s">
        <v>631</v>
      </c>
      <c r="G135" t="s">
        <v>670</v>
      </c>
      <c r="H135" t="s">
        <v>699</v>
      </c>
      <c r="I135" t="s">
        <v>837</v>
      </c>
      <c r="J135" t="s">
        <v>1320</v>
      </c>
      <c r="K135">
        <v>44001</v>
      </c>
      <c r="L135">
        <v>0.038020687727145</v>
      </c>
      <c r="M135">
        <v>0.0515932222180211</v>
      </c>
      <c r="N135">
        <v>0.045</v>
      </c>
      <c r="O135">
        <v>0.1260886292253751</v>
      </c>
      <c r="P135" t="s">
        <v>636</v>
      </c>
      <c r="Q135" t="s">
        <v>636</v>
      </c>
      <c r="R135">
        <v>21</v>
      </c>
      <c r="S135">
        <v>0.6476190476190475</v>
      </c>
      <c r="T135">
        <v>46</v>
      </c>
      <c r="U135">
        <v>0.7776086956521739</v>
      </c>
      <c r="V135">
        <v>-1.3379</v>
      </c>
      <c r="W135">
        <v>2.1</v>
      </c>
      <c r="X135">
        <v>1.36</v>
      </c>
      <c r="Y135">
        <v>-0.203341</v>
      </c>
      <c r="Z135">
        <v>0.5239669421487604</v>
      </c>
      <c r="AA135">
        <v>0.4009661835748792</v>
      </c>
      <c r="AB135">
        <v>0.4381028938906752</v>
      </c>
      <c r="AC135">
        <v>0.8617363344051446</v>
      </c>
      <c r="AD135">
        <v>0.8456591639871383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41.54</v>
      </c>
      <c r="D136">
        <v>77196.68979999999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1318</v>
      </c>
      <c r="K136">
        <v>44015</v>
      </c>
      <c r="L136">
        <v>0.07992296581608001</v>
      </c>
      <c r="M136">
        <v>0.02500568267935077</v>
      </c>
      <c r="N136">
        <v>0.032</v>
      </c>
      <c r="O136">
        <v>0.1214789982852778</v>
      </c>
      <c r="P136" t="s">
        <v>636</v>
      </c>
      <c r="Q136" t="s">
        <v>635</v>
      </c>
      <c r="R136">
        <v>50</v>
      </c>
      <c r="S136">
        <v>0.7775175644028104</v>
      </c>
      <c r="T136">
        <v>47</v>
      </c>
      <c r="U136">
        <v>0.8838297872340425</v>
      </c>
      <c r="V136">
        <v>-0.4683</v>
      </c>
      <c r="W136">
        <v>4.27</v>
      </c>
      <c r="X136">
        <v>3.32</v>
      </c>
      <c r="Y136">
        <v>-0.177914</v>
      </c>
      <c r="Z136">
        <v>0.8214876033057851</v>
      </c>
      <c r="AA136">
        <v>0.4396135265700483</v>
      </c>
      <c r="AB136">
        <v>0.2982315112540193</v>
      </c>
      <c r="AC136">
        <v>0.7459807073954984</v>
      </c>
      <c r="AD136">
        <v>0.8279742765273312</v>
      </c>
    </row>
    <row r="137" spans="1:30">
      <c r="A137" s="1" t="s">
        <v>144</v>
      </c>
      <c r="B137">
        <f>HYPERLINK("https://www.suredividend.com/sure-analysis-HRB/","H&amp;R Block, Inc.")</f>
        <v>0</v>
      </c>
      <c r="C137">
        <v>14.74</v>
      </c>
      <c r="D137">
        <v>2837.0815</v>
      </c>
      <c r="E137" t="s">
        <v>669</v>
      </c>
      <c r="F137" t="s">
        <v>631</v>
      </c>
      <c r="G137" t="s">
        <v>670</v>
      </c>
      <c r="H137" t="s">
        <v>699</v>
      </c>
      <c r="I137" t="s">
        <v>839</v>
      </c>
      <c r="J137" t="s">
        <v>1312</v>
      </c>
      <c r="K137">
        <v>44013</v>
      </c>
      <c r="L137">
        <v>0.07055630936227901</v>
      </c>
      <c r="M137">
        <v>0.04077057284809182</v>
      </c>
      <c r="N137">
        <v>0.026</v>
      </c>
      <c r="O137">
        <v>0.1193576869149457</v>
      </c>
      <c r="P137" t="s">
        <v>636</v>
      </c>
      <c r="Q137" t="s">
        <v>635</v>
      </c>
      <c r="R137">
        <v>5</v>
      </c>
      <c r="S137">
        <v>0.325</v>
      </c>
      <c r="T137">
        <v>18</v>
      </c>
      <c r="U137">
        <v>0.8188888888888889</v>
      </c>
      <c r="V137">
        <v>0.0278</v>
      </c>
      <c r="W137">
        <v>3.2</v>
      </c>
      <c r="X137">
        <v>1.04</v>
      </c>
      <c r="Y137">
        <v>-0.476934</v>
      </c>
      <c r="Z137">
        <v>0.7933884297520661</v>
      </c>
      <c r="AA137">
        <v>0.1014492753623188</v>
      </c>
      <c r="AB137">
        <v>0.1961414790996784</v>
      </c>
      <c r="AC137">
        <v>0.8215434083601286</v>
      </c>
      <c r="AD137">
        <v>0.8231511254019293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38.47</v>
      </c>
      <c r="D138">
        <v>34914.94883</v>
      </c>
      <c r="E138" t="s">
        <v>659</v>
      </c>
      <c r="F138" t="s">
        <v>631</v>
      </c>
      <c r="G138" t="s">
        <v>670</v>
      </c>
      <c r="H138" t="s">
        <v>699</v>
      </c>
      <c r="I138" t="s">
        <v>840</v>
      </c>
      <c r="J138" t="s">
        <v>1311</v>
      </c>
      <c r="K138">
        <v>43964</v>
      </c>
      <c r="L138">
        <v>0.045749935014296</v>
      </c>
      <c r="M138">
        <v>0.03639934317047389</v>
      </c>
      <c r="N138">
        <v>0.04</v>
      </c>
      <c r="O138">
        <v>0.1151250214555237</v>
      </c>
      <c r="P138" t="s">
        <v>636</v>
      </c>
      <c r="Q138" t="s">
        <v>635</v>
      </c>
      <c r="R138">
        <v>8</v>
      </c>
      <c r="S138">
        <v>0.3060869565217391</v>
      </c>
      <c r="T138">
        <v>46</v>
      </c>
      <c r="U138">
        <v>0.836304347826087</v>
      </c>
      <c r="V138">
        <v>9.4544</v>
      </c>
      <c r="W138">
        <v>5.75</v>
      </c>
      <c r="X138">
        <v>1.76</v>
      </c>
      <c r="Y138">
        <v>-0.2306</v>
      </c>
      <c r="Z138">
        <v>0.6082644628099174</v>
      </c>
      <c r="AA138">
        <v>0.3687600644122383</v>
      </c>
      <c r="AB138">
        <v>0.3794212218649518</v>
      </c>
      <c r="AC138">
        <v>0.8054662379421222</v>
      </c>
      <c r="AD138">
        <v>0.8070739549839229</v>
      </c>
    </row>
    <row r="139" spans="1:30">
      <c r="A139" s="1" t="s">
        <v>146</v>
      </c>
      <c r="B139">
        <f>HYPERLINK("https://www.suredividend.com/sure-analysis-TDS/","Telephone &amp; Data Systems, Inc.")</f>
        <v>0</v>
      </c>
      <c r="C139">
        <v>20.3</v>
      </c>
      <c r="D139">
        <v>2324.78036</v>
      </c>
      <c r="E139" t="s">
        <v>666</v>
      </c>
      <c r="F139" t="s">
        <v>631</v>
      </c>
      <c r="G139" t="s">
        <v>670</v>
      </c>
      <c r="H139" t="s">
        <v>699</v>
      </c>
      <c r="I139" t="s">
        <v>841</v>
      </c>
      <c r="J139" t="s">
        <v>1320</v>
      </c>
      <c r="K139">
        <v>44000</v>
      </c>
      <c r="L139">
        <v>0.032758620689655</v>
      </c>
      <c r="M139">
        <v>0.07394092378577932</v>
      </c>
      <c r="N139">
        <v>0.015</v>
      </c>
      <c r="O139">
        <v>0.1148761063251946</v>
      </c>
      <c r="P139" t="s">
        <v>636</v>
      </c>
      <c r="Q139" t="s">
        <v>636</v>
      </c>
      <c r="R139">
        <v>45</v>
      </c>
      <c r="S139">
        <v>0.83125</v>
      </c>
      <c r="T139">
        <v>29</v>
      </c>
      <c r="U139">
        <v>0.7000000000000001</v>
      </c>
      <c r="V139">
        <v>1.1416</v>
      </c>
      <c r="W139">
        <v>0.8</v>
      </c>
      <c r="X139">
        <v>0.665</v>
      </c>
      <c r="Y139">
        <v>-0.372682</v>
      </c>
      <c r="Z139">
        <v>0.4347107438016529</v>
      </c>
      <c r="AA139">
        <v>0.1916264090177134</v>
      </c>
      <c r="AB139">
        <v>0.1085209003215434</v>
      </c>
      <c r="AC139">
        <v>0.9389067524115755</v>
      </c>
      <c r="AD139">
        <v>0.8054662379421222</v>
      </c>
    </row>
    <row r="140" spans="1:30">
      <c r="A140" s="1" t="s">
        <v>147</v>
      </c>
      <c r="B140">
        <f>HYPERLINK("https://www.suredividend.com/sure-analysis-CVS/","CVS Health Corp.")</f>
        <v>0</v>
      </c>
      <c r="C140">
        <v>65.36</v>
      </c>
      <c r="D140">
        <v>85431.40240000001</v>
      </c>
      <c r="E140" t="s">
        <v>664</v>
      </c>
      <c r="F140" t="s">
        <v>631</v>
      </c>
      <c r="G140" t="s">
        <v>670</v>
      </c>
      <c r="H140" t="s">
        <v>699</v>
      </c>
      <c r="I140" t="s">
        <v>842</v>
      </c>
      <c r="J140" t="s">
        <v>1314</v>
      </c>
      <c r="K140">
        <v>43957</v>
      </c>
      <c r="L140">
        <v>0.030599755201958</v>
      </c>
      <c r="M140">
        <v>0.0359922625492215</v>
      </c>
      <c r="N140">
        <v>0.05</v>
      </c>
      <c r="O140">
        <v>0.1120307663348725</v>
      </c>
      <c r="P140" t="s">
        <v>636</v>
      </c>
      <c r="Q140" t="s">
        <v>636</v>
      </c>
      <c r="R140">
        <v>0</v>
      </c>
      <c r="S140">
        <v>0.2812939521800281</v>
      </c>
      <c r="T140">
        <v>78</v>
      </c>
      <c r="U140">
        <v>0.8379487179487179</v>
      </c>
      <c r="V140">
        <v>5.5411</v>
      </c>
      <c r="W140">
        <v>7.11</v>
      </c>
      <c r="X140">
        <v>2</v>
      </c>
      <c r="Y140">
        <v>0.156814</v>
      </c>
      <c r="Z140">
        <v>0.4016528925619835</v>
      </c>
      <c r="AA140">
        <v>0.8373590982286635</v>
      </c>
      <c r="AB140">
        <v>0.5160771704180064</v>
      </c>
      <c r="AC140">
        <v>0.802250803858521</v>
      </c>
      <c r="AD140">
        <v>0.7861736334405144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12.76</v>
      </c>
      <c r="D141">
        <v>28586.1642</v>
      </c>
      <c r="E141" t="s">
        <v>662</v>
      </c>
      <c r="F141" t="s">
        <v>631</v>
      </c>
      <c r="G141" t="s">
        <v>676</v>
      </c>
      <c r="H141" t="s">
        <v>699</v>
      </c>
      <c r="I141" t="s">
        <v>843</v>
      </c>
      <c r="J141" t="s">
        <v>1320</v>
      </c>
      <c r="K141">
        <v>43964</v>
      </c>
      <c r="L141">
        <v>0.027688087774294</v>
      </c>
      <c r="M141">
        <v>-0.04757702080139914</v>
      </c>
      <c r="N141">
        <v>0.14</v>
      </c>
      <c r="O141">
        <v>0.1099963652103901</v>
      </c>
      <c r="P141" t="s">
        <v>636</v>
      </c>
      <c r="Q141" t="s">
        <v>383</v>
      </c>
      <c r="R141">
        <v>3</v>
      </c>
      <c r="S141">
        <v>0.4710666666666667</v>
      </c>
      <c r="T141">
        <v>10</v>
      </c>
      <c r="U141">
        <v>1.276</v>
      </c>
      <c r="V141">
        <v>0.3154</v>
      </c>
      <c r="W141">
        <v>0.75</v>
      </c>
      <c r="X141">
        <v>0.3533</v>
      </c>
      <c r="Y141">
        <v>-0.154407</v>
      </c>
      <c r="Z141">
        <v>0.3636363636363636</v>
      </c>
      <c r="AA141">
        <v>0.4685990338164251</v>
      </c>
      <c r="AB141">
        <v>0.9662379421221865</v>
      </c>
      <c r="AC141">
        <v>0.3038585209003216</v>
      </c>
      <c r="AD141">
        <v>0.7717041800643086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124.82</v>
      </c>
      <c r="D142">
        <v>36515.4669</v>
      </c>
      <c r="E142" t="s">
        <v>662</v>
      </c>
      <c r="F142" t="s">
        <v>631</v>
      </c>
      <c r="G142" t="s">
        <v>670</v>
      </c>
      <c r="H142" t="s">
        <v>699</v>
      </c>
      <c r="I142" t="s">
        <v>844</v>
      </c>
      <c r="J142" t="s">
        <v>1315</v>
      </c>
      <c r="K142">
        <v>43964</v>
      </c>
      <c r="L142">
        <v>0.031625540778721</v>
      </c>
      <c r="M142">
        <v>0.01879610935416576</v>
      </c>
      <c r="N142">
        <v>0.06</v>
      </c>
      <c r="O142">
        <v>0.1078535548702768</v>
      </c>
      <c r="P142" t="s">
        <v>636</v>
      </c>
      <c r="Q142" t="s">
        <v>383</v>
      </c>
      <c r="R142">
        <v>10</v>
      </c>
      <c r="S142">
        <v>0.5482638888888889</v>
      </c>
      <c r="T142">
        <v>137</v>
      </c>
      <c r="U142">
        <v>0.9110948905109488</v>
      </c>
      <c r="V142">
        <v>8.384600000000001</v>
      </c>
      <c r="W142">
        <v>7.2</v>
      </c>
      <c r="X142">
        <v>3.9475</v>
      </c>
      <c r="Y142">
        <v>-0.115818</v>
      </c>
      <c r="Z142">
        <v>0.4181818181818182</v>
      </c>
      <c r="AA142">
        <v>0.5233494363929146</v>
      </c>
      <c r="AB142">
        <v>0.6463022508038585</v>
      </c>
      <c r="AC142">
        <v>0.7138263665594856</v>
      </c>
      <c r="AD142">
        <v>0.7604501607717041</v>
      </c>
    </row>
    <row r="143" spans="1:30">
      <c r="A143" s="1" t="s">
        <v>150</v>
      </c>
      <c r="B143">
        <f>HYPERLINK("https://www.suredividend.com/sure-analysis-CMCSA/","Comcast Corp.")</f>
        <v>0</v>
      </c>
      <c r="C143">
        <v>42.18</v>
      </c>
      <c r="D143">
        <v>192516.031538</v>
      </c>
      <c r="E143" t="s">
        <v>668</v>
      </c>
      <c r="F143" t="s">
        <v>631</v>
      </c>
      <c r="G143" t="s">
        <v>670</v>
      </c>
      <c r="H143" t="s">
        <v>701</v>
      </c>
      <c r="I143" t="s">
        <v>845</v>
      </c>
      <c r="J143" t="s">
        <v>1320</v>
      </c>
      <c r="K143">
        <v>43958</v>
      </c>
      <c r="L143">
        <v>0.020388809862494</v>
      </c>
      <c r="M143">
        <v>0.01749023810408734</v>
      </c>
      <c r="N143">
        <v>0.07000000000000001</v>
      </c>
      <c r="O143">
        <v>0.1071799250238701</v>
      </c>
      <c r="P143" t="s">
        <v>636</v>
      </c>
      <c r="Q143" t="s">
        <v>383</v>
      </c>
      <c r="R143">
        <v>12</v>
      </c>
      <c r="S143">
        <v>0.344</v>
      </c>
      <c r="T143">
        <v>46</v>
      </c>
      <c r="U143">
        <v>0.9169565217391304</v>
      </c>
      <c r="V143">
        <v>2.5593</v>
      </c>
      <c r="W143">
        <v>2.5</v>
      </c>
      <c r="X143">
        <v>0.86</v>
      </c>
      <c r="Y143">
        <v>-0.053411</v>
      </c>
      <c r="Z143">
        <v>0.2479338842975207</v>
      </c>
      <c r="AA143">
        <v>0.6183574879227053</v>
      </c>
      <c r="AB143">
        <v>0.7387459807073955</v>
      </c>
      <c r="AC143">
        <v>0.7041800643086816</v>
      </c>
      <c r="AD143">
        <v>0.7588424437299035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69.81</v>
      </c>
      <c r="D144">
        <v>4366.852854</v>
      </c>
      <c r="E144" t="s">
        <v>659</v>
      </c>
      <c r="F144" t="s">
        <v>631</v>
      </c>
      <c r="G144" t="s">
        <v>670</v>
      </c>
      <c r="H144" t="s">
        <v>699</v>
      </c>
      <c r="I144" t="s">
        <v>846</v>
      </c>
      <c r="J144" t="s">
        <v>1311</v>
      </c>
      <c r="K144">
        <v>43958</v>
      </c>
      <c r="L144">
        <v>0.040681850737716</v>
      </c>
      <c r="M144">
        <v>0.02243425864228787</v>
      </c>
      <c r="N144">
        <v>0.05</v>
      </c>
      <c r="O144">
        <v>0.10692653063141</v>
      </c>
      <c r="P144" t="s">
        <v>636</v>
      </c>
      <c r="Q144" t="s">
        <v>636</v>
      </c>
      <c r="R144">
        <v>26</v>
      </c>
      <c r="S144">
        <v>0.6311111111111111</v>
      </c>
      <c r="T144">
        <v>78</v>
      </c>
      <c r="U144">
        <v>0.895</v>
      </c>
      <c r="V144">
        <v>5.8276</v>
      </c>
      <c r="W144">
        <v>4.5</v>
      </c>
      <c r="X144">
        <v>2.84</v>
      </c>
      <c r="Y144">
        <v>-0.237716</v>
      </c>
      <c r="Z144">
        <v>0.5603305785123966</v>
      </c>
      <c r="AA144">
        <v>0.3558776167471819</v>
      </c>
      <c r="AB144">
        <v>0.5160771704180064</v>
      </c>
      <c r="AC144">
        <v>0.729903536977492</v>
      </c>
      <c r="AD144">
        <v>0.7556270096463023</v>
      </c>
    </row>
    <row r="145" spans="1:30">
      <c r="A145" s="1" t="s">
        <v>152</v>
      </c>
      <c r="B145">
        <f>HYPERLINK("https://www.suredividend.com/sure-analysis-BAYRY/","Bayer AG")</f>
        <v>0</v>
      </c>
      <c r="C145">
        <v>18.02</v>
      </c>
      <c r="D145">
        <v>70813.12192000001</v>
      </c>
      <c r="E145" t="s">
        <v>660</v>
      </c>
      <c r="F145" t="s">
        <v>631</v>
      </c>
      <c r="G145" t="s">
        <v>677</v>
      </c>
      <c r="H145" t="s">
        <v>700</v>
      </c>
      <c r="I145" t="s">
        <v>847</v>
      </c>
      <c r="J145" t="s">
        <v>1314</v>
      </c>
      <c r="K145">
        <v>43950</v>
      </c>
      <c r="L145">
        <v>0.042319644839067</v>
      </c>
      <c r="M145">
        <v>0.03108127907176872</v>
      </c>
      <c r="N145">
        <v>0.035</v>
      </c>
      <c r="O145">
        <v>0.103451565214284</v>
      </c>
      <c r="P145" t="s">
        <v>636</v>
      </c>
      <c r="Q145" t="s">
        <v>636</v>
      </c>
      <c r="R145">
        <v>0</v>
      </c>
      <c r="S145">
        <v>0.4013684210526317</v>
      </c>
      <c r="T145">
        <v>21</v>
      </c>
      <c r="U145">
        <v>0.858095238095238</v>
      </c>
      <c r="V145">
        <v>1.2246</v>
      </c>
      <c r="W145">
        <v>1.9</v>
      </c>
      <c r="X145">
        <v>0.7626000000000001</v>
      </c>
      <c r="Y145">
        <v>0.081633</v>
      </c>
      <c r="Z145">
        <v>0.5768595041322314</v>
      </c>
      <c r="AA145">
        <v>0.7826086956521739</v>
      </c>
      <c r="AB145">
        <v>0.3086816720257235</v>
      </c>
      <c r="AC145">
        <v>0.7733118971061093</v>
      </c>
      <c r="AD145">
        <v>0.7443729903536977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60.82</v>
      </c>
      <c r="D146">
        <v>17899.9342</v>
      </c>
      <c r="E146" t="s">
        <v>659</v>
      </c>
      <c r="F146" t="s">
        <v>631</v>
      </c>
      <c r="G146" t="s">
        <v>670</v>
      </c>
      <c r="H146" t="s">
        <v>699</v>
      </c>
      <c r="I146" t="s">
        <v>848</v>
      </c>
      <c r="J146" t="s">
        <v>1318</v>
      </c>
      <c r="K146">
        <v>43958</v>
      </c>
      <c r="L146">
        <v>0.026882604406445</v>
      </c>
      <c r="M146">
        <v>0.01648155869130141</v>
      </c>
      <c r="N146">
        <v>0.06</v>
      </c>
      <c r="O146">
        <v>0.1009308817053447</v>
      </c>
      <c r="P146" t="s">
        <v>636</v>
      </c>
      <c r="Q146" t="s">
        <v>636</v>
      </c>
      <c r="R146">
        <v>8</v>
      </c>
      <c r="S146">
        <v>0.2972727272727273</v>
      </c>
      <c r="T146">
        <v>66</v>
      </c>
      <c r="U146">
        <v>0.9215151515151515</v>
      </c>
      <c r="V146">
        <v>5.5225</v>
      </c>
      <c r="W146">
        <v>5.5</v>
      </c>
      <c r="X146">
        <v>1.635</v>
      </c>
      <c r="Y146">
        <v>-0.248765</v>
      </c>
      <c r="Z146">
        <v>0.3520661157024794</v>
      </c>
      <c r="AA146">
        <v>0.3397745571658615</v>
      </c>
      <c r="AB146">
        <v>0.6463022508038585</v>
      </c>
      <c r="AC146">
        <v>0.6961414790996784</v>
      </c>
      <c r="AD146">
        <v>0.7186495176848875</v>
      </c>
    </row>
    <row r="147" spans="1:30">
      <c r="A147" s="1" t="s">
        <v>154</v>
      </c>
      <c r="B147">
        <f>HYPERLINK("https://www.suredividend.com/sure-analysis-UGI/","UGI Corp.")</f>
        <v>0</v>
      </c>
      <c r="C147">
        <v>33.27</v>
      </c>
      <c r="D147">
        <v>6929.04309</v>
      </c>
      <c r="E147" t="s">
        <v>669</v>
      </c>
      <c r="F147" t="s">
        <v>631</v>
      </c>
      <c r="G147" t="s">
        <v>670</v>
      </c>
      <c r="H147" t="s">
        <v>699</v>
      </c>
      <c r="I147" t="s">
        <v>849</v>
      </c>
      <c r="J147" t="s">
        <v>1315</v>
      </c>
      <c r="K147">
        <v>44013</v>
      </c>
      <c r="L147">
        <v>0.039224526600541</v>
      </c>
      <c r="M147">
        <v>0.01018996193491151</v>
      </c>
      <c r="N147">
        <v>0.056</v>
      </c>
      <c r="O147">
        <v>0.09780567808545504</v>
      </c>
      <c r="P147" t="s">
        <v>636</v>
      </c>
      <c r="Q147" t="s">
        <v>635</v>
      </c>
      <c r="R147">
        <v>32</v>
      </c>
      <c r="S147">
        <v>0.5723684210526316</v>
      </c>
      <c r="T147">
        <v>35</v>
      </c>
      <c r="U147">
        <v>0.9505714285714286</v>
      </c>
      <c r="V147">
        <v>1.8094</v>
      </c>
      <c r="W147">
        <v>2.28</v>
      </c>
      <c r="X147">
        <v>1.305</v>
      </c>
      <c r="Y147">
        <v>-0.354983</v>
      </c>
      <c r="Z147">
        <v>0.5322314049586777</v>
      </c>
      <c r="AA147">
        <v>0.2109500805152979</v>
      </c>
      <c r="AB147">
        <v>0.5980707395498392</v>
      </c>
      <c r="AC147">
        <v>0.6655948553054662</v>
      </c>
      <c r="AD147">
        <v>0.7057877813504823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56.3</v>
      </c>
      <c r="D148">
        <v>232969.4</v>
      </c>
      <c r="E148" t="s">
        <v>664</v>
      </c>
      <c r="F148" t="s">
        <v>631</v>
      </c>
      <c r="G148" t="s">
        <v>670</v>
      </c>
      <c r="H148" t="s">
        <v>699</v>
      </c>
      <c r="I148" t="s">
        <v>850</v>
      </c>
      <c r="J148" t="s">
        <v>1320</v>
      </c>
      <c r="K148">
        <v>43945</v>
      </c>
      <c r="L148">
        <v>0.043472468916518</v>
      </c>
      <c r="M148">
        <v>0.02274280029674425</v>
      </c>
      <c r="N148">
        <v>0.04</v>
      </c>
      <c r="O148">
        <v>0.09767785246275484</v>
      </c>
      <c r="P148" t="s">
        <v>636</v>
      </c>
      <c r="Q148" t="s">
        <v>636</v>
      </c>
      <c r="R148">
        <v>15</v>
      </c>
      <c r="S148">
        <v>0.5088357588357588</v>
      </c>
      <c r="T148">
        <v>63</v>
      </c>
      <c r="U148">
        <v>0.8936507936507936</v>
      </c>
      <c r="V148">
        <v>4.4434</v>
      </c>
      <c r="W148">
        <v>4.81</v>
      </c>
      <c r="X148">
        <v>2.4475</v>
      </c>
      <c r="Y148">
        <v>-0.015906</v>
      </c>
      <c r="Z148">
        <v>0.5851239669421487</v>
      </c>
      <c r="AA148">
        <v>0.6650563607085346</v>
      </c>
      <c r="AB148">
        <v>0.3794212218649518</v>
      </c>
      <c r="AC148">
        <v>0.7363344051446945</v>
      </c>
      <c r="AD148">
        <v>0.7041800643086816</v>
      </c>
    </row>
    <row r="149" spans="1:30">
      <c r="A149" s="1" t="s">
        <v>156</v>
      </c>
      <c r="B149">
        <f>HYPERLINK("https://www.suredividend.com/sure-analysis-ICE/","Intercontinental Exchange, Inc.")</f>
        <v>0</v>
      </c>
      <c r="C149">
        <v>93.83</v>
      </c>
      <c r="D149">
        <v>51345.84026</v>
      </c>
      <c r="E149" t="s">
        <v>661</v>
      </c>
      <c r="F149" t="s">
        <v>631</v>
      </c>
      <c r="G149" t="s">
        <v>670</v>
      </c>
      <c r="H149" t="s">
        <v>699</v>
      </c>
      <c r="I149" t="s">
        <v>851</v>
      </c>
      <c r="J149" t="s">
        <v>1311</v>
      </c>
      <c r="K149">
        <v>44000</v>
      </c>
      <c r="L149">
        <v>0.011989768730683</v>
      </c>
      <c r="M149">
        <v>-0.03138842604480219</v>
      </c>
      <c r="N149">
        <v>0.12</v>
      </c>
      <c r="O149">
        <v>0.0976590585910575</v>
      </c>
      <c r="P149" t="s">
        <v>636</v>
      </c>
      <c r="Q149" t="s">
        <v>300</v>
      </c>
      <c r="R149">
        <v>7</v>
      </c>
      <c r="S149">
        <v>0.2665876777251185</v>
      </c>
      <c r="T149">
        <v>80</v>
      </c>
      <c r="U149">
        <v>1.172875</v>
      </c>
      <c r="V149">
        <v>3.7696</v>
      </c>
      <c r="W149">
        <v>4.22</v>
      </c>
      <c r="X149">
        <v>1.125</v>
      </c>
      <c r="Y149">
        <v>0.025016</v>
      </c>
      <c r="Z149">
        <v>0.09752066115702479</v>
      </c>
      <c r="AA149">
        <v>0.7214170692431562</v>
      </c>
      <c r="AB149">
        <v>0.9461414790996784</v>
      </c>
      <c r="AC149">
        <v>0.3987138263665595</v>
      </c>
      <c r="AD149">
        <v>0.702572347266881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56.36</v>
      </c>
      <c r="D150">
        <v>21300.75476</v>
      </c>
      <c r="E150" t="s">
        <v>669</v>
      </c>
      <c r="F150" t="s">
        <v>631</v>
      </c>
      <c r="G150" t="s">
        <v>670</v>
      </c>
      <c r="H150" t="s">
        <v>699</v>
      </c>
      <c r="I150" t="s">
        <v>852</v>
      </c>
      <c r="J150" t="s">
        <v>1315</v>
      </c>
      <c r="K150">
        <v>43978</v>
      </c>
      <c r="L150">
        <v>0.04435770049680601</v>
      </c>
      <c r="M150">
        <v>0.01925802854736625</v>
      </c>
      <c r="N150">
        <v>0.04</v>
      </c>
      <c r="O150">
        <v>0.09761732356055131</v>
      </c>
      <c r="P150" t="s">
        <v>636</v>
      </c>
      <c r="Q150" t="s">
        <v>635</v>
      </c>
      <c r="R150">
        <v>16</v>
      </c>
      <c r="S150">
        <v>0.5112474437627812</v>
      </c>
      <c r="T150">
        <v>62</v>
      </c>
      <c r="U150">
        <v>0.9090322580645162</v>
      </c>
      <c r="V150">
        <v>3.4612</v>
      </c>
      <c r="W150">
        <v>4.89</v>
      </c>
      <c r="X150">
        <v>2.5</v>
      </c>
      <c r="Y150">
        <v>-0.20373</v>
      </c>
      <c r="Z150">
        <v>0.5900826446280992</v>
      </c>
      <c r="AA150">
        <v>0.3993558776167472</v>
      </c>
      <c r="AB150">
        <v>0.3794212218649518</v>
      </c>
      <c r="AC150">
        <v>0.7170418006430869</v>
      </c>
      <c r="AD150">
        <v>0.7009646302250804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46.75</v>
      </c>
      <c r="D151">
        <v>197392.525</v>
      </c>
      <c r="E151" t="s">
        <v>664</v>
      </c>
      <c r="F151" t="s">
        <v>631</v>
      </c>
      <c r="G151" t="s">
        <v>670</v>
      </c>
      <c r="H151" t="s">
        <v>701</v>
      </c>
      <c r="I151" t="s">
        <v>853</v>
      </c>
      <c r="J151" t="s">
        <v>1317</v>
      </c>
      <c r="K151">
        <v>43966</v>
      </c>
      <c r="L151">
        <v>0.030160427807486</v>
      </c>
      <c r="M151">
        <v>0.009445538645739271</v>
      </c>
      <c r="N151">
        <v>0.06</v>
      </c>
      <c r="O151">
        <v>0.09675028836833333</v>
      </c>
      <c r="P151" t="s">
        <v>636</v>
      </c>
      <c r="Q151" t="s">
        <v>636</v>
      </c>
      <c r="R151">
        <v>10</v>
      </c>
      <c r="S151">
        <v>0.4351851851851852</v>
      </c>
      <c r="T151">
        <v>49</v>
      </c>
      <c r="U151">
        <v>0.9540816326530612</v>
      </c>
      <c r="V151">
        <v>2.5442</v>
      </c>
      <c r="W151">
        <v>3.24</v>
      </c>
      <c r="X151">
        <v>1.41</v>
      </c>
      <c r="Y151">
        <v>-0.190336</v>
      </c>
      <c r="Z151">
        <v>0.3950413223140496</v>
      </c>
      <c r="AA151">
        <v>0.4235104669887279</v>
      </c>
      <c r="AB151">
        <v>0.6463022508038585</v>
      </c>
      <c r="AC151">
        <v>0.6607717041800644</v>
      </c>
      <c r="AD151">
        <v>0.6945337620578778</v>
      </c>
    </row>
    <row r="152" spans="1:30">
      <c r="A152" s="1" t="s">
        <v>159</v>
      </c>
      <c r="B152">
        <f>HYPERLINK("https://www.suredividend.com/sure-analysis-GEF/","Greif, Inc.")</f>
        <v>0</v>
      </c>
      <c r="C152">
        <v>36.48</v>
      </c>
      <c r="D152">
        <v>1767.445056</v>
      </c>
      <c r="E152" t="s">
        <v>659</v>
      </c>
      <c r="F152" t="s">
        <v>631</v>
      </c>
      <c r="G152" t="s">
        <v>670</v>
      </c>
      <c r="H152" t="s">
        <v>699</v>
      </c>
      <c r="I152" t="s">
        <v>854</v>
      </c>
      <c r="J152" t="s">
        <v>1312</v>
      </c>
      <c r="K152">
        <v>43993</v>
      </c>
      <c r="L152">
        <v>0.048245614035087</v>
      </c>
      <c r="M152">
        <v>0.0285819340923652</v>
      </c>
      <c r="N152">
        <v>0.03</v>
      </c>
      <c r="O152">
        <v>0.09568907131163962</v>
      </c>
      <c r="P152" t="s">
        <v>636</v>
      </c>
      <c r="Q152" t="s">
        <v>636</v>
      </c>
      <c r="R152">
        <v>2</v>
      </c>
      <c r="S152">
        <v>0.5028571428571429</v>
      </c>
      <c r="T152">
        <v>42</v>
      </c>
      <c r="U152">
        <v>0.8685714285714285</v>
      </c>
      <c r="V152">
        <v>2.8929</v>
      </c>
      <c r="W152">
        <v>3.5</v>
      </c>
      <c r="X152">
        <v>1.76</v>
      </c>
      <c r="Y152">
        <v>0.066355</v>
      </c>
      <c r="Z152">
        <v>0.6413223140495867</v>
      </c>
      <c r="AA152">
        <v>0.7648953301127215</v>
      </c>
      <c r="AB152">
        <v>0.247588424437299</v>
      </c>
      <c r="AC152">
        <v>0.7636655948553055</v>
      </c>
      <c r="AD152">
        <v>0.6881028938906752</v>
      </c>
    </row>
    <row r="153" spans="1:30">
      <c r="A153" s="1" t="s">
        <v>160</v>
      </c>
      <c r="B153">
        <f>HYPERLINK("https://www.suredividend.com/sure-analysis-NTIOF/","National Bank of Canada")</f>
        <v>0</v>
      </c>
      <c r="C153">
        <v>46.71</v>
      </c>
      <c r="D153">
        <v>15669.38331</v>
      </c>
      <c r="E153" t="s">
        <v>668</v>
      </c>
      <c r="F153" t="s">
        <v>631</v>
      </c>
      <c r="G153" t="s">
        <v>671</v>
      </c>
      <c r="H153" t="s">
        <v>700</v>
      </c>
      <c r="I153" t="s">
        <v>855</v>
      </c>
      <c r="J153" t="s">
        <v>1311</v>
      </c>
      <c r="K153">
        <v>44014</v>
      </c>
      <c r="L153">
        <v>0.044536570385876</v>
      </c>
      <c r="M153">
        <v>0.01370602421054867</v>
      </c>
      <c r="N153">
        <v>0.036</v>
      </c>
      <c r="O153">
        <v>0.09496741384711682</v>
      </c>
      <c r="P153" t="s">
        <v>636</v>
      </c>
      <c r="Q153" t="s">
        <v>636</v>
      </c>
      <c r="R153">
        <v>9</v>
      </c>
      <c r="S153">
        <v>0.5098782359618332</v>
      </c>
      <c r="T153">
        <v>50</v>
      </c>
      <c r="U153">
        <v>0.9342</v>
      </c>
      <c r="V153">
        <v>4.546</v>
      </c>
      <c r="W153">
        <v>4.08</v>
      </c>
      <c r="X153">
        <v>2.08030320272428</v>
      </c>
      <c r="Y153">
        <v>-0.035447</v>
      </c>
      <c r="Z153">
        <v>0.5933884297520661</v>
      </c>
      <c r="AA153">
        <v>0.6489533011272141</v>
      </c>
      <c r="AB153">
        <v>0.317524115755627</v>
      </c>
      <c r="AC153">
        <v>0.6816720257234726</v>
      </c>
      <c r="AD153">
        <v>0.6816720257234726</v>
      </c>
    </row>
    <row r="154" spans="1:30">
      <c r="A154" s="1" t="s">
        <v>161</v>
      </c>
      <c r="B154">
        <f>HYPERLINK("https://www.suredividend.com/sure-analysis-RELX/","RELX Plc")</f>
        <v>0</v>
      </c>
      <c r="C154">
        <v>22.91</v>
      </c>
      <c r="D154">
        <v>44094.349841</v>
      </c>
      <c r="E154" t="s">
        <v>665</v>
      </c>
      <c r="F154" t="s">
        <v>631</v>
      </c>
      <c r="G154" t="s">
        <v>673</v>
      </c>
      <c r="H154" t="s">
        <v>699</v>
      </c>
      <c r="I154" t="s">
        <v>856</v>
      </c>
      <c r="J154" t="s">
        <v>1320</v>
      </c>
      <c r="K154">
        <v>43997</v>
      </c>
      <c r="L154">
        <v>0.024403055434308</v>
      </c>
      <c r="M154">
        <v>0.009339409406485366</v>
      </c>
      <c r="N154">
        <v>0.06</v>
      </c>
      <c r="O154">
        <v>0.0938284305960424</v>
      </c>
      <c r="P154" t="s">
        <v>636</v>
      </c>
      <c r="Q154" t="s">
        <v>383</v>
      </c>
      <c r="R154">
        <v>4</v>
      </c>
      <c r="S154">
        <v>0.5129119266055046</v>
      </c>
      <c r="T154">
        <v>24</v>
      </c>
      <c r="U154">
        <v>0.9545833333333333</v>
      </c>
      <c r="V154">
        <v>0.9887</v>
      </c>
      <c r="W154">
        <v>1.09</v>
      </c>
      <c r="X154">
        <v>0.559074</v>
      </c>
      <c r="Y154">
        <v>-0.06145</v>
      </c>
      <c r="Z154">
        <v>0.3289256198347107</v>
      </c>
      <c r="AA154">
        <v>0.610305958132045</v>
      </c>
      <c r="AB154">
        <v>0.6463022508038585</v>
      </c>
      <c r="AC154">
        <v>0.6591639871382636</v>
      </c>
      <c r="AD154">
        <v>0.6720257234726688</v>
      </c>
    </row>
    <row r="155" spans="1:30">
      <c r="A155" s="1" t="s">
        <v>162</v>
      </c>
      <c r="B155">
        <f>HYPERLINK("https://www.suredividend.com/sure-analysis-EMN/","Eastman Chemical Co.")</f>
        <v>0</v>
      </c>
      <c r="C155">
        <v>75.89</v>
      </c>
      <c r="D155">
        <v>10312.99566</v>
      </c>
      <c r="E155" t="s">
        <v>665</v>
      </c>
      <c r="F155" t="s">
        <v>631</v>
      </c>
      <c r="G155" t="s">
        <v>670</v>
      </c>
      <c r="H155" t="s">
        <v>699</v>
      </c>
      <c r="I155" t="s">
        <v>857</v>
      </c>
      <c r="J155" t="s">
        <v>1319</v>
      </c>
      <c r="K155">
        <v>43995</v>
      </c>
      <c r="L155">
        <v>0.033733034655422</v>
      </c>
      <c r="M155">
        <v>0.00290832067013258</v>
      </c>
      <c r="N155">
        <v>0.06</v>
      </c>
      <c r="O155">
        <v>0.09378952169509014</v>
      </c>
      <c r="P155" t="s">
        <v>636</v>
      </c>
      <c r="Q155" t="s">
        <v>636</v>
      </c>
      <c r="R155">
        <v>10</v>
      </c>
      <c r="S155">
        <v>0.4331641285956007</v>
      </c>
      <c r="T155">
        <v>77</v>
      </c>
      <c r="U155">
        <v>0.9855844155844156</v>
      </c>
      <c r="V155">
        <v>5.9051</v>
      </c>
      <c r="W155">
        <v>5.91</v>
      </c>
      <c r="X155">
        <v>2.56</v>
      </c>
      <c r="Y155">
        <v>-0.023923</v>
      </c>
      <c r="Z155">
        <v>0.456198347107438</v>
      </c>
      <c r="AA155">
        <v>0.6586151368760065</v>
      </c>
      <c r="AB155">
        <v>0.6463022508038585</v>
      </c>
      <c r="AC155">
        <v>0.6189710610932476</v>
      </c>
      <c r="AD155">
        <v>0.6704180064308681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111.51</v>
      </c>
      <c r="D156">
        <v>21478.16412</v>
      </c>
      <c r="E156" t="s">
        <v>662</v>
      </c>
      <c r="F156" t="s">
        <v>631</v>
      </c>
      <c r="G156" t="s">
        <v>670</v>
      </c>
      <c r="H156" t="s">
        <v>699</v>
      </c>
      <c r="I156" t="s">
        <v>858</v>
      </c>
      <c r="J156" t="s">
        <v>1315</v>
      </c>
      <c r="K156">
        <v>43951</v>
      </c>
      <c r="L156">
        <v>0.035108958837772</v>
      </c>
      <c r="M156">
        <v>-0.0009163941871350723</v>
      </c>
      <c r="N156">
        <v>0.06</v>
      </c>
      <c r="O156">
        <v>0.09148464148375313</v>
      </c>
      <c r="P156" t="s">
        <v>636</v>
      </c>
      <c r="Q156" t="s">
        <v>383</v>
      </c>
      <c r="R156">
        <v>11</v>
      </c>
      <c r="S156">
        <v>0.5887218045112782</v>
      </c>
      <c r="T156">
        <v>111</v>
      </c>
      <c r="U156">
        <v>1.004594594594595</v>
      </c>
      <c r="V156">
        <v>5.8979</v>
      </c>
      <c r="W156">
        <v>6.65</v>
      </c>
      <c r="X156">
        <v>3.915</v>
      </c>
      <c r="Y156">
        <v>-0.151111</v>
      </c>
      <c r="Z156">
        <v>0.48099173553719</v>
      </c>
      <c r="AA156">
        <v>0.4718196457326892</v>
      </c>
      <c r="AB156">
        <v>0.6463022508038585</v>
      </c>
      <c r="AC156">
        <v>0.6045016077170419</v>
      </c>
      <c r="AD156">
        <v>0.6591639871382636</v>
      </c>
    </row>
    <row r="157" spans="1:30">
      <c r="A157" s="1" t="s">
        <v>164</v>
      </c>
      <c r="B157">
        <f>HYPERLINK("https://www.suredividend.com/sure-analysis-RTX/","Raytheon Technologies Corp.")</f>
        <v>0</v>
      </c>
      <c r="C157">
        <v>62.2</v>
      </c>
      <c r="D157">
        <v>53875.463</v>
      </c>
      <c r="E157" t="s">
        <v>659</v>
      </c>
      <c r="F157" t="s">
        <v>631</v>
      </c>
      <c r="G157" t="s">
        <v>670</v>
      </c>
      <c r="H157" t="s">
        <v>699</v>
      </c>
      <c r="I157" t="s">
        <v>859</v>
      </c>
      <c r="J157" t="s">
        <v>1313</v>
      </c>
      <c r="K157">
        <v>43964</v>
      </c>
      <c r="L157">
        <v>0.047266881028938</v>
      </c>
      <c r="M157">
        <v>0.002559214542259491</v>
      </c>
      <c r="N157">
        <v>0.06</v>
      </c>
      <c r="O157">
        <v>0.08988970557106168</v>
      </c>
      <c r="P157" t="s">
        <v>636</v>
      </c>
      <c r="Q157" t="s">
        <v>636</v>
      </c>
      <c r="R157">
        <v>26</v>
      </c>
      <c r="S157">
        <v>0.748091603053435</v>
      </c>
      <c r="T157">
        <v>63</v>
      </c>
      <c r="U157">
        <v>0.9873015873015873</v>
      </c>
      <c r="V157">
        <v>4.8011</v>
      </c>
      <c r="W157">
        <v>3.93</v>
      </c>
      <c r="X157">
        <v>2.94</v>
      </c>
      <c r="Y157">
        <v>-0.196826</v>
      </c>
      <c r="Z157">
        <v>0.631404958677686</v>
      </c>
      <c r="AA157">
        <v>0.4138486312399356</v>
      </c>
      <c r="AB157">
        <v>0.6463022508038585</v>
      </c>
      <c r="AC157">
        <v>0.617363344051447</v>
      </c>
      <c r="AD157">
        <v>0.6495176848874599</v>
      </c>
    </row>
    <row r="158" spans="1:30">
      <c r="A158" s="1" t="s">
        <v>165</v>
      </c>
      <c r="B158">
        <f>HYPERLINK("https://www.suredividend.com/sure-analysis-AON/","Aon Plc")</f>
        <v>0</v>
      </c>
      <c r="C158">
        <v>203.66</v>
      </c>
      <c r="D158">
        <v>47153.80712</v>
      </c>
      <c r="E158" t="s">
        <v>663</v>
      </c>
      <c r="F158" t="s">
        <v>631</v>
      </c>
      <c r="G158" t="s">
        <v>675</v>
      </c>
      <c r="H158" t="s">
        <v>699</v>
      </c>
      <c r="I158" t="s">
        <v>860</v>
      </c>
      <c r="J158" t="s">
        <v>1311</v>
      </c>
      <c r="K158">
        <v>43957</v>
      </c>
      <c r="L158">
        <v>0.002160463517627</v>
      </c>
      <c r="M158">
        <v>-0.01903571061086673</v>
      </c>
      <c r="N158">
        <v>0.1</v>
      </c>
      <c r="O158">
        <v>0.08797949400430793</v>
      </c>
      <c r="P158" t="s">
        <v>636</v>
      </c>
      <c r="Q158" t="s">
        <v>558</v>
      </c>
      <c r="R158">
        <v>8</v>
      </c>
      <c r="S158">
        <v>0.04512820512820513</v>
      </c>
      <c r="T158">
        <v>185</v>
      </c>
      <c r="U158">
        <v>1.100864864864865</v>
      </c>
      <c r="V158">
        <v>6.9911</v>
      </c>
      <c r="W158">
        <v>9.75</v>
      </c>
      <c r="X158">
        <v>0.44</v>
      </c>
      <c r="Y158">
        <v>0.033597</v>
      </c>
      <c r="Z158">
        <v>0.004958677685950414</v>
      </c>
      <c r="AA158">
        <v>0.7294685990338163</v>
      </c>
      <c r="AB158">
        <v>0.9051446945337621</v>
      </c>
      <c r="AC158">
        <v>0.4887459807073955</v>
      </c>
      <c r="AD158">
        <v>0.6334405144694534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22</v>
      </c>
      <c r="D159">
        <v>4411.484</v>
      </c>
      <c r="E159" t="s">
        <v>663</v>
      </c>
      <c r="F159" t="s">
        <v>631</v>
      </c>
      <c r="G159" t="s">
        <v>670</v>
      </c>
      <c r="H159" t="s">
        <v>699</v>
      </c>
      <c r="I159" t="s">
        <v>861</v>
      </c>
      <c r="J159" t="s">
        <v>1319</v>
      </c>
      <c r="K159">
        <v>43964</v>
      </c>
      <c r="L159">
        <v>0.03727272727272701</v>
      </c>
      <c r="M159">
        <v>0.03397522653195018</v>
      </c>
      <c r="N159">
        <v>0.02</v>
      </c>
      <c r="O159">
        <v>0.08489099954504598</v>
      </c>
      <c r="P159" t="s">
        <v>636</v>
      </c>
      <c r="Q159" t="s">
        <v>635</v>
      </c>
      <c r="R159">
        <v>28</v>
      </c>
      <c r="S159">
        <v>0.4969696969696971</v>
      </c>
      <c r="T159">
        <v>26</v>
      </c>
      <c r="U159">
        <v>0.8461538461538461</v>
      </c>
      <c r="V159">
        <v>1.6022</v>
      </c>
      <c r="W159">
        <v>1.65</v>
      </c>
      <c r="X159">
        <v>0.8200000000000001</v>
      </c>
      <c r="Y159">
        <v>-0.170437</v>
      </c>
      <c r="Z159">
        <v>0.5123966942148761</v>
      </c>
      <c r="AA159">
        <v>0.4460547504025765</v>
      </c>
      <c r="AB159">
        <v>0.157556270096463</v>
      </c>
      <c r="AC159">
        <v>0.7893890675241156</v>
      </c>
      <c r="AD159">
        <v>0.6093247588424437</v>
      </c>
    </row>
    <row r="160" spans="1:30">
      <c r="A160" s="1" t="s">
        <v>167</v>
      </c>
      <c r="B160">
        <f>HYPERLINK("https://www.suredividend.com/sure-analysis-HNI/","HNI Corp.")</f>
        <v>0</v>
      </c>
      <c r="C160">
        <v>30.71</v>
      </c>
      <c r="D160">
        <v>1309.701654</v>
      </c>
      <c r="E160" t="s">
        <v>664</v>
      </c>
      <c r="F160" t="s">
        <v>631</v>
      </c>
      <c r="G160" t="s">
        <v>670</v>
      </c>
      <c r="H160" t="s">
        <v>699</v>
      </c>
      <c r="I160" t="s">
        <v>862</v>
      </c>
      <c r="J160" t="s">
        <v>1313</v>
      </c>
      <c r="K160">
        <v>43946</v>
      </c>
      <c r="L160">
        <v>0.039726473461413</v>
      </c>
      <c r="M160">
        <v>-0.004667264868791654</v>
      </c>
      <c r="N160">
        <v>0.055</v>
      </c>
      <c r="O160">
        <v>0.08475731254751584</v>
      </c>
      <c r="P160" t="s">
        <v>636</v>
      </c>
      <c r="Q160" t="s">
        <v>636</v>
      </c>
      <c r="R160">
        <v>9</v>
      </c>
      <c r="S160">
        <v>0.5622119815668203</v>
      </c>
      <c r="T160">
        <v>30</v>
      </c>
      <c r="U160">
        <v>1.023666666666667</v>
      </c>
      <c r="V160">
        <v>1.9926</v>
      </c>
      <c r="W160">
        <v>2.17</v>
      </c>
      <c r="X160">
        <v>1.22</v>
      </c>
      <c r="Y160">
        <v>-0.117275</v>
      </c>
      <c r="Z160">
        <v>0.540495867768595</v>
      </c>
      <c r="AA160">
        <v>0.5185185185185186</v>
      </c>
      <c r="AB160">
        <v>0.592443729903537</v>
      </c>
      <c r="AC160">
        <v>0.5819935691318328</v>
      </c>
      <c r="AD160">
        <v>0.6061093247588425</v>
      </c>
    </row>
    <row r="161" spans="1:30">
      <c r="A161" s="1" t="s">
        <v>168</v>
      </c>
      <c r="B161">
        <f>HYPERLINK("https://www.suredividend.com/sure-analysis-AMAT/","Applied Materials, Inc.")</f>
        <v>0</v>
      </c>
      <c r="C161">
        <v>62.3</v>
      </c>
      <c r="D161">
        <v>57096.6417</v>
      </c>
      <c r="E161" t="s">
        <v>663</v>
      </c>
      <c r="F161" t="s">
        <v>631</v>
      </c>
      <c r="G161" t="s">
        <v>670</v>
      </c>
      <c r="H161" t="s">
        <v>701</v>
      </c>
      <c r="I161" t="s">
        <v>863</v>
      </c>
      <c r="J161" t="s">
        <v>1317</v>
      </c>
      <c r="K161">
        <v>43967</v>
      </c>
      <c r="L161">
        <v>0.013643659711075</v>
      </c>
      <c r="M161">
        <v>-0.01762486423180998</v>
      </c>
      <c r="N161">
        <v>0.09</v>
      </c>
      <c r="O161">
        <v>0.08405134553863625</v>
      </c>
      <c r="P161" t="s">
        <v>636</v>
      </c>
      <c r="Q161" t="s">
        <v>300</v>
      </c>
      <c r="R161">
        <v>3</v>
      </c>
      <c r="S161">
        <v>0.2236842105263158</v>
      </c>
      <c r="T161">
        <v>57</v>
      </c>
      <c r="U161">
        <v>1.092982456140351</v>
      </c>
      <c r="V161">
        <v>3.1705</v>
      </c>
      <c r="W161">
        <v>3.8</v>
      </c>
      <c r="X161">
        <v>0.85</v>
      </c>
      <c r="Y161">
        <v>0.293336</v>
      </c>
      <c r="Z161">
        <v>0.1223140495867769</v>
      </c>
      <c r="AA161">
        <v>0.9098228663446055</v>
      </c>
      <c r="AB161">
        <v>0.8633440514469453</v>
      </c>
      <c r="AC161">
        <v>0.5032154340836013</v>
      </c>
      <c r="AD161">
        <v>0.5980707395498392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125.11</v>
      </c>
      <c r="D162">
        <v>111084.16812</v>
      </c>
      <c r="E162" t="s">
        <v>661</v>
      </c>
      <c r="F162" t="s">
        <v>631</v>
      </c>
      <c r="G162" t="s">
        <v>670</v>
      </c>
      <c r="H162" t="s">
        <v>699</v>
      </c>
      <c r="I162" t="s">
        <v>864</v>
      </c>
      <c r="J162" t="s">
        <v>1317</v>
      </c>
      <c r="K162">
        <v>43958</v>
      </c>
      <c r="L162">
        <v>0.051794420909599</v>
      </c>
      <c r="M162">
        <v>-0.005021809460162951</v>
      </c>
      <c r="N162">
        <v>0.04</v>
      </c>
      <c r="O162">
        <v>0.08283876011014923</v>
      </c>
      <c r="P162" t="s">
        <v>636</v>
      </c>
      <c r="Q162" t="s">
        <v>635</v>
      </c>
      <c r="R162">
        <v>25</v>
      </c>
      <c r="S162">
        <v>0.5843101893597836</v>
      </c>
      <c r="T162">
        <v>122</v>
      </c>
      <c r="U162">
        <v>1.025491803278689</v>
      </c>
      <c r="V162">
        <v>10.166</v>
      </c>
      <c r="W162">
        <v>11.09</v>
      </c>
      <c r="X162">
        <v>6.48</v>
      </c>
      <c r="Y162">
        <v>-0.163871</v>
      </c>
      <c r="Z162">
        <v>0.6661157024793388</v>
      </c>
      <c r="AA162">
        <v>0.4541062801932367</v>
      </c>
      <c r="AB162">
        <v>0.3794212218649518</v>
      </c>
      <c r="AC162">
        <v>0.5803858520900321</v>
      </c>
      <c r="AD162">
        <v>0.5884244372990354</v>
      </c>
    </row>
    <row r="163" spans="1:30">
      <c r="A163" s="1" t="s">
        <v>170</v>
      </c>
      <c r="B163">
        <f>HYPERLINK("https://www.suredividend.com/sure-analysis-CTBI/","Community Trust Bancorp, Inc. (Kentucky)")</f>
        <v>0</v>
      </c>
      <c r="C163">
        <v>31.99</v>
      </c>
      <c r="D163">
        <v>569.26205</v>
      </c>
      <c r="E163" t="s">
        <v>662</v>
      </c>
      <c r="F163" t="s">
        <v>631</v>
      </c>
      <c r="G163" t="s">
        <v>670</v>
      </c>
      <c r="H163" t="s">
        <v>701</v>
      </c>
      <c r="I163" t="s">
        <v>865</v>
      </c>
      <c r="J163" t="s">
        <v>1311</v>
      </c>
      <c r="K163">
        <v>43972</v>
      </c>
      <c r="L163">
        <v>0.047514848390121</v>
      </c>
      <c r="M163">
        <v>-0.01943417824675919</v>
      </c>
      <c r="N163">
        <v>0.06</v>
      </c>
      <c r="O163">
        <v>0.08201710740002266</v>
      </c>
      <c r="P163" t="s">
        <v>636</v>
      </c>
      <c r="Q163" t="s">
        <v>635</v>
      </c>
      <c r="R163">
        <v>39</v>
      </c>
      <c r="S163">
        <v>0.6333333333333334</v>
      </c>
      <c r="T163">
        <v>29</v>
      </c>
      <c r="U163">
        <v>1.103103448275862</v>
      </c>
      <c r="V163">
        <v>3.2424</v>
      </c>
      <c r="W163">
        <v>2.4</v>
      </c>
      <c r="X163">
        <v>1.52</v>
      </c>
      <c r="Y163">
        <v>-0.220706</v>
      </c>
      <c r="Z163">
        <v>0.6330578512396694</v>
      </c>
      <c r="AA163">
        <v>0.3800322061191626</v>
      </c>
      <c r="AB163">
        <v>0.6463022508038585</v>
      </c>
      <c r="AC163">
        <v>0.4807073954983923</v>
      </c>
      <c r="AD163">
        <v>0.5836012861736335</v>
      </c>
    </row>
    <row r="164" spans="1:30">
      <c r="A164" s="1" t="s">
        <v>171</v>
      </c>
      <c r="B164">
        <f>HYPERLINK("https://www.suredividend.com/sure-analysis-CONE/","CyrusOne, Inc.")</f>
        <v>0</v>
      </c>
      <c r="C164">
        <v>74.73</v>
      </c>
      <c r="D164">
        <v>8608.896000000001</v>
      </c>
      <c r="E164" t="s">
        <v>665</v>
      </c>
      <c r="F164" t="s">
        <v>633</v>
      </c>
      <c r="G164" t="s">
        <v>670</v>
      </c>
      <c r="H164" t="s">
        <v>701</v>
      </c>
      <c r="I164" t="s">
        <v>866</v>
      </c>
      <c r="J164" t="s">
        <v>1321</v>
      </c>
      <c r="K164">
        <v>43990</v>
      </c>
      <c r="L164">
        <v>0.026227753245015</v>
      </c>
      <c r="M164">
        <v>-0.03978835065664932</v>
      </c>
      <c r="N164">
        <v>0.1</v>
      </c>
      <c r="O164">
        <v>0.08148753793002306</v>
      </c>
      <c r="P164" t="s">
        <v>636</v>
      </c>
      <c r="Q164" t="s">
        <v>383</v>
      </c>
      <c r="R164">
        <v>6</v>
      </c>
      <c r="S164">
        <v>0.5130890052356021</v>
      </c>
      <c r="T164">
        <v>61</v>
      </c>
      <c r="U164">
        <v>1.225081967213115</v>
      </c>
      <c r="V164">
        <v>-0.3011</v>
      </c>
      <c r="W164">
        <v>3.82</v>
      </c>
      <c r="X164">
        <v>1.96</v>
      </c>
      <c r="Y164">
        <v>0.253438</v>
      </c>
      <c r="Z164">
        <v>0.343801652892562</v>
      </c>
      <c r="AA164">
        <v>0.8985507246376812</v>
      </c>
      <c r="AB164">
        <v>0.9051446945337621</v>
      </c>
      <c r="AC164">
        <v>0.3424437299035369</v>
      </c>
      <c r="AD164">
        <v>0.5803858520900321</v>
      </c>
    </row>
    <row r="165" spans="1:30">
      <c r="A165" s="1" t="s">
        <v>172</v>
      </c>
      <c r="B165">
        <f>HYPERLINK("https://www.suredividend.com/sure-analysis-WHR/","Whirlpool Corp.")</f>
        <v>0</v>
      </c>
      <c r="C165">
        <v>142.56</v>
      </c>
      <c r="D165">
        <v>8861.971535999999</v>
      </c>
      <c r="E165" t="s">
        <v>659</v>
      </c>
      <c r="F165" t="s">
        <v>631</v>
      </c>
      <c r="G165" t="s">
        <v>670</v>
      </c>
      <c r="H165" t="s">
        <v>699</v>
      </c>
      <c r="I165" t="s">
        <v>867</v>
      </c>
      <c r="J165" t="s">
        <v>1312</v>
      </c>
      <c r="K165">
        <v>43958</v>
      </c>
      <c r="L165">
        <v>0.033670033670033</v>
      </c>
      <c r="M165">
        <v>-0.033867455145836</v>
      </c>
      <c r="N165">
        <v>0.09</v>
      </c>
      <c r="O165">
        <v>0.08066702273262938</v>
      </c>
      <c r="P165" t="s">
        <v>636</v>
      </c>
      <c r="Q165" t="s">
        <v>636</v>
      </c>
      <c r="R165">
        <v>10</v>
      </c>
      <c r="S165">
        <v>0.4</v>
      </c>
      <c r="T165">
        <v>120</v>
      </c>
      <c r="U165">
        <v>1.188</v>
      </c>
      <c r="V165">
        <v>13.6492</v>
      </c>
      <c r="W165">
        <v>12</v>
      </c>
      <c r="X165">
        <v>4.8</v>
      </c>
      <c r="Y165">
        <v>-0.052002</v>
      </c>
      <c r="Z165">
        <v>0.4545454545454545</v>
      </c>
      <c r="AA165">
        <v>0.6215780998389694</v>
      </c>
      <c r="AB165">
        <v>0.8633440514469453</v>
      </c>
      <c r="AC165">
        <v>0.3778135048231511</v>
      </c>
      <c r="AD165">
        <v>0.572347266881029</v>
      </c>
    </row>
    <row r="166" spans="1:30">
      <c r="A166" s="1" t="s">
        <v>173</v>
      </c>
      <c r="B166">
        <f>HYPERLINK("https://www.suredividend.com/sure-analysis-RDEIY/","Red Eléctrica Corp. SA")</f>
        <v>0</v>
      </c>
      <c r="C166">
        <v>9.68</v>
      </c>
      <c r="D166">
        <v>10436.10782</v>
      </c>
      <c r="E166" t="s">
        <v>664</v>
      </c>
      <c r="F166" t="s">
        <v>631</v>
      </c>
      <c r="G166" t="s">
        <v>678</v>
      </c>
      <c r="H166" t="s">
        <v>700</v>
      </c>
      <c r="I166" t="s">
        <v>868</v>
      </c>
      <c r="J166" t="s">
        <v>1315</v>
      </c>
      <c r="K166">
        <v>43966</v>
      </c>
      <c r="L166">
        <v>0.060754132231404</v>
      </c>
      <c r="M166">
        <v>-0.0224754415405255</v>
      </c>
      <c r="N166">
        <v>0.05</v>
      </c>
      <c r="O166">
        <v>0.07984082458750463</v>
      </c>
      <c r="P166" t="s">
        <v>636</v>
      </c>
      <c r="Q166" t="s">
        <v>635</v>
      </c>
      <c r="R166">
        <v>4</v>
      </c>
      <c r="S166">
        <v>0.4084027777777778</v>
      </c>
      <c r="T166">
        <v>8.640000000000001</v>
      </c>
      <c r="U166">
        <v>1.12037037037037</v>
      </c>
      <c r="V166">
        <v>0.745</v>
      </c>
      <c r="W166">
        <v>1.44</v>
      </c>
      <c r="X166">
        <v>0.5881000000000001</v>
      </c>
      <c r="Y166">
        <v>-0.023209</v>
      </c>
      <c r="Z166">
        <v>0.7223140495867768</v>
      </c>
      <c r="AA166">
        <v>0.6602254428341385</v>
      </c>
      <c r="AB166">
        <v>0.5160771704180064</v>
      </c>
      <c r="AC166">
        <v>0.4678456591639871</v>
      </c>
      <c r="AD166">
        <v>0.5691318327974276</v>
      </c>
    </row>
    <row r="167" spans="1:30">
      <c r="A167" s="1" t="s">
        <v>174</v>
      </c>
      <c r="B167">
        <f>HYPERLINK("https://www.suredividend.com/sure-analysis-INTC/","Intel Corp.")</f>
        <v>0</v>
      </c>
      <c r="C167">
        <v>60</v>
      </c>
      <c r="D167">
        <v>254040</v>
      </c>
      <c r="E167" t="s">
        <v>664</v>
      </c>
      <c r="F167" t="s">
        <v>631</v>
      </c>
      <c r="G167" t="s">
        <v>670</v>
      </c>
      <c r="H167" t="s">
        <v>701</v>
      </c>
      <c r="I167" t="s">
        <v>869</v>
      </c>
      <c r="J167" t="s">
        <v>1317</v>
      </c>
      <c r="K167">
        <v>43945</v>
      </c>
      <c r="L167">
        <v>0.021249999999999</v>
      </c>
      <c r="M167">
        <v>0.009805797673485328</v>
      </c>
      <c r="N167">
        <v>0.05</v>
      </c>
      <c r="O167">
        <v>0.07973369345030301</v>
      </c>
      <c r="P167" t="s">
        <v>636</v>
      </c>
      <c r="Q167" t="s">
        <v>383</v>
      </c>
      <c r="R167">
        <v>6</v>
      </c>
      <c r="S167">
        <v>0.2639751552795031</v>
      </c>
      <c r="T167">
        <v>63</v>
      </c>
      <c r="U167">
        <v>0.9523809523809523</v>
      </c>
      <c r="V167">
        <v>5.2299</v>
      </c>
      <c r="W167">
        <v>4.83</v>
      </c>
      <c r="X167">
        <v>1.275</v>
      </c>
      <c r="Y167">
        <v>0.201442</v>
      </c>
      <c r="Z167">
        <v>0.2677685950413223</v>
      </c>
      <c r="AA167">
        <v>0.8599033816425121</v>
      </c>
      <c r="AB167">
        <v>0.5160771704180064</v>
      </c>
      <c r="AC167">
        <v>0.6639871382636656</v>
      </c>
      <c r="AD167">
        <v>0.567524115755627</v>
      </c>
    </row>
    <row r="168" spans="1:30">
      <c r="A168" s="1" t="s">
        <v>175</v>
      </c>
      <c r="B168">
        <f>HYPERLINK("https://www.suredividend.com/sure-analysis-KDP/","Keurig Dr Pepper, Inc.")</f>
        <v>0</v>
      </c>
      <c r="C168">
        <v>29.78</v>
      </c>
      <c r="D168">
        <v>41904.927</v>
      </c>
      <c r="E168" t="s">
        <v>661</v>
      </c>
      <c r="F168" t="s">
        <v>631</v>
      </c>
      <c r="G168" t="s">
        <v>670</v>
      </c>
      <c r="H168" t="s">
        <v>699</v>
      </c>
      <c r="I168" t="s">
        <v>870</v>
      </c>
      <c r="J168" t="s">
        <v>1318</v>
      </c>
      <c r="K168">
        <v>44000</v>
      </c>
      <c r="L168">
        <v>0.020147750167897</v>
      </c>
      <c r="M168">
        <v>-0.03438709107644156</v>
      </c>
      <c r="N168">
        <v>0.1</v>
      </c>
      <c r="O168">
        <v>0.07755112759381522</v>
      </c>
      <c r="P168" t="s">
        <v>636</v>
      </c>
      <c r="Q168" t="s">
        <v>300</v>
      </c>
      <c r="R168">
        <v>0</v>
      </c>
      <c r="S168">
        <v>0.4316546762589929</v>
      </c>
      <c r="T168">
        <v>25</v>
      </c>
      <c r="U168">
        <v>1.1912</v>
      </c>
      <c r="V168">
        <v>0.8388</v>
      </c>
      <c r="W168">
        <v>1.39</v>
      </c>
      <c r="X168">
        <v>0.6000000000000001</v>
      </c>
      <c r="Y168">
        <v>0.06471199999999999</v>
      </c>
      <c r="Z168">
        <v>0.2429752066115703</v>
      </c>
      <c r="AA168">
        <v>0.7584541062801933</v>
      </c>
      <c r="AB168">
        <v>0.9051446945337621</v>
      </c>
      <c r="AC168">
        <v>0.3745980707395498</v>
      </c>
      <c r="AD168">
        <v>0.5498392282958199</v>
      </c>
    </row>
    <row r="169" spans="1:30">
      <c r="A169" s="1" t="s">
        <v>176</v>
      </c>
      <c r="B169">
        <f>HYPERLINK("https://www.suredividend.com/sure-analysis-DEO/","Diageo Plc")</f>
        <v>0</v>
      </c>
      <c r="C169">
        <v>142.5</v>
      </c>
      <c r="D169">
        <v>83163</v>
      </c>
      <c r="E169" t="s">
        <v>664</v>
      </c>
      <c r="F169" t="s">
        <v>631</v>
      </c>
      <c r="G169" t="s">
        <v>673</v>
      </c>
      <c r="H169" t="s">
        <v>699</v>
      </c>
      <c r="I169" t="s">
        <v>871</v>
      </c>
      <c r="J169" t="s">
        <v>1318</v>
      </c>
      <c r="K169">
        <v>43867</v>
      </c>
      <c r="L169">
        <v>0.024076842105263</v>
      </c>
      <c r="M169">
        <v>-0.02431161240320701</v>
      </c>
      <c r="N169">
        <v>0.08</v>
      </c>
      <c r="O169">
        <v>0.07620870407479474</v>
      </c>
      <c r="P169" t="s">
        <v>636</v>
      </c>
      <c r="Q169" t="s">
        <v>383</v>
      </c>
      <c r="R169">
        <v>7</v>
      </c>
      <c r="S169">
        <v>0.4972391304347826</v>
      </c>
      <c r="T169">
        <v>126</v>
      </c>
      <c r="U169">
        <v>1.130952380952381</v>
      </c>
      <c r="V169">
        <v>6.5613</v>
      </c>
      <c r="W169">
        <v>6.9</v>
      </c>
      <c r="X169">
        <v>3.43095</v>
      </c>
      <c r="Y169">
        <v>-0.166423</v>
      </c>
      <c r="Z169">
        <v>0.3256198347107438</v>
      </c>
      <c r="AA169">
        <v>0.4492753623188406</v>
      </c>
      <c r="AB169">
        <v>0.8127009646302251</v>
      </c>
      <c r="AC169">
        <v>0.4533762057877814</v>
      </c>
      <c r="AD169">
        <v>0.5337620578778135</v>
      </c>
    </row>
    <row r="170" spans="1:30">
      <c r="A170" s="1" t="s">
        <v>177</v>
      </c>
      <c r="B170">
        <f>HYPERLINK("https://www.suredividend.com/sure-analysis-SYY/","Sysco Corp.")</f>
        <v>0</v>
      </c>
      <c r="C170">
        <v>54.17</v>
      </c>
      <c r="D170">
        <v>27474.91566</v>
      </c>
      <c r="E170" t="s">
        <v>669</v>
      </c>
      <c r="F170" t="s">
        <v>631</v>
      </c>
      <c r="G170" t="s">
        <v>670</v>
      </c>
      <c r="H170" t="s">
        <v>699</v>
      </c>
      <c r="I170" t="s">
        <v>872</v>
      </c>
      <c r="J170" t="s">
        <v>1318</v>
      </c>
      <c r="K170">
        <v>44013</v>
      </c>
      <c r="L170">
        <v>0.031013476093778</v>
      </c>
      <c r="M170">
        <v>-0.004357545451252332</v>
      </c>
      <c r="N170">
        <v>0.052</v>
      </c>
      <c r="O170">
        <v>0.07567413545812474</v>
      </c>
      <c r="P170" t="s">
        <v>636</v>
      </c>
      <c r="Q170" t="s">
        <v>636</v>
      </c>
      <c r="R170">
        <v>51</v>
      </c>
      <c r="S170">
        <v>0.8400000000000001</v>
      </c>
      <c r="T170">
        <v>53</v>
      </c>
      <c r="U170">
        <v>1.022075471698113</v>
      </c>
      <c r="V170">
        <v>2.669</v>
      </c>
      <c r="W170">
        <v>2</v>
      </c>
      <c r="X170">
        <v>1.68</v>
      </c>
      <c r="Y170">
        <v>-0.246383</v>
      </c>
      <c r="Z170">
        <v>0.4082644628099174</v>
      </c>
      <c r="AA170">
        <v>0.3413848631239936</v>
      </c>
      <c r="AB170">
        <v>0.5836012861736335</v>
      </c>
      <c r="AC170">
        <v>0.5868167202572347</v>
      </c>
      <c r="AD170">
        <v>0.5321543408360129</v>
      </c>
    </row>
    <row r="171" spans="1:30">
      <c r="A171" s="1" t="s">
        <v>178</v>
      </c>
      <c r="B171">
        <f>HYPERLINK("https://www.suredividend.com/sure-analysis-MRK/","Merck &amp; Co., Inc.")</f>
        <v>0</v>
      </c>
      <c r="C171">
        <v>79.87</v>
      </c>
      <c r="D171">
        <v>201599.867</v>
      </c>
      <c r="E171" t="s">
        <v>664</v>
      </c>
      <c r="F171" t="s">
        <v>631</v>
      </c>
      <c r="G171" t="s">
        <v>670</v>
      </c>
      <c r="H171" t="s">
        <v>699</v>
      </c>
      <c r="I171" t="s">
        <v>873</v>
      </c>
      <c r="J171" t="s">
        <v>1314</v>
      </c>
      <c r="K171">
        <v>43950</v>
      </c>
      <c r="L171">
        <v>0.029047201702766</v>
      </c>
      <c r="M171">
        <v>-0.002188094715449562</v>
      </c>
      <c r="N171">
        <v>0.05</v>
      </c>
      <c r="O171">
        <v>0.07557609454665171</v>
      </c>
      <c r="P171" t="s">
        <v>636</v>
      </c>
      <c r="Q171" t="s">
        <v>383</v>
      </c>
      <c r="R171">
        <v>9</v>
      </c>
      <c r="S171">
        <v>0.4402277039848198</v>
      </c>
      <c r="T171">
        <v>79</v>
      </c>
      <c r="U171">
        <v>1.011012658227848</v>
      </c>
      <c r="V171">
        <v>3.9753</v>
      </c>
      <c r="W171">
        <v>5.27</v>
      </c>
      <c r="X171">
        <v>2.32</v>
      </c>
      <c r="Y171">
        <v>-0.034103</v>
      </c>
      <c r="Z171">
        <v>0.3867768595041322</v>
      </c>
      <c r="AA171">
        <v>0.6521739130434783</v>
      </c>
      <c r="AB171">
        <v>0.5160771704180064</v>
      </c>
      <c r="AC171">
        <v>0.5980707395498392</v>
      </c>
      <c r="AD171">
        <v>0.5305466237942122</v>
      </c>
    </row>
    <row r="172" spans="1:30">
      <c r="A172" s="1" t="s">
        <v>179</v>
      </c>
      <c r="B172">
        <f>HYPERLINK("https://www.suredividend.com/sure-analysis-CTSH/","Cognizant Technology Solutions Corp.")</f>
        <v>0</v>
      </c>
      <c r="C172">
        <v>61.43</v>
      </c>
      <c r="D172">
        <v>33207.8294</v>
      </c>
      <c r="E172" t="s">
        <v>662</v>
      </c>
      <c r="F172" t="s">
        <v>631</v>
      </c>
      <c r="G172" t="s">
        <v>670</v>
      </c>
      <c r="H172" t="s">
        <v>701</v>
      </c>
      <c r="I172" t="s">
        <v>874</v>
      </c>
      <c r="J172" t="s">
        <v>1317</v>
      </c>
      <c r="K172">
        <v>43970</v>
      </c>
      <c r="L172">
        <v>0.013348526778447</v>
      </c>
      <c r="M172">
        <v>-0.008039681742614158</v>
      </c>
      <c r="N172">
        <v>0.07000000000000001</v>
      </c>
      <c r="O172">
        <v>0.07497698269942377</v>
      </c>
      <c r="P172" t="s">
        <v>636</v>
      </c>
      <c r="Q172" t="s">
        <v>300</v>
      </c>
      <c r="R172">
        <v>1</v>
      </c>
      <c r="S172">
        <v>0.2216216216216216</v>
      </c>
      <c r="T172">
        <v>59</v>
      </c>
      <c r="U172">
        <v>1.041186440677966</v>
      </c>
      <c r="V172">
        <v>3.1974</v>
      </c>
      <c r="W172">
        <v>3.7</v>
      </c>
      <c r="X172">
        <v>0.8200000000000001</v>
      </c>
      <c r="Y172">
        <v>-0.068254</v>
      </c>
      <c r="Z172">
        <v>0.1173553719008265</v>
      </c>
      <c r="AA172">
        <v>0.605475040257649</v>
      </c>
      <c r="AB172">
        <v>0.7387459807073955</v>
      </c>
      <c r="AC172">
        <v>0.5627009646302251</v>
      </c>
      <c r="AD172">
        <v>0.5289389067524116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106.71</v>
      </c>
      <c r="D173">
        <v>12176.46468</v>
      </c>
      <c r="E173" t="s">
        <v>659</v>
      </c>
      <c r="F173" t="s">
        <v>631</v>
      </c>
      <c r="G173" t="s">
        <v>670</v>
      </c>
      <c r="H173" t="s">
        <v>699</v>
      </c>
      <c r="I173" t="s">
        <v>875</v>
      </c>
      <c r="J173" t="s">
        <v>1318</v>
      </c>
      <c r="K173">
        <v>43993</v>
      </c>
      <c r="L173">
        <v>0.032986599194077</v>
      </c>
      <c r="M173">
        <v>-0.005131583306153154</v>
      </c>
      <c r="N173">
        <v>0.05</v>
      </c>
      <c r="O173">
        <v>0.07493394355204375</v>
      </c>
      <c r="P173" t="s">
        <v>636</v>
      </c>
      <c r="Q173" t="s">
        <v>636</v>
      </c>
      <c r="R173">
        <v>22</v>
      </c>
      <c r="S173">
        <v>0.5407066052227343</v>
      </c>
      <c r="T173">
        <v>104</v>
      </c>
      <c r="U173">
        <v>1.026057692307692</v>
      </c>
      <c r="V173">
        <v>6.827</v>
      </c>
      <c r="W173">
        <v>6.51</v>
      </c>
      <c r="X173">
        <v>3.52</v>
      </c>
      <c r="Y173">
        <v>-0.07921299999999999</v>
      </c>
      <c r="Z173">
        <v>0.4413223140495868</v>
      </c>
      <c r="AA173">
        <v>0.5780998389694042</v>
      </c>
      <c r="AB173">
        <v>0.5160771704180064</v>
      </c>
      <c r="AC173">
        <v>0.5787781350482315</v>
      </c>
      <c r="AD173">
        <v>0.527331189710611</v>
      </c>
    </row>
    <row r="174" spans="1:30">
      <c r="A174" s="1" t="s">
        <v>181</v>
      </c>
      <c r="B174">
        <f>HYPERLINK("https://www.suredividend.com/sure-analysis-GILD/","Gilead Sciences, Inc.")</f>
        <v>0</v>
      </c>
      <c r="C174">
        <v>77.51000000000001</v>
      </c>
      <c r="D174">
        <v>97226.2187</v>
      </c>
      <c r="E174" t="s">
        <v>660</v>
      </c>
      <c r="F174" t="s">
        <v>631</v>
      </c>
      <c r="G174" t="s">
        <v>670</v>
      </c>
      <c r="H174" t="s">
        <v>701</v>
      </c>
      <c r="I174" t="s">
        <v>876</v>
      </c>
      <c r="J174" t="s">
        <v>1314</v>
      </c>
      <c r="K174">
        <v>43960</v>
      </c>
      <c r="L174">
        <v>0.033157011998451</v>
      </c>
      <c r="M174">
        <v>-0.009225554434497019</v>
      </c>
      <c r="N174">
        <v>0.05</v>
      </c>
      <c r="O174">
        <v>0.07479233882935143</v>
      </c>
      <c r="P174" t="s">
        <v>636</v>
      </c>
      <c r="Q174" t="s">
        <v>636</v>
      </c>
      <c r="R174">
        <v>5</v>
      </c>
      <c r="S174">
        <v>0.3835820895522388</v>
      </c>
      <c r="T174">
        <v>74</v>
      </c>
      <c r="U174">
        <v>1.047432432432432</v>
      </c>
      <c r="V174">
        <v>3.9194</v>
      </c>
      <c r="W174">
        <v>6.7</v>
      </c>
      <c r="X174">
        <v>2.57</v>
      </c>
      <c r="Y174">
        <v>0.153251</v>
      </c>
      <c r="Z174">
        <v>0.4462809917355372</v>
      </c>
      <c r="AA174">
        <v>0.8357487922705314</v>
      </c>
      <c r="AB174">
        <v>0.5160771704180064</v>
      </c>
      <c r="AC174">
        <v>0.5546623794212219</v>
      </c>
      <c r="AD174">
        <v>0.5257234726688104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54.07</v>
      </c>
      <c r="D175">
        <v>77182.7622</v>
      </c>
      <c r="E175" t="s">
        <v>668</v>
      </c>
      <c r="F175" t="s">
        <v>631</v>
      </c>
      <c r="G175" t="s">
        <v>670</v>
      </c>
      <c r="H175" t="s">
        <v>701</v>
      </c>
      <c r="I175" t="s">
        <v>877</v>
      </c>
      <c r="J175" t="s">
        <v>1318</v>
      </c>
      <c r="K175">
        <v>43958</v>
      </c>
      <c r="L175">
        <v>0.020621416682078</v>
      </c>
      <c r="M175">
        <v>-0.01552945450987619</v>
      </c>
      <c r="N175">
        <v>0.07000000000000001</v>
      </c>
      <c r="O175">
        <v>0.07366961920762782</v>
      </c>
      <c r="P175" t="s">
        <v>636</v>
      </c>
      <c r="Q175" t="s">
        <v>300</v>
      </c>
      <c r="R175">
        <v>7</v>
      </c>
      <c r="S175">
        <v>0.4495967741935484</v>
      </c>
      <c r="T175">
        <v>50</v>
      </c>
      <c r="U175">
        <v>1.0814</v>
      </c>
      <c r="V175">
        <v>2.5722</v>
      </c>
      <c r="W175">
        <v>2.48</v>
      </c>
      <c r="X175">
        <v>1.115</v>
      </c>
      <c r="Y175">
        <v>-0.021003</v>
      </c>
      <c r="Z175">
        <v>0.2512396694214876</v>
      </c>
      <c r="AA175">
        <v>0.6634460547504025</v>
      </c>
      <c r="AB175">
        <v>0.7387459807073955</v>
      </c>
      <c r="AC175">
        <v>0.5144694533762058</v>
      </c>
      <c r="AD175">
        <v>0.5209003215434084</v>
      </c>
    </row>
    <row r="176" spans="1:30">
      <c r="A176" s="1" t="s">
        <v>183</v>
      </c>
      <c r="B176">
        <f>HYPERLINK("https://www.suredividend.com/sure-analysis-TTC/","The Toro Co.")</f>
        <v>0</v>
      </c>
      <c r="C176">
        <v>70.72</v>
      </c>
      <c r="D176">
        <v>7579.34528</v>
      </c>
      <c r="E176" t="s">
        <v>666</v>
      </c>
      <c r="F176" t="s">
        <v>631</v>
      </c>
      <c r="G176" t="s">
        <v>670</v>
      </c>
      <c r="H176" t="s">
        <v>699</v>
      </c>
      <c r="I176" t="s">
        <v>878</v>
      </c>
      <c r="J176" t="s">
        <v>1313</v>
      </c>
      <c r="K176">
        <v>44000</v>
      </c>
      <c r="L176">
        <v>0.013433257918552</v>
      </c>
      <c r="M176">
        <v>-0.05605492798606959</v>
      </c>
      <c r="N176">
        <v>0.12</v>
      </c>
      <c r="O176">
        <v>0.07199879479326321</v>
      </c>
      <c r="P176" t="s">
        <v>636</v>
      </c>
      <c r="Q176" t="s">
        <v>300</v>
      </c>
      <c r="R176">
        <v>10</v>
      </c>
      <c r="S176">
        <v>0.3064516129032258</v>
      </c>
      <c r="T176">
        <v>53</v>
      </c>
      <c r="U176">
        <v>1.334339622641509</v>
      </c>
      <c r="V176">
        <v>2.4913</v>
      </c>
      <c r="W176">
        <v>3.1</v>
      </c>
      <c r="X176">
        <v>0.9500000000000001</v>
      </c>
      <c r="Y176">
        <v>-0.001412</v>
      </c>
      <c r="Z176">
        <v>0.1190082644628099</v>
      </c>
      <c r="AA176">
        <v>0.681159420289855</v>
      </c>
      <c r="AB176">
        <v>0.9461414790996784</v>
      </c>
      <c r="AC176">
        <v>0.2443729903536977</v>
      </c>
      <c r="AD176">
        <v>0.5016077170418006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50.77</v>
      </c>
      <c r="D177">
        <v>12667.31808</v>
      </c>
      <c r="E177" t="s">
        <v>667</v>
      </c>
      <c r="F177" t="s">
        <v>631</v>
      </c>
      <c r="G177" t="s">
        <v>670</v>
      </c>
      <c r="H177" t="s">
        <v>701</v>
      </c>
      <c r="I177" t="s">
        <v>879</v>
      </c>
      <c r="J177" t="s">
        <v>1315</v>
      </c>
      <c r="K177">
        <v>43979</v>
      </c>
      <c r="L177">
        <v>0.028461689974394</v>
      </c>
      <c r="M177">
        <v>-0.01115820385733068</v>
      </c>
      <c r="N177">
        <v>0.055</v>
      </c>
      <c r="O177">
        <v>0.07103656979381423</v>
      </c>
      <c r="P177" t="s">
        <v>636</v>
      </c>
      <c r="Q177" t="s">
        <v>383</v>
      </c>
      <c r="R177">
        <v>17</v>
      </c>
      <c r="S177">
        <v>0.5995850622406639</v>
      </c>
      <c r="T177">
        <v>48</v>
      </c>
      <c r="U177">
        <v>1.057708333333333</v>
      </c>
      <c r="V177">
        <v>2.5018</v>
      </c>
      <c r="W177">
        <v>2.41</v>
      </c>
      <c r="X177">
        <v>1.445</v>
      </c>
      <c r="Y177">
        <v>-0.001573</v>
      </c>
      <c r="Z177">
        <v>0.3752066115702479</v>
      </c>
      <c r="AA177">
        <v>0.6795491143317229</v>
      </c>
      <c r="AB177">
        <v>0.592443729903537</v>
      </c>
      <c r="AC177">
        <v>0.545016077170418</v>
      </c>
      <c r="AD177">
        <v>0.4919614147909968</v>
      </c>
    </row>
    <row r="178" spans="1:30">
      <c r="A178" s="1" t="s">
        <v>185</v>
      </c>
      <c r="B178">
        <f>HYPERLINK("https://www.suredividend.com/sure-analysis-KO/","The Coca-Cola Co.")</f>
        <v>0</v>
      </c>
      <c r="C178">
        <v>46.82</v>
      </c>
      <c r="D178">
        <v>201086.7498</v>
      </c>
      <c r="E178" t="s">
        <v>663</v>
      </c>
      <c r="F178" t="s">
        <v>631</v>
      </c>
      <c r="G178" t="s">
        <v>670</v>
      </c>
      <c r="H178" t="s">
        <v>699</v>
      </c>
      <c r="I178" t="s">
        <v>880</v>
      </c>
      <c r="J178" t="s">
        <v>1318</v>
      </c>
      <c r="K178">
        <v>43956</v>
      </c>
      <c r="L178">
        <v>0.034387014096539</v>
      </c>
      <c r="M178">
        <v>-0.03099567291928329</v>
      </c>
      <c r="N178">
        <v>0.07000000000000001</v>
      </c>
      <c r="O178">
        <v>0.07071944508650518</v>
      </c>
      <c r="P178" t="s">
        <v>636</v>
      </c>
      <c r="Q178" t="s">
        <v>636</v>
      </c>
      <c r="R178">
        <v>58</v>
      </c>
      <c r="S178">
        <v>0.8473684210526315</v>
      </c>
      <c r="T178">
        <v>40</v>
      </c>
      <c r="U178">
        <v>1.1705</v>
      </c>
      <c r="V178">
        <v>2.3404</v>
      </c>
      <c r="W178">
        <v>1.9</v>
      </c>
      <c r="X178">
        <v>1.61</v>
      </c>
      <c r="Y178">
        <v>-0.100135</v>
      </c>
      <c r="Z178">
        <v>0.4677685950413223</v>
      </c>
      <c r="AA178">
        <v>0.5410628019323671</v>
      </c>
      <c r="AB178">
        <v>0.7387459807073955</v>
      </c>
      <c r="AC178">
        <v>0.4051446945337621</v>
      </c>
      <c r="AD178">
        <v>0.4903536977491962</v>
      </c>
    </row>
    <row r="179" spans="1:30">
      <c r="A179" s="1" t="s">
        <v>186</v>
      </c>
      <c r="B179">
        <f>HYPERLINK("https://www.suredividend.com/sure-analysis-BAH/","Booz Allen Hamilton Holding Corp.")</f>
        <v>0</v>
      </c>
      <c r="C179">
        <v>72.25</v>
      </c>
      <c r="D179">
        <v>9978.736500000001</v>
      </c>
      <c r="E179" t="s">
        <v>661</v>
      </c>
      <c r="F179" t="s">
        <v>631</v>
      </c>
      <c r="G179" t="s">
        <v>670</v>
      </c>
      <c r="H179" t="s">
        <v>699</v>
      </c>
      <c r="I179" t="s">
        <v>881</v>
      </c>
      <c r="J179" t="s">
        <v>1313</v>
      </c>
      <c r="K179">
        <v>44000</v>
      </c>
      <c r="L179">
        <v>0.01439446366782</v>
      </c>
      <c r="M179">
        <v>-0.02702755820404812</v>
      </c>
      <c r="N179">
        <v>0.08</v>
      </c>
      <c r="O179">
        <v>0.07014434371813438</v>
      </c>
      <c r="P179" t="s">
        <v>636</v>
      </c>
      <c r="Q179" t="s">
        <v>300</v>
      </c>
      <c r="R179">
        <v>8</v>
      </c>
      <c r="S179">
        <v>0.2971428571428572</v>
      </c>
      <c r="T179">
        <v>63</v>
      </c>
      <c r="U179">
        <v>1.146825396825397</v>
      </c>
      <c r="V179">
        <v>3.4424</v>
      </c>
      <c r="W179">
        <v>3.5</v>
      </c>
      <c r="X179">
        <v>1.04</v>
      </c>
      <c r="Y179">
        <v>0.07227699999999999</v>
      </c>
      <c r="Z179">
        <v>0.1272727272727273</v>
      </c>
      <c r="AA179">
        <v>0.7697262479871175</v>
      </c>
      <c r="AB179">
        <v>0.8127009646302251</v>
      </c>
      <c r="AC179">
        <v>0.4389067524115756</v>
      </c>
      <c r="AD179">
        <v>0.4855305466237942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26</v>
      </c>
      <c r="D180">
        <v>19987.864</v>
      </c>
      <c r="E180" t="s">
        <v>664</v>
      </c>
      <c r="F180" t="s">
        <v>631</v>
      </c>
      <c r="G180" t="s">
        <v>670</v>
      </c>
      <c r="H180" t="s">
        <v>699</v>
      </c>
      <c r="I180" t="s">
        <v>882</v>
      </c>
      <c r="J180" t="s">
        <v>1315</v>
      </c>
      <c r="K180">
        <v>43960</v>
      </c>
      <c r="L180">
        <v>0.06355769230769201</v>
      </c>
      <c r="M180">
        <v>-0.007813457628780496</v>
      </c>
      <c r="N180">
        <v>0.02</v>
      </c>
      <c r="O180">
        <v>0.06964205831310366</v>
      </c>
      <c r="P180" t="s">
        <v>636</v>
      </c>
      <c r="Q180" t="s">
        <v>635</v>
      </c>
      <c r="R180">
        <v>19</v>
      </c>
      <c r="S180">
        <v>0.661</v>
      </c>
      <c r="T180">
        <v>25</v>
      </c>
      <c r="U180">
        <v>1.04</v>
      </c>
      <c r="V180">
        <v>2.4762</v>
      </c>
      <c r="W180">
        <v>2.5</v>
      </c>
      <c r="X180">
        <v>1.6525</v>
      </c>
      <c r="Y180">
        <v>-0.153094</v>
      </c>
      <c r="Z180">
        <v>0.7421487603305785</v>
      </c>
      <c r="AA180">
        <v>0.4702093397745572</v>
      </c>
      <c r="AB180">
        <v>0.157556270096463</v>
      </c>
      <c r="AC180">
        <v>0.5643086816720257</v>
      </c>
      <c r="AD180">
        <v>0.4774919614147909</v>
      </c>
    </row>
    <row r="181" spans="1:30">
      <c r="A181" s="1" t="s">
        <v>188</v>
      </c>
      <c r="B181">
        <f>HYPERLINK("https://www.suredividend.com/sure-analysis-JACK/","Jack in the Box, Inc.")</f>
        <v>0</v>
      </c>
      <c r="C181">
        <v>77.44</v>
      </c>
      <c r="D181">
        <v>1755.704192</v>
      </c>
      <c r="E181" t="s">
        <v>662</v>
      </c>
      <c r="F181" t="s">
        <v>631</v>
      </c>
      <c r="G181" t="s">
        <v>670</v>
      </c>
      <c r="H181" t="s">
        <v>701</v>
      </c>
      <c r="I181" t="s">
        <v>883</v>
      </c>
      <c r="J181" t="s">
        <v>1312</v>
      </c>
      <c r="K181">
        <v>43983</v>
      </c>
      <c r="L181">
        <v>0.020661157024793</v>
      </c>
      <c r="M181">
        <v>-0.04660493816788391</v>
      </c>
      <c r="N181">
        <v>0.12</v>
      </c>
      <c r="O181">
        <v>0.06780246925197009</v>
      </c>
      <c r="P181" t="s">
        <v>636</v>
      </c>
      <c r="Q181" t="s">
        <v>300</v>
      </c>
      <c r="R181">
        <v>0</v>
      </c>
      <c r="S181">
        <v>0.4705882352941177</v>
      </c>
      <c r="T181">
        <v>61</v>
      </c>
      <c r="U181">
        <v>1.269508196721312</v>
      </c>
      <c r="V181">
        <v>2.2101</v>
      </c>
      <c r="W181">
        <v>3.4</v>
      </c>
      <c r="X181">
        <v>1.6</v>
      </c>
      <c r="Y181">
        <v>-0.001032</v>
      </c>
      <c r="Z181">
        <v>0.2528925619834711</v>
      </c>
      <c r="AA181">
        <v>0.6827697262479872</v>
      </c>
      <c r="AB181">
        <v>0.9461414790996784</v>
      </c>
      <c r="AC181">
        <v>0.3070739549839228</v>
      </c>
      <c r="AD181">
        <v>0.4678456591639871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40.33</v>
      </c>
      <c r="D182">
        <v>18725.219</v>
      </c>
      <c r="E182" t="s">
        <v>668</v>
      </c>
      <c r="F182" t="s">
        <v>631</v>
      </c>
      <c r="G182" t="s">
        <v>671</v>
      </c>
      <c r="H182" t="s">
        <v>699</v>
      </c>
      <c r="I182" t="s">
        <v>884</v>
      </c>
      <c r="J182" t="s">
        <v>1315</v>
      </c>
      <c r="K182">
        <v>43971</v>
      </c>
      <c r="L182">
        <v>0.03456079053648</v>
      </c>
      <c r="M182">
        <v>-0.02245928330856373</v>
      </c>
      <c r="N182">
        <v>0.05</v>
      </c>
      <c r="O182">
        <v>0.06118180110097349</v>
      </c>
      <c r="P182" t="s">
        <v>636</v>
      </c>
      <c r="Q182" t="s">
        <v>636</v>
      </c>
      <c r="R182">
        <v>46</v>
      </c>
      <c r="S182">
        <v>0.7493745603958333</v>
      </c>
      <c r="T182">
        <v>36</v>
      </c>
      <c r="U182">
        <v>1.120277777777778</v>
      </c>
      <c r="V182">
        <v>2.8101</v>
      </c>
      <c r="W182">
        <v>1.86</v>
      </c>
      <c r="X182">
        <v>1.39383668233625</v>
      </c>
      <c r="Y182">
        <v>0.013062</v>
      </c>
      <c r="Z182">
        <v>0.4710743801652892</v>
      </c>
      <c r="AA182">
        <v>0.6972624798711755</v>
      </c>
      <c r="AB182">
        <v>0.5160771704180064</v>
      </c>
      <c r="AC182">
        <v>0.4694533762057878</v>
      </c>
      <c r="AD182">
        <v>0.4212218649517685</v>
      </c>
    </row>
    <row r="183" spans="1:30">
      <c r="A183" s="1" t="s">
        <v>190</v>
      </c>
      <c r="B183">
        <f>HYPERLINK("https://www.suredividend.com/sure-analysis-AMGN/","Amgen, Inc.")</f>
        <v>0</v>
      </c>
      <c r="C183">
        <v>258.46</v>
      </c>
      <c r="D183">
        <v>152038.31962</v>
      </c>
      <c r="E183" t="s">
        <v>664</v>
      </c>
      <c r="F183" t="s">
        <v>631</v>
      </c>
      <c r="G183" t="s">
        <v>670</v>
      </c>
      <c r="H183" t="s">
        <v>701</v>
      </c>
      <c r="I183" t="s">
        <v>885</v>
      </c>
      <c r="J183" t="s">
        <v>1314</v>
      </c>
      <c r="K183">
        <v>43953</v>
      </c>
      <c r="L183">
        <v>0.023020970362918</v>
      </c>
      <c r="M183">
        <v>-0.05382265269188524</v>
      </c>
      <c r="N183">
        <v>0.09</v>
      </c>
      <c r="O183">
        <v>0.05843202167248318</v>
      </c>
      <c r="P183" t="s">
        <v>636</v>
      </c>
      <c r="Q183" t="s">
        <v>383</v>
      </c>
      <c r="R183">
        <v>10</v>
      </c>
      <c r="S183">
        <v>0.3906762967826658</v>
      </c>
      <c r="T183">
        <v>196</v>
      </c>
      <c r="U183">
        <v>1.318673469387755</v>
      </c>
      <c r="V183">
        <v>12.8403</v>
      </c>
      <c r="W183">
        <v>15.23</v>
      </c>
      <c r="X183">
        <v>5.95</v>
      </c>
      <c r="Y183">
        <v>0.439568</v>
      </c>
      <c r="Z183">
        <v>0.3057851239669421</v>
      </c>
      <c r="AA183">
        <v>0.9500805152979066</v>
      </c>
      <c r="AB183">
        <v>0.8633440514469453</v>
      </c>
      <c r="AC183">
        <v>0.2668810289389068</v>
      </c>
      <c r="AD183">
        <v>0.4115755627009646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58.44</v>
      </c>
      <c r="D184">
        <v>9757.691736000001</v>
      </c>
      <c r="E184" t="s">
        <v>669</v>
      </c>
      <c r="F184" t="s">
        <v>632</v>
      </c>
      <c r="G184" t="s">
        <v>670</v>
      </c>
      <c r="H184" t="s">
        <v>699</v>
      </c>
      <c r="I184" t="s">
        <v>886</v>
      </c>
      <c r="J184" t="s">
        <v>1315</v>
      </c>
      <c r="K184">
        <v>44007</v>
      </c>
      <c r="L184">
        <v>0.034864818617385</v>
      </c>
      <c r="M184">
        <v>-0.01935203268083685</v>
      </c>
      <c r="N184">
        <v>0.04</v>
      </c>
      <c r="O184">
        <v>0.05792459868336097</v>
      </c>
      <c r="P184" t="s">
        <v>636</v>
      </c>
      <c r="Q184" t="s">
        <v>636</v>
      </c>
      <c r="R184">
        <v>5</v>
      </c>
      <c r="S184">
        <v>0.3091805766312595</v>
      </c>
      <c r="T184">
        <v>53</v>
      </c>
      <c r="U184">
        <v>1.102641509433962</v>
      </c>
      <c r="V184">
        <v>-4.549</v>
      </c>
      <c r="W184">
        <v>6.59</v>
      </c>
      <c r="X184">
        <v>2.0375</v>
      </c>
      <c r="Y184">
        <v>0.158604</v>
      </c>
      <c r="Z184">
        <v>0.4760330578512397</v>
      </c>
      <c r="AA184">
        <v>0.8389694041867954</v>
      </c>
      <c r="AB184">
        <v>0.3794212218649518</v>
      </c>
      <c r="AC184">
        <v>0.4839228295819936</v>
      </c>
      <c r="AD184">
        <v>0.3971061093247589</v>
      </c>
    </row>
    <row r="185" spans="1:30">
      <c r="A185" s="1" t="s">
        <v>192</v>
      </c>
      <c r="B185">
        <f>HYPERLINK("https://www.suredividend.com/sure-analysis-UVV/","Universal Corp.")</f>
        <v>0</v>
      </c>
      <c r="C185">
        <v>40.55</v>
      </c>
      <c r="D185">
        <v>992.684275</v>
      </c>
      <c r="E185" t="s">
        <v>660</v>
      </c>
      <c r="F185" t="s">
        <v>631</v>
      </c>
      <c r="G185" t="s">
        <v>670</v>
      </c>
      <c r="H185" t="s">
        <v>699</v>
      </c>
      <c r="I185" t="s">
        <v>887</v>
      </c>
      <c r="J185" t="s">
        <v>1318</v>
      </c>
      <c r="K185">
        <v>43983</v>
      </c>
      <c r="L185">
        <v>0.07496917385943201</v>
      </c>
      <c r="M185">
        <v>-0.02900847982597765</v>
      </c>
      <c r="N185">
        <v>0.015</v>
      </c>
      <c r="O185">
        <v>0.057316779564069</v>
      </c>
      <c r="P185" t="s">
        <v>636</v>
      </c>
      <c r="Q185" t="s">
        <v>635</v>
      </c>
      <c r="R185">
        <v>49</v>
      </c>
      <c r="S185">
        <v>0.95</v>
      </c>
      <c r="T185">
        <v>35</v>
      </c>
      <c r="U185">
        <v>1.158571428571429</v>
      </c>
      <c r="V185">
        <v>2.8719</v>
      </c>
      <c r="W185">
        <v>3.2</v>
      </c>
      <c r="X185">
        <v>3.04</v>
      </c>
      <c r="Y185">
        <v>-0.337527</v>
      </c>
      <c r="Z185">
        <v>0.8066115702479338</v>
      </c>
      <c r="AA185">
        <v>0.2463768115942029</v>
      </c>
      <c r="AB185">
        <v>0.1085209003215434</v>
      </c>
      <c r="AC185">
        <v>0.4228295819935691</v>
      </c>
      <c r="AD185">
        <v>0.3954983922829582</v>
      </c>
    </row>
    <row r="186" spans="1:30">
      <c r="A186" s="1" t="s">
        <v>193</v>
      </c>
      <c r="B186">
        <f>HYPERLINK("https://www.suredividend.com/sure-analysis-TRV/","The Travelers Cos., Inc.")</f>
        <v>0</v>
      </c>
      <c r="C186">
        <v>119.16</v>
      </c>
      <c r="D186">
        <v>30127.93776</v>
      </c>
      <c r="E186" t="s">
        <v>663</v>
      </c>
      <c r="F186" t="s">
        <v>631</v>
      </c>
      <c r="G186" t="s">
        <v>670</v>
      </c>
      <c r="H186" t="s">
        <v>699</v>
      </c>
      <c r="I186" t="s">
        <v>888</v>
      </c>
      <c r="J186" t="s">
        <v>1311</v>
      </c>
      <c r="K186">
        <v>43949</v>
      </c>
      <c r="L186">
        <v>0.027526015441423</v>
      </c>
      <c r="M186">
        <v>-0.03252850998851087</v>
      </c>
      <c r="N186">
        <v>0.06</v>
      </c>
      <c r="O186">
        <v>0.05632069686109253</v>
      </c>
      <c r="P186" t="s">
        <v>636</v>
      </c>
      <c r="Q186" t="s">
        <v>636</v>
      </c>
      <c r="R186">
        <v>15</v>
      </c>
      <c r="S186">
        <v>0.3565217391304348</v>
      </c>
      <c r="T186">
        <v>101</v>
      </c>
      <c r="U186">
        <v>1.17980198019802</v>
      </c>
      <c r="V186">
        <v>9.337300000000001</v>
      </c>
      <c r="W186">
        <v>9.199999999999999</v>
      </c>
      <c r="X186">
        <v>3.28</v>
      </c>
      <c r="Y186">
        <v>-0.219697</v>
      </c>
      <c r="Z186">
        <v>0.3603305785123967</v>
      </c>
      <c r="AA186">
        <v>0.3832528180354267</v>
      </c>
      <c r="AB186">
        <v>0.6463022508038585</v>
      </c>
      <c r="AC186">
        <v>0.3874598070739549</v>
      </c>
      <c r="AD186">
        <v>0.3922829581993569</v>
      </c>
    </row>
    <row r="187" spans="1:30">
      <c r="A187" s="1" t="s">
        <v>194</v>
      </c>
      <c r="B187">
        <f>HYPERLINK("https://www.suredividend.com/sure-analysis-HON/","Honeywell International, Inc.")</f>
        <v>0</v>
      </c>
      <c r="C187">
        <v>155</v>
      </c>
      <c r="D187">
        <v>108786.44</v>
      </c>
      <c r="E187" t="s">
        <v>664</v>
      </c>
      <c r="F187" t="s">
        <v>631</v>
      </c>
      <c r="G187" t="s">
        <v>670</v>
      </c>
      <c r="H187" t="s">
        <v>699</v>
      </c>
      <c r="I187" t="s">
        <v>889</v>
      </c>
      <c r="J187" t="s">
        <v>1313</v>
      </c>
      <c r="K187">
        <v>43956</v>
      </c>
      <c r="L187">
        <v>0.022193548387096</v>
      </c>
      <c r="M187">
        <v>-0.05469744284046052</v>
      </c>
      <c r="N187">
        <v>0.09</v>
      </c>
      <c r="O187">
        <v>0.05596353552902289</v>
      </c>
      <c r="P187" t="s">
        <v>636</v>
      </c>
      <c r="Q187" t="s">
        <v>383</v>
      </c>
      <c r="R187">
        <v>10</v>
      </c>
      <c r="S187">
        <v>0.445019404915912</v>
      </c>
      <c r="T187">
        <v>117</v>
      </c>
      <c r="U187">
        <v>1.324786324786325</v>
      </c>
      <c r="V187">
        <v>8.8103</v>
      </c>
      <c r="W187">
        <v>7.73</v>
      </c>
      <c r="X187">
        <v>3.44</v>
      </c>
      <c r="Y187">
        <v>-0.108581</v>
      </c>
      <c r="Z187">
        <v>0.2826446280991736</v>
      </c>
      <c r="AA187">
        <v>0.5314009661835749</v>
      </c>
      <c r="AB187">
        <v>0.8633440514469453</v>
      </c>
      <c r="AC187">
        <v>0.2540192926045016</v>
      </c>
      <c r="AD187">
        <v>0.3906752411575563</v>
      </c>
    </row>
    <row r="188" spans="1:30">
      <c r="A188" s="1" t="s">
        <v>195</v>
      </c>
      <c r="B188">
        <f>HYPERLINK("https://www.suredividend.com/sure-analysis-NSC/","Norfolk Southern Corp.")</f>
        <v>0</v>
      </c>
      <c r="C188">
        <v>188.25</v>
      </c>
      <c r="D188">
        <v>48225.69675</v>
      </c>
      <c r="E188" t="s">
        <v>660</v>
      </c>
      <c r="F188" t="s">
        <v>631</v>
      </c>
      <c r="G188" t="s">
        <v>670</v>
      </c>
      <c r="H188" t="s">
        <v>699</v>
      </c>
      <c r="I188" t="s">
        <v>890</v>
      </c>
      <c r="J188" t="s">
        <v>1313</v>
      </c>
      <c r="K188">
        <v>43958</v>
      </c>
      <c r="L188">
        <v>0.019548472775564</v>
      </c>
      <c r="M188">
        <v>-0.02839324863956905</v>
      </c>
      <c r="N188">
        <v>0.065</v>
      </c>
      <c r="O188">
        <v>0.05594106831218992</v>
      </c>
      <c r="P188" t="s">
        <v>636</v>
      </c>
      <c r="Q188" t="s">
        <v>300</v>
      </c>
      <c r="R188">
        <v>3</v>
      </c>
      <c r="S188">
        <v>0.4329411764705883</v>
      </c>
      <c r="T188">
        <v>163</v>
      </c>
      <c r="U188">
        <v>1.154907975460123</v>
      </c>
      <c r="V188">
        <v>9.2597</v>
      </c>
      <c r="W188">
        <v>8.5</v>
      </c>
      <c r="X188">
        <v>3.68</v>
      </c>
      <c r="Y188">
        <v>-0.038854</v>
      </c>
      <c r="Z188">
        <v>0.231404958677686</v>
      </c>
      <c r="AA188">
        <v>0.644122383252818</v>
      </c>
      <c r="AB188">
        <v>0.6969453376205788</v>
      </c>
      <c r="AC188">
        <v>0.4260450160771704</v>
      </c>
      <c r="AD188">
        <v>0.3890675241157556</v>
      </c>
    </row>
    <row r="189" spans="1:30">
      <c r="A189" s="1" t="s">
        <v>196</v>
      </c>
      <c r="B189">
        <f>HYPERLINK("https://www.suredividend.com/sure-analysis-RSG/","Republic Services, Inc.")</f>
        <v>0</v>
      </c>
      <c r="C189">
        <v>86.98</v>
      </c>
      <c r="D189">
        <v>27668.338</v>
      </c>
      <c r="E189" t="s">
        <v>665</v>
      </c>
      <c r="F189" t="s">
        <v>631</v>
      </c>
      <c r="G189" t="s">
        <v>670</v>
      </c>
      <c r="H189" t="s">
        <v>699</v>
      </c>
      <c r="I189" t="s">
        <v>891</v>
      </c>
      <c r="J189" t="s">
        <v>1313</v>
      </c>
      <c r="K189">
        <v>43988</v>
      </c>
      <c r="L189">
        <v>0.018280064382616</v>
      </c>
      <c r="M189">
        <v>-0.02155810546976633</v>
      </c>
      <c r="N189">
        <v>0.06</v>
      </c>
      <c r="O189">
        <v>0.05571918923493313</v>
      </c>
      <c r="P189" t="s">
        <v>636</v>
      </c>
      <c r="Q189" t="s">
        <v>300</v>
      </c>
      <c r="R189">
        <v>10</v>
      </c>
      <c r="S189">
        <v>0.4704142011834319</v>
      </c>
      <c r="T189">
        <v>78</v>
      </c>
      <c r="U189">
        <v>1.115128205128205</v>
      </c>
      <c r="V189">
        <v>3.388</v>
      </c>
      <c r="W189">
        <v>3.38</v>
      </c>
      <c r="X189">
        <v>1.59</v>
      </c>
      <c r="Y189">
        <v>-0.01204</v>
      </c>
      <c r="Z189">
        <v>0.2033057851239669</v>
      </c>
      <c r="AA189">
        <v>0.6698872785829307</v>
      </c>
      <c r="AB189">
        <v>0.6463022508038585</v>
      </c>
      <c r="AC189">
        <v>0.4758842443729903</v>
      </c>
      <c r="AD189">
        <v>0.3858520900321543</v>
      </c>
    </row>
    <row r="190" spans="1:30">
      <c r="A190" s="1" t="s">
        <v>197</v>
      </c>
      <c r="B190">
        <f>HYPERLINK("https://www.suredividend.com/sure-analysis-RE/","Everest Re Group Ltd.")</f>
        <v>0</v>
      </c>
      <c r="C190">
        <v>222.62</v>
      </c>
      <c r="D190">
        <v>8901.905940000001</v>
      </c>
      <c r="E190" t="s">
        <v>660</v>
      </c>
      <c r="F190" t="s">
        <v>631</v>
      </c>
      <c r="G190" t="s">
        <v>679</v>
      </c>
      <c r="H190" t="s">
        <v>699</v>
      </c>
      <c r="I190" t="s">
        <v>892</v>
      </c>
      <c r="J190" t="s">
        <v>1311</v>
      </c>
      <c r="K190">
        <v>43974</v>
      </c>
      <c r="L190">
        <v>0.026502560416853</v>
      </c>
      <c r="M190">
        <v>-0.02316727087730786</v>
      </c>
      <c r="N190">
        <v>0.05</v>
      </c>
      <c r="O190">
        <v>0.05413097300577641</v>
      </c>
      <c r="P190" t="s">
        <v>636</v>
      </c>
      <c r="Q190" t="s">
        <v>636</v>
      </c>
      <c r="R190">
        <v>8</v>
      </c>
      <c r="S190">
        <v>0.2681818181818182</v>
      </c>
      <c r="T190">
        <v>198</v>
      </c>
      <c r="U190">
        <v>1.124343434343434</v>
      </c>
      <c r="V190">
        <v>16.6614</v>
      </c>
      <c r="W190">
        <v>22</v>
      </c>
      <c r="X190">
        <v>5.9</v>
      </c>
      <c r="Y190">
        <v>-0.116798</v>
      </c>
      <c r="Z190">
        <v>0.3471074380165289</v>
      </c>
      <c r="AA190">
        <v>0.5201288244766505</v>
      </c>
      <c r="AB190">
        <v>0.5160771704180064</v>
      </c>
      <c r="AC190">
        <v>0.4598070739549839</v>
      </c>
      <c r="AD190">
        <v>0.3778135048231511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139.95</v>
      </c>
      <c r="D191">
        <v>7606.87029</v>
      </c>
      <c r="E191" t="s">
        <v>663</v>
      </c>
      <c r="F191" t="s">
        <v>631</v>
      </c>
      <c r="G191" t="s">
        <v>670</v>
      </c>
      <c r="H191" t="s">
        <v>699</v>
      </c>
      <c r="I191" t="s">
        <v>893</v>
      </c>
      <c r="J191" t="s">
        <v>1313</v>
      </c>
      <c r="K191">
        <v>43945</v>
      </c>
      <c r="L191">
        <v>0.029010360843158</v>
      </c>
      <c r="M191">
        <v>0.01931769530169425</v>
      </c>
      <c r="N191">
        <v>0</v>
      </c>
      <c r="O191">
        <v>0.05322788926411248</v>
      </c>
      <c r="P191" t="s">
        <v>636</v>
      </c>
      <c r="Q191" t="s">
        <v>383</v>
      </c>
      <c r="R191">
        <v>10</v>
      </c>
      <c r="S191">
        <v>0.4437158469945355</v>
      </c>
      <c r="T191">
        <v>154</v>
      </c>
      <c r="U191">
        <v>0.9087662337662337</v>
      </c>
      <c r="V191">
        <v>11.8945</v>
      </c>
      <c r="W191">
        <v>9.15</v>
      </c>
      <c r="X191">
        <v>4.06</v>
      </c>
      <c r="Y191">
        <v>-0.0752</v>
      </c>
      <c r="Z191">
        <v>0.3851239669421488</v>
      </c>
      <c r="AA191">
        <v>0.5925925925925926</v>
      </c>
      <c r="AB191">
        <v>0.04180064308681672</v>
      </c>
      <c r="AC191">
        <v>0.7186495176848875</v>
      </c>
      <c r="AD191">
        <v>0.3713826366559486</v>
      </c>
    </row>
    <row r="192" spans="1:30">
      <c r="A192" s="1" t="s">
        <v>199</v>
      </c>
      <c r="B192">
        <f>HYPERLINK("https://www.suredividend.com/sure-analysis-FOXA/","Fox Corp.")</f>
        <v>0</v>
      </c>
      <c r="C192">
        <v>25.28</v>
      </c>
      <c r="D192">
        <v>15262.0416</v>
      </c>
      <c r="E192" t="s">
        <v>667</v>
      </c>
      <c r="F192" t="s">
        <v>631</v>
      </c>
      <c r="G192" t="s">
        <v>670</v>
      </c>
      <c r="H192" t="s">
        <v>701</v>
      </c>
      <c r="I192" t="s">
        <v>894</v>
      </c>
      <c r="J192" t="s">
        <v>1320</v>
      </c>
      <c r="K192">
        <v>43979</v>
      </c>
      <c r="L192">
        <v>0.018196202531645</v>
      </c>
      <c r="M192">
        <v>0.06723041804848751</v>
      </c>
      <c r="N192">
        <v>-0.03</v>
      </c>
      <c r="O192">
        <v>0.05059352938094475</v>
      </c>
      <c r="P192" t="s">
        <v>636</v>
      </c>
      <c r="Q192" t="s">
        <v>383</v>
      </c>
      <c r="R192">
        <v>0</v>
      </c>
      <c r="S192">
        <v>0.1965811965811966</v>
      </c>
      <c r="T192">
        <v>35</v>
      </c>
      <c r="U192">
        <v>0.7222857142857143</v>
      </c>
      <c r="V192">
        <v>2.1443</v>
      </c>
      <c r="W192">
        <v>2.34</v>
      </c>
      <c r="X192">
        <v>0.46</v>
      </c>
      <c r="Y192">
        <v>-0.308345</v>
      </c>
      <c r="Z192">
        <v>0.1966942148760331</v>
      </c>
      <c r="AA192">
        <v>0.2753623188405797</v>
      </c>
      <c r="AB192">
        <v>0.008842443729903537</v>
      </c>
      <c r="AC192">
        <v>0.9196141479099679</v>
      </c>
      <c r="AD192">
        <v>0.3585209003215434</v>
      </c>
    </row>
    <row r="193" spans="1:30">
      <c r="A193" s="1" t="s">
        <v>200</v>
      </c>
      <c r="B193">
        <f>HYPERLINK("https://www.suredividend.com/sure-analysis-XYL/","Xylem, Inc.")</f>
        <v>0</v>
      </c>
      <c r="C193">
        <v>74.25</v>
      </c>
      <c r="D193">
        <v>13358.68875</v>
      </c>
      <c r="E193" t="s">
        <v>660</v>
      </c>
      <c r="F193" t="s">
        <v>631</v>
      </c>
      <c r="G193" t="s">
        <v>670</v>
      </c>
      <c r="H193" t="s">
        <v>699</v>
      </c>
      <c r="I193" t="s">
        <v>895</v>
      </c>
      <c r="J193" t="s">
        <v>1313</v>
      </c>
      <c r="K193">
        <v>43969</v>
      </c>
      <c r="L193">
        <v>0.013198653198653</v>
      </c>
      <c r="M193">
        <v>-0.05150361601901776</v>
      </c>
      <c r="N193">
        <v>0.09</v>
      </c>
      <c r="O193">
        <v>0.04962019953454644</v>
      </c>
      <c r="P193" t="s">
        <v>636</v>
      </c>
      <c r="Q193" t="s">
        <v>300</v>
      </c>
      <c r="R193">
        <v>9</v>
      </c>
      <c r="S193">
        <v>0.49</v>
      </c>
      <c r="T193">
        <v>57</v>
      </c>
      <c r="U193">
        <v>1.302631578947368</v>
      </c>
      <c r="V193">
        <v>1.9969</v>
      </c>
      <c r="W193">
        <v>2</v>
      </c>
      <c r="X193">
        <v>0.98</v>
      </c>
      <c r="Y193">
        <v>-0.077181</v>
      </c>
      <c r="Z193">
        <v>0.115702479338843</v>
      </c>
      <c r="AA193">
        <v>0.5845410628019324</v>
      </c>
      <c r="AB193">
        <v>0.8633440514469453</v>
      </c>
      <c r="AC193">
        <v>0.2877813504823151</v>
      </c>
      <c r="AD193">
        <v>0.3553054662379422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74.06999999999999</v>
      </c>
      <c r="D194">
        <v>24746.93514</v>
      </c>
      <c r="E194" t="s">
        <v>664</v>
      </c>
      <c r="F194" t="s">
        <v>631</v>
      </c>
      <c r="G194" t="s">
        <v>670</v>
      </c>
      <c r="H194" t="s">
        <v>699</v>
      </c>
      <c r="I194" t="s">
        <v>896</v>
      </c>
      <c r="J194" t="s">
        <v>1315</v>
      </c>
      <c r="K194">
        <v>43964</v>
      </c>
      <c r="L194">
        <v>0.040637235047927</v>
      </c>
      <c r="M194">
        <v>-0.02578636774497989</v>
      </c>
      <c r="N194">
        <v>0.035</v>
      </c>
      <c r="O194">
        <v>0.04919128672522599</v>
      </c>
      <c r="P194" t="s">
        <v>636</v>
      </c>
      <c r="Q194" t="s">
        <v>635</v>
      </c>
      <c r="R194">
        <v>46</v>
      </c>
      <c r="S194">
        <v>0.708235294117647</v>
      </c>
      <c r="T194">
        <v>65</v>
      </c>
      <c r="U194">
        <v>1.139538461538461</v>
      </c>
      <c r="V194">
        <v>3.8982</v>
      </c>
      <c r="W194">
        <v>4.25</v>
      </c>
      <c r="X194">
        <v>3.01</v>
      </c>
      <c r="Y194">
        <v>-0.16163</v>
      </c>
      <c r="Z194">
        <v>0.5570247933884298</v>
      </c>
      <c r="AA194">
        <v>0.4589371980676329</v>
      </c>
      <c r="AB194">
        <v>0.3086816720257235</v>
      </c>
      <c r="AC194">
        <v>0.4453376205787782</v>
      </c>
      <c r="AD194">
        <v>0.3504823151125402</v>
      </c>
    </row>
    <row r="195" spans="1:30">
      <c r="A195" s="1" t="s">
        <v>202</v>
      </c>
      <c r="B195">
        <f>HYPERLINK("https://www.suredividend.com/sure-analysis-UBSI/","United Bankshares, Inc. (West Virginia)")</f>
        <v>0</v>
      </c>
      <c r="C195">
        <v>26.95</v>
      </c>
      <c r="D195">
        <v>3497.571</v>
      </c>
      <c r="E195" t="s">
        <v>663</v>
      </c>
      <c r="F195" t="s">
        <v>631</v>
      </c>
      <c r="G195" t="s">
        <v>670</v>
      </c>
      <c r="H195" t="s">
        <v>701</v>
      </c>
      <c r="I195" t="s">
        <v>897</v>
      </c>
      <c r="J195" t="s">
        <v>1311</v>
      </c>
      <c r="K195">
        <v>43956</v>
      </c>
      <c r="L195">
        <v>0.051205936920222</v>
      </c>
      <c r="M195">
        <v>-0.02291916598963473</v>
      </c>
      <c r="N195">
        <v>0.02</v>
      </c>
      <c r="O195">
        <v>0.0472136769652447</v>
      </c>
      <c r="P195" t="s">
        <v>636</v>
      </c>
      <c r="Q195" t="s">
        <v>635</v>
      </c>
      <c r="R195">
        <v>46</v>
      </c>
      <c r="S195">
        <v>0.6899999999999999</v>
      </c>
      <c r="T195">
        <v>24</v>
      </c>
      <c r="U195">
        <v>1.122916666666667</v>
      </c>
      <c r="V195">
        <v>2.3268</v>
      </c>
      <c r="W195">
        <v>2</v>
      </c>
      <c r="X195">
        <v>1.38</v>
      </c>
      <c r="Y195">
        <v>-0.257166</v>
      </c>
      <c r="Z195">
        <v>0.6628099173553719</v>
      </c>
      <c r="AA195">
        <v>0.3268921095008052</v>
      </c>
      <c r="AB195">
        <v>0.157556270096463</v>
      </c>
      <c r="AC195">
        <v>0.4646302250803858</v>
      </c>
      <c r="AD195">
        <v>0.3360128617363344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36.58</v>
      </c>
      <c r="D196">
        <v>340.576334</v>
      </c>
      <c r="E196" t="s">
        <v>669</v>
      </c>
      <c r="F196" t="s">
        <v>631</v>
      </c>
      <c r="G196" t="s">
        <v>670</v>
      </c>
      <c r="H196" t="s">
        <v>701</v>
      </c>
      <c r="I196" t="s">
        <v>898</v>
      </c>
      <c r="J196" t="s">
        <v>1315</v>
      </c>
      <c r="K196">
        <v>43978</v>
      </c>
      <c r="L196">
        <v>0.027192454893384</v>
      </c>
      <c r="M196">
        <v>-0.014521751006353</v>
      </c>
      <c r="N196">
        <v>0.036</v>
      </c>
      <c r="O196">
        <v>0.04710946459268683</v>
      </c>
      <c r="P196" t="s">
        <v>636</v>
      </c>
      <c r="Q196" t="s">
        <v>383</v>
      </c>
      <c r="R196">
        <v>25</v>
      </c>
      <c r="S196">
        <v>0.5920833333333334</v>
      </c>
      <c r="T196">
        <v>34</v>
      </c>
      <c r="U196">
        <v>1.075882352941177</v>
      </c>
      <c r="V196">
        <v>1.6594</v>
      </c>
      <c r="W196">
        <v>1.68</v>
      </c>
      <c r="X196">
        <v>0.9947</v>
      </c>
      <c r="Y196">
        <v>0.014983</v>
      </c>
      <c r="Z196">
        <v>0.3570247933884298</v>
      </c>
      <c r="AA196">
        <v>0.7028985507246377</v>
      </c>
      <c r="AB196">
        <v>0.317524115755627</v>
      </c>
      <c r="AC196">
        <v>0.5241157556270096</v>
      </c>
      <c r="AD196">
        <v>0.3327974276527331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260.38</v>
      </c>
      <c r="D197">
        <v>280043.8976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1312</v>
      </c>
      <c r="K197">
        <v>43993</v>
      </c>
      <c r="L197">
        <v>0.021430217374606</v>
      </c>
      <c r="M197">
        <v>-0.04763262614660613</v>
      </c>
      <c r="N197">
        <v>0.07000000000000001</v>
      </c>
      <c r="O197">
        <v>0.0440788158467178</v>
      </c>
      <c r="P197" t="s">
        <v>636</v>
      </c>
      <c r="Q197" t="s">
        <v>300</v>
      </c>
      <c r="R197">
        <v>11</v>
      </c>
      <c r="S197">
        <v>0.5619335347432024</v>
      </c>
      <c r="T197">
        <v>204</v>
      </c>
      <c r="U197">
        <v>1.276372549019608</v>
      </c>
      <c r="V197">
        <v>10.103</v>
      </c>
      <c r="W197">
        <v>9.93</v>
      </c>
      <c r="X197">
        <v>5.58</v>
      </c>
      <c r="Y197">
        <v>0.214232</v>
      </c>
      <c r="Z197">
        <v>0.2727272727272727</v>
      </c>
      <c r="AA197">
        <v>0.8776167471819646</v>
      </c>
      <c r="AB197">
        <v>0.7387459807073955</v>
      </c>
      <c r="AC197">
        <v>0.3022508038585209</v>
      </c>
      <c r="AD197">
        <v>0.3086816720257235</v>
      </c>
    </row>
    <row r="198" spans="1:30">
      <c r="A198" s="1" t="s">
        <v>205</v>
      </c>
      <c r="B198">
        <f>HYPERLINK("https://www.suredividend.com/sure-analysis-HSY/","The Hershey Co.")</f>
        <v>0</v>
      </c>
      <c r="C198">
        <v>136.4</v>
      </c>
      <c r="D198">
        <v>28372.533583</v>
      </c>
      <c r="E198" t="s">
        <v>659</v>
      </c>
      <c r="F198" t="s">
        <v>631</v>
      </c>
      <c r="G198" t="s">
        <v>670</v>
      </c>
      <c r="H198" t="s">
        <v>699</v>
      </c>
      <c r="I198" t="s">
        <v>900</v>
      </c>
      <c r="J198" t="s">
        <v>1318</v>
      </c>
      <c r="K198">
        <v>43951</v>
      </c>
      <c r="L198">
        <v>0.022294721407624</v>
      </c>
      <c r="M198">
        <v>-0.03865177124638752</v>
      </c>
      <c r="N198">
        <v>0.06</v>
      </c>
      <c r="O198">
        <v>0.04299969142782434</v>
      </c>
      <c r="P198" t="s">
        <v>636</v>
      </c>
      <c r="Q198" t="s">
        <v>383</v>
      </c>
      <c r="R198">
        <v>10</v>
      </c>
      <c r="S198">
        <v>0.5154237288135592</v>
      </c>
      <c r="T198">
        <v>112</v>
      </c>
      <c r="U198">
        <v>1.217857142857143</v>
      </c>
      <c r="V198">
        <v>5.331</v>
      </c>
      <c r="W198">
        <v>5.9</v>
      </c>
      <c r="X198">
        <v>3.041</v>
      </c>
      <c r="Y198">
        <v>-0.075254</v>
      </c>
      <c r="Z198">
        <v>0.2909090909090909</v>
      </c>
      <c r="AA198">
        <v>0.5909822866344606</v>
      </c>
      <c r="AB198">
        <v>0.6463022508038585</v>
      </c>
      <c r="AC198">
        <v>0.3520900321543408</v>
      </c>
      <c r="AD198">
        <v>0.3054662379421222</v>
      </c>
    </row>
    <row r="199" spans="1:30">
      <c r="A199" s="1" t="s">
        <v>206</v>
      </c>
      <c r="B199">
        <f>HYPERLINK("https://www.suredividend.com/sure-analysis-CBU/","Community Bank System, Inc.")</f>
        <v>0</v>
      </c>
      <c r="C199">
        <v>56.56</v>
      </c>
      <c r="D199">
        <v>3023.607104</v>
      </c>
      <c r="E199" t="s">
        <v>663</v>
      </c>
      <c r="F199" t="s">
        <v>631</v>
      </c>
      <c r="G199" t="s">
        <v>670</v>
      </c>
      <c r="H199" t="s">
        <v>699</v>
      </c>
      <c r="I199" t="s">
        <v>901</v>
      </c>
      <c r="J199" t="s">
        <v>1311</v>
      </c>
      <c r="K199">
        <v>43945</v>
      </c>
      <c r="L199">
        <v>0.028465346534653</v>
      </c>
      <c r="M199">
        <v>-0.0282885149811074</v>
      </c>
      <c r="N199">
        <v>0.04</v>
      </c>
      <c r="O199">
        <v>0.0426852968157152</v>
      </c>
      <c r="P199" t="s">
        <v>636</v>
      </c>
      <c r="Q199" t="s">
        <v>383</v>
      </c>
      <c r="R199">
        <v>28</v>
      </c>
      <c r="S199">
        <v>0.6192307692307691</v>
      </c>
      <c r="T199">
        <v>49</v>
      </c>
      <c r="U199">
        <v>1.154285714285714</v>
      </c>
      <c r="V199">
        <v>3.2195</v>
      </c>
      <c r="W199">
        <v>2.6</v>
      </c>
      <c r="X199">
        <v>1.61</v>
      </c>
      <c r="Y199">
        <v>-0.124865</v>
      </c>
      <c r="Z199">
        <v>0.3768595041322314</v>
      </c>
      <c r="AA199">
        <v>0.5056360708534622</v>
      </c>
      <c r="AB199">
        <v>0.3794212218649518</v>
      </c>
      <c r="AC199">
        <v>0.4276527331189711</v>
      </c>
      <c r="AD199">
        <v>0.3006430868167203</v>
      </c>
    </row>
    <row r="200" spans="1:30">
      <c r="A200" s="1" t="s">
        <v>207</v>
      </c>
      <c r="B200">
        <f>HYPERLINK("https://www.suredividend.com/sure-analysis-SAP/","SAP SE")</f>
        <v>0</v>
      </c>
      <c r="C200">
        <v>156.28</v>
      </c>
      <c r="D200">
        <v>186542.941557</v>
      </c>
      <c r="E200" t="s">
        <v>660</v>
      </c>
      <c r="F200" t="s">
        <v>631</v>
      </c>
      <c r="G200" t="s">
        <v>677</v>
      </c>
      <c r="H200" t="s">
        <v>699</v>
      </c>
      <c r="I200" t="s">
        <v>902</v>
      </c>
      <c r="J200" t="s">
        <v>1317</v>
      </c>
      <c r="K200">
        <v>43946</v>
      </c>
      <c r="L200">
        <v>0.011093550038392</v>
      </c>
      <c r="M200">
        <v>-0.0546432685698035</v>
      </c>
      <c r="N200">
        <v>0.09</v>
      </c>
      <c r="O200">
        <v>0.04262243799850318</v>
      </c>
      <c r="P200" t="s">
        <v>636</v>
      </c>
      <c r="Q200" t="s">
        <v>300</v>
      </c>
      <c r="R200">
        <v>5</v>
      </c>
      <c r="S200">
        <v>0.2938474576271186</v>
      </c>
      <c r="T200">
        <v>118</v>
      </c>
      <c r="U200">
        <v>1.324406779661017</v>
      </c>
      <c r="V200">
        <v>3.9658</v>
      </c>
      <c r="W200">
        <v>5.9</v>
      </c>
      <c r="X200">
        <v>1.7337</v>
      </c>
      <c r="Y200">
        <v>0.226495</v>
      </c>
      <c r="Z200">
        <v>0.08925619834710745</v>
      </c>
      <c r="AA200">
        <v>0.8856682769726248</v>
      </c>
      <c r="AB200">
        <v>0.8633440514469453</v>
      </c>
      <c r="AC200">
        <v>0.2572347266881029</v>
      </c>
      <c r="AD200">
        <v>0.2990353697749196</v>
      </c>
    </row>
    <row r="201" spans="1:30">
      <c r="A201" s="1" t="s">
        <v>208</v>
      </c>
      <c r="B201">
        <f>HYPERLINK("https://www.suredividend.com/sure-analysis-PEG/","Public Service Enterprise Group, Inc.")</f>
        <v>0</v>
      </c>
      <c r="C201">
        <v>55.08</v>
      </c>
      <c r="D201">
        <v>27849.825</v>
      </c>
      <c r="E201" t="s">
        <v>667</v>
      </c>
      <c r="F201" t="s">
        <v>631</v>
      </c>
      <c r="G201" t="s">
        <v>670</v>
      </c>
      <c r="H201" t="s">
        <v>699</v>
      </c>
      <c r="I201" t="s">
        <v>903</v>
      </c>
      <c r="J201" t="s">
        <v>1315</v>
      </c>
      <c r="K201">
        <v>43997</v>
      </c>
      <c r="L201">
        <v>0.034495279593318</v>
      </c>
      <c r="M201">
        <v>-0.02312177371217183</v>
      </c>
      <c r="N201">
        <v>0.03</v>
      </c>
      <c r="O201">
        <v>0.04252847036566454</v>
      </c>
      <c r="P201" t="s">
        <v>636</v>
      </c>
      <c r="Q201" t="s">
        <v>383</v>
      </c>
      <c r="R201">
        <v>9</v>
      </c>
      <c r="S201">
        <v>0.5588235294117647</v>
      </c>
      <c r="T201">
        <v>49</v>
      </c>
      <c r="U201">
        <v>1.124081632653061</v>
      </c>
      <c r="V201">
        <v>2.8555</v>
      </c>
      <c r="W201">
        <v>3.4</v>
      </c>
      <c r="X201">
        <v>1.9</v>
      </c>
      <c r="Y201">
        <v>-0.097789</v>
      </c>
      <c r="Z201">
        <v>0.4694214876033058</v>
      </c>
      <c r="AA201">
        <v>0.5458937198067633</v>
      </c>
      <c r="AB201">
        <v>0.247588424437299</v>
      </c>
      <c r="AC201">
        <v>0.4614147909967846</v>
      </c>
      <c r="AD201">
        <v>0.2974276527331189</v>
      </c>
    </row>
    <row r="202" spans="1:30">
      <c r="A202" s="1" t="s">
        <v>209</v>
      </c>
      <c r="B202">
        <f>HYPERLINK("https://www.suredividend.com/sure-analysis-CBSH/","Commerce Bancshares, Inc. (Missouri)")</f>
        <v>0</v>
      </c>
      <c r="C202">
        <v>56.46</v>
      </c>
      <c r="D202">
        <v>6297.15318</v>
      </c>
      <c r="E202" t="s">
        <v>660</v>
      </c>
      <c r="F202" t="s">
        <v>631</v>
      </c>
      <c r="G202" t="s">
        <v>670</v>
      </c>
      <c r="H202" t="s">
        <v>701</v>
      </c>
      <c r="I202" t="s">
        <v>904</v>
      </c>
      <c r="J202" t="s">
        <v>1311</v>
      </c>
      <c r="K202">
        <v>43955</v>
      </c>
      <c r="L202">
        <v>0.017939392489455</v>
      </c>
      <c r="M202">
        <v>-0.03601251249560744</v>
      </c>
      <c r="N202">
        <v>0.06</v>
      </c>
      <c r="O202">
        <v>0.04252170944130507</v>
      </c>
      <c r="P202" t="s">
        <v>636</v>
      </c>
      <c r="Q202" t="s">
        <v>300</v>
      </c>
      <c r="R202">
        <v>10</v>
      </c>
      <c r="S202">
        <v>0.405143239981856</v>
      </c>
      <c r="T202">
        <v>47</v>
      </c>
      <c r="U202">
        <v>1.201276595744681</v>
      </c>
      <c r="V202">
        <v>3.213</v>
      </c>
      <c r="W202">
        <v>2.5</v>
      </c>
      <c r="X202">
        <v>1.01285809995464</v>
      </c>
      <c r="Y202">
        <v>0.016338</v>
      </c>
      <c r="Z202">
        <v>0.1950413223140496</v>
      </c>
      <c r="AA202">
        <v>0.7069243156199678</v>
      </c>
      <c r="AB202">
        <v>0.6463022508038585</v>
      </c>
      <c r="AC202">
        <v>0.364951768488746</v>
      </c>
      <c r="AD202">
        <v>0.2958199356913183</v>
      </c>
    </row>
    <row r="203" spans="1:30">
      <c r="A203" s="1" t="s">
        <v>210</v>
      </c>
      <c r="B203">
        <f>HYPERLINK("https://www.suredividend.com/sure-analysis-INTU/","Intuit, Inc.")</f>
        <v>0</v>
      </c>
      <c r="C203">
        <v>289.27</v>
      </c>
      <c r="D203">
        <v>75433.22717</v>
      </c>
      <c r="E203" t="s">
        <v>665</v>
      </c>
      <c r="F203" t="s">
        <v>631</v>
      </c>
      <c r="G203" t="s">
        <v>670</v>
      </c>
      <c r="H203" t="s">
        <v>701</v>
      </c>
      <c r="I203" t="s">
        <v>905</v>
      </c>
      <c r="J203" t="s">
        <v>1317</v>
      </c>
      <c r="K203">
        <v>43998</v>
      </c>
      <c r="L203">
        <v>0.007121374494416001</v>
      </c>
      <c r="M203">
        <v>-0.08063060775292263</v>
      </c>
      <c r="N203">
        <v>0.12</v>
      </c>
      <c r="O203">
        <v>0.03881405566785445</v>
      </c>
      <c r="P203" t="s">
        <v>636</v>
      </c>
      <c r="Q203" t="s">
        <v>300</v>
      </c>
      <c r="R203">
        <v>8</v>
      </c>
      <c r="S203">
        <v>0.4015594541910332</v>
      </c>
      <c r="T203">
        <v>190</v>
      </c>
      <c r="U203">
        <v>1.522473684210526</v>
      </c>
      <c r="V203">
        <v>5.122</v>
      </c>
      <c r="W203">
        <v>5.13</v>
      </c>
      <c r="X203">
        <v>2.06</v>
      </c>
      <c r="Y203">
        <v>0.022589</v>
      </c>
      <c r="Z203">
        <v>0.03801652892561984</v>
      </c>
      <c r="AA203">
        <v>0.7165861513687601</v>
      </c>
      <c r="AB203">
        <v>0.9461414790996784</v>
      </c>
      <c r="AC203">
        <v>0.1511254019292605</v>
      </c>
      <c r="AD203">
        <v>0.2733118971061093</v>
      </c>
    </row>
    <row r="204" spans="1:30">
      <c r="A204" s="1" t="s">
        <v>211</v>
      </c>
      <c r="B204">
        <f>HYPERLINK("https://www.suredividend.com/sure-analysis-AOS/","A. O. Smith Corp.")</f>
        <v>0</v>
      </c>
      <c r="C204">
        <v>50.53</v>
      </c>
      <c r="D204">
        <v>6826.40088</v>
      </c>
      <c r="E204" t="s">
        <v>660</v>
      </c>
      <c r="F204" t="s">
        <v>631</v>
      </c>
      <c r="G204" t="s">
        <v>670</v>
      </c>
      <c r="H204" t="s">
        <v>699</v>
      </c>
      <c r="I204" t="s">
        <v>906</v>
      </c>
      <c r="J204" t="s">
        <v>1313</v>
      </c>
      <c r="K204">
        <v>43973</v>
      </c>
      <c r="L204">
        <v>0.018207005739164</v>
      </c>
      <c r="M204">
        <v>-0.04093749650116751</v>
      </c>
      <c r="N204">
        <v>0.06</v>
      </c>
      <c r="O204">
        <v>0.03820319629400792</v>
      </c>
      <c r="P204" t="s">
        <v>636</v>
      </c>
      <c r="Q204" t="s">
        <v>383</v>
      </c>
      <c r="R204">
        <v>26</v>
      </c>
      <c r="S204">
        <v>0.5111111111111111</v>
      </c>
      <c r="T204">
        <v>41</v>
      </c>
      <c r="U204">
        <v>1.232439024390244</v>
      </c>
      <c r="V204">
        <v>2.0251</v>
      </c>
      <c r="W204">
        <v>1.8</v>
      </c>
      <c r="X204">
        <v>0.92</v>
      </c>
      <c r="Y204">
        <v>0.14867</v>
      </c>
      <c r="Z204">
        <v>0.2</v>
      </c>
      <c r="AA204">
        <v>0.8293075684380032</v>
      </c>
      <c r="AB204">
        <v>0.6463022508038585</v>
      </c>
      <c r="AC204">
        <v>0.3344051446945338</v>
      </c>
      <c r="AD204">
        <v>0.2717041800643087</v>
      </c>
    </row>
    <row r="205" spans="1:30">
      <c r="A205" s="1" t="s">
        <v>212</v>
      </c>
      <c r="B205">
        <f>HYPERLINK("https://www.suredividend.com/sure-analysis-UHT/","Universal Health Realty Income Trust")</f>
        <v>0</v>
      </c>
      <c r="C205">
        <v>67.69</v>
      </c>
      <c r="D205">
        <v>931.2790199999999</v>
      </c>
      <c r="E205" t="s">
        <v>669</v>
      </c>
      <c r="F205" t="s">
        <v>633</v>
      </c>
      <c r="G205" t="s">
        <v>670</v>
      </c>
      <c r="H205" t="s">
        <v>699</v>
      </c>
      <c r="I205" t="s">
        <v>907</v>
      </c>
      <c r="J205" t="s">
        <v>1321</v>
      </c>
      <c r="K205">
        <v>44013</v>
      </c>
      <c r="L205">
        <v>0.040330920372285</v>
      </c>
      <c r="M205">
        <v>-0.03042659181487506</v>
      </c>
      <c r="N205">
        <v>0.03</v>
      </c>
      <c r="O205">
        <v>0.03776298278436596</v>
      </c>
      <c r="P205" t="s">
        <v>636</v>
      </c>
      <c r="Q205" t="s">
        <v>636</v>
      </c>
      <c r="R205">
        <v>34</v>
      </c>
      <c r="S205">
        <v>0.8149253731343283</v>
      </c>
      <c r="T205">
        <v>58</v>
      </c>
      <c r="U205">
        <v>1.167068965517241</v>
      </c>
      <c r="V205">
        <v>1.4057</v>
      </c>
      <c r="W205">
        <v>3.35</v>
      </c>
      <c r="X205">
        <v>2.73</v>
      </c>
      <c r="Y205">
        <v>-0.24939</v>
      </c>
      <c r="Z205">
        <v>0.5487603305785124</v>
      </c>
      <c r="AA205">
        <v>0.3381642512077295</v>
      </c>
      <c r="AB205">
        <v>0.247588424437299</v>
      </c>
      <c r="AC205">
        <v>0.4067524115755627</v>
      </c>
      <c r="AD205">
        <v>0.2636655948553055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100.44</v>
      </c>
      <c r="D206">
        <v>20104.27128</v>
      </c>
      <c r="E206" t="s">
        <v>660</v>
      </c>
      <c r="F206" t="s">
        <v>631</v>
      </c>
      <c r="G206" t="s">
        <v>670</v>
      </c>
      <c r="H206" t="s">
        <v>699</v>
      </c>
      <c r="I206" t="s">
        <v>908</v>
      </c>
      <c r="J206" t="s">
        <v>1315</v>
      </c>
      <c r="K206">
        <v>43977</v>
      </c>
      <c r="L206">
        <v>0.036638789326961</v>
      </c>
      <c r="M206">
        <v>-0.03511730738480945</v>
      </c>
      <c r="N206">
        <v>0.035</v>
      </c>
      <c r="O206">
        <v>0.03590109025099419</v>
      </c>
      <c r="P206" t="s">
        <v>636</v>
      </c>
      <c r="Q206" t="s">
        <v>636</v>
      </c>
      <c r="R206">
        <v>26</v>
      </c>
      <c r="S206">
        <v>0.6571428571428573</v>
      </c>
      <c r="T206">
        <v>84</v>
      </c>
      <c r="U206">
        <v>1.195714285714286</v>
      </c>
      <c r="V206">
        <v>5.5888</v>
      </c>
      <c r="W206">
        <v>5.6</v>
      </c>
      <c r="X206">
        <v>3.68</v>
      </c>
      <c r="Y206">
        <v>-0.05911</v>
      </c>
      <c r="Z206">
        <v>0.5074380165289256</v>
      </c>
      <c r="AA206">
        <v>0.6119162640901772</v>
      </c>
      <c r="AB206">
        <v>0.3086816720257235</v>
      </c>
      <c r="AC206">
        <v>0.3697749196141479</v>
      </c>
      <c r="AD206">
        <v>0.2556270096463023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87.95999999999999</v>
      </c>
      <c r="D207">
        <v>22720.85964</v>
      </c>
      <c r="E207" t="s">
        <v>661</v>
      </c>
      <c r="F207" t="s">
        <v>631</v>
      </c>
      <c r="G207" t="s">
        <v>670</v>
      </c>
      <c r="H207" t="s">
        <v>699</v>
      </c>
      <c r="I207" t="s">
        <v>909</v>
      </c>
      <c r="J207" t="s">
        <v>1312</v>
      </c>
      <c r="K207">
        <v>44007</v>
      </c>
      <c r="L207">
        <v>0.023306048203728</v>
      </c>
      <c r="M207">
        <v>-0.05582663915277397</v>
      </c>
      <c r="N207">
        <v>0.06</v>
      </c>
      <c r="O207">
        <v>0.0305757722273996</v>
      </c>
      <c r="P207" t="s">
        <v>636</v>
      </c>
      <c r="Q207" t="s">
        <v>636</v>
      </c>
      <c r="R207">
        <v>16</v>
      </c>
      <c r="S207">
        <v>0.3727272727272727</v>
      </c>
      <c r="T207">
        <v>66</v>
      </c>
      <c r="U207">
        <v>1.332727272727273</v>
      </c>
      <c r="V207">
        <v>5.4885</v>
      </c>
      <c r="W207">
        <v>5.5</v>
      </c>
      <c r="X207">
        <v>2.05</v>
      </c>
      <c r="Y207">
        <v>0.191224</v>
      </c>
      <c r="Z207">
        <v>0.312396694214876</v>
      </c>
      <c r="AA207">
        <v>0.8486312399355878</v>
      </c>
      <c r="AB207">
        <v>0.6463022508038585</v>
      </c>
      <c r="AC207">
        <v>0.247588424437299</v>
      </c>
      <c r="AD207">
        <v>0.2379421221864952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134.66</v>
      </c>
      <c r="D208">
        <v>186454.2758</v>
      </c>
      <c r="E208" t="s">
        <v>664</v>
      </c>
      <c r="F208" t="s">
        <v>631</v>
      </c>
      <c r="G208" t="s">
        <v>670</v>
      </c>
      <c r="H208" t="s">
        <v>701</v>
      </c>
      <c r="I208" t="s">
        <v>910</v>
      </c>
      <c r="J208" t="s">
        <v>1318</v>
      </c>
      <c r="K208">
        <v>44025</v>
      </c>
      <c r="L208">
        <v>0.02886900341601</v>
      </c>
      <c r="M208">
        <v>-0.05590314102634042</v>
      </c>
      <c r="N208">
        <v>0.055</v>
      </c>
      <c r="O208">
        <v>0.02998671485338655</v>
      </c>
      <c r="P208" t="s">
        <v>636</v>
      </c>
      <c r="Q208" t="s">
        <v>636</v>
      </c>
      <c r="R208">
        <v>48</v>
      </c>
      <c r="S208">
        <v>0.727996254681648</v>
      </c>
      <c r="T208">
        <v>101</v>
      </c>
      <c r="U208">
        <v>1.333267326732673</v>
      </c>
      <c r="V208">
        <v>4.9221</v>
      </c>
      <c r="W208">
        <v>5.34</v>
      </c>
      <c r="X208">
        <v>3.8875</v>
      </c>
      <c r="Y208">
        <v>0.013396</v>
      </c>
      <c r="Z208">
        <v>0.3834710743801653</v>
      </c>
      <c r="AA208">
        <v>0.6988727858293076</v>
      </c>
      <c r="AB208">
        <v>0.592443729903537</v>
      </c>
      <c r="AC208">
        <v>0.2459807073954984</v>
      </c>
      <c r="AD208">
        <v>0.2331189710610932</v>
      </c>
    </row>
    <row r="209" spans="1:30">
      <c r="A209" s="1" t="s">
        <v>216</v>
      </c>
      <c r="B209">
        <f>HYPERLINK("https://www.suredividend.com/sure-analysis-TMP/","Tompkins Financial Corp.")</f>
        <v>0</v>
      </c>
      <c r="C209">
        <v>62.06</v>
      </c>
      <c r="D209">
        <v>925.147038</v>
      </c>
      <c r="E209" t="s">
        <v>663</v>
      </c>
      <c r="F209" t="s">
        <v>631</v>
      </c>
      <c r="G209" t="s">
        <v>670</v>
      </c>
      <c r="H209" t="s">
        <v>702</v>
      </c>
      <c r="I209" t="s">
        <v>911</v>
      </c>
      <c r="J209" t="s">
        <v>1311</v>
      </c>
      <c r="K209">
        <v>43955</v>
      </c>
      <c r="L209">
        <v>0.03287141475990901</v>
      </c>
      <c r="M209">
        <v>-0.006728679731642484</v>
      </c>
      <c r="N209">
        <v>0</v>
      </c>
      <c r="O209">
        <v>0.0293412282251635</v>
      </c>
      <c r="P209" t="s">
        <v>636</v>
      </c>
      <c r="Q209" t="s">
        <v>636</v>
      </c>
      <c r="R209">
        <v>33</v>
      </c>
      <c r="S209">
        <v>0.5666666666666667</v>
      </c>
      <c r="T209">
        <v>60</v>
      </c>
      <c r="U209">
        <v>1.034333333333333</v>
      </c>
      <c r="V209">
        <v>4.5542</v>
      </c>
      <c r="W209">
        <v>3.6</v>
      </c>
      <c r="X209">
        <v>2.04</v>
      </c>
      <c r="Y209">
        <v>-0.227533</v>
      </c>
      <c r="Z209">
        <v>0.4380165289256198</v>
      </c>
      <c r="AA209">
        <v>0.3703703703703704</v>
      </c>
      <c r="AB209">
        <v>0.04180064308681672</v>
      </c>
      <c r="AC209">
        <v>0.5707395498392284</v>
      </c>
      <c r="AD209">
        <v>0.2315112540192926</v>
      </c>
    </row>
    <row r="210" spans="1:30">
      <c r="A210" s="1" t="s">
        <v>217</v>
      </c>
      <c r="B210">
        <f>HYPERLINK("https://www.suredividend.com/sure-analysis-UNP/","Union Pacific Corp.")</f>
        <v>0</v>
      </c>
      <c r="C210">
        <v>181.25</v>
      </c>
      <c r="D210">
        <v>122990.45</v>
      </c>
      <c r="E210" t="s">
        <v>664</v>
      </c>
      <c r="F210" t="s">
        <v>631</v>
      </c>
      <c r="G210" t="s">
        <v>670</v>
      </c>
      <c r="H210" t="s">
        <v>699</v>
      </c>
      <c r="I210" t="s">
        <v>912</v>
      </c>
      <c r="J210" t="s">
        <v>1313</v>
      </c>
      <c r="K210">
        <v>43944</v>
      </c>
      <c r="L210">
        <v>0.020910344827586</v>
      </c>
      <c r="M210">
        <v>-0.06002841519195845</v>
      </c>
      <c r="N210">
        <v>0.07000000000000001</v>
      </c>
      <c r="O210">
        <v>0.02894569951236248</v>
      </c>
      <c r="P210" t="s">
        <v>636</v>
      </c>
      <c r="Q210" t="s">
        <v>383</v>
      </c>
      <c r="R210">
        <v>13</v>
      </c>
      <c r="S210">
        <v>0.4815756035578145</v>
      </c>
      <c r="T210">
        <v>133</v>
      </c>
      <c r="U210">
        <v>1.362781954887218</v>
      </c>
      <c r="V210">
        <v>8.634600000000001</v>
      </c>
      <c r="W210">
        <v>7.87</v>
      </c>
      <c r="X210">
        <v>3.79</v>
      </c>
      <c r="Y210">
        <v>0.040172</v>
      </c>
      <c r="Z210">
        <v>0.2611570247933884</v>
      </c>
      <c r="AA210">
        <v>0.7439613526570048</v>
      </c>
      <c r="AB210">
        <v>0.7387459807073955</v>
      </c>
      <c r="AC210">
        <v>0.2282958199356913</v>
      </c>
      <c r="AD210">
        <v>0.2282958199356913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68.63</v>
      </c>
      <c r="D211">
        <v>23517.4421</v>
      </c>
      <c r="E211" t="s">
        <v>663</v>
      </c>
      <c r="F211" t="s">
        <v>631</v>
      </c>
      <c r="G211" t="s">
        <v>670</v>
      </c>
      <c r="H211" t="s">
        <v>699</v>
      </c>
      <c r="I211" t="s">
        <v>913</v>
      </c>
      <c r="J211" t="s">
        <v>1318</v>
      </c>
      <c r="K211">
        <v>43963</v>
      </c>
      <c r="L211">
        <v>0.033075914323182</v>
      </c>
      <c r="M211">
        <v>-0.0364546245268843</v>
      </c>
      <c r="N211">
        <v>0.03</v>
      </c>
      <c r="O211">
        <v>0.0283102149902148</v>
      </c>
      <c r="P211" t="s">
        <v>636</v>
      </c>
      <c r="Q211" t="s">
        <v>383</v>
      </c>
      <c r="R211">
        <v>16</v>
      </c>
      <c r="S211">
        <v>0.5973684210526317</v>
      </c>
      <c r="T211">
        <v>57</v>
      </c>
      <c r="U211">
        <v>1.204035087719298</v>
      </c>
      <c r="V211">
        <v>3.0042</v>
      </c>
      <c r="W211">
        <v>3.8</v>
      </c>
      <c r="X211">
        <v>2.27</v>
      </c>
      <c r="Y211">
        <v>0.204458</v>
      </c>
      <c r="Z211">
        <v>0.4446280991735537</v>
      </c>
      <c r="AA211">
        <v>0.8663446054750402</v>
      </c>
      <c r="AB211">
        <v>0.247588424437299</v>
      </c>
      <c r="AC211">
        <v>0.3601286173633441</v>
      </c>
      <c r="AD211">
        <v>0.2234726688102894</v>
      </c>
    </row>
    <row r="212" spans="1:30">
      <c r="A212" s="1" t="s">
        <v>219</v>
      </c>
      <c r="B212">
        <f>HYPERLINK("https://www.suredividend.com/sure-analysis-NVO/","Novo Nordisk A/S")</f>
        <v>0</v>
      </c>
      <c r="C212">
        <v>67.17</v>
      </c>
      <c r="D212">
        <v>120754.396034</v>
      </c>
      <c r="E212" t="s">
        <v>661</v>
      </c>
      <c r="F212" t="s">
        <v>631</v>
      </c>
      <c r="G212" t="s">
        <v>680</v>
      </c>
      <c r="H212" t="s">
        <v>699</v>
      </c>
      <c r="I212" t="s">
        <v>914</v>
      </c>
      <c r="J212" t="s">
        <v>1314</v>
      </c>
      <c r="K212">
        <v>43964</v>
      </c>
      <c r="L212">
        <v>0.01834152151258</v>
      </c>
      <c r="M212">
        <v>-0.05359077349473385</v>
      </c>
      <c r="N212">
        <v>0.06</v>
      </c>
      <c r="O212">
        <v>0.0259998783035027</v>
      </c>
      <c r="P212" t="s">
        <v>636</v>
      </c>
      <c r="Q212" t="s">
        <v>300</v>
      </c>
      <c r="R212">
        <v>0</v>
      </c>
      <c r="S212">
        <v>0.4869565217391305</v>
      </c>
      <c r="T212">
        <v>51</v>
      </c>
      <c r="U212">
        <v>1.317058823529412</v>
      </c>
      <c r="V212">
        <v>2.5425</v>
      </c>
      <c r="W212">
        <v>2.53</v>
      </c>
      <c r="X212">
        <v>1.232</v>
      </c>
      <c r="Y212">
        <v>0.391259</v>
      </c>
      <c r="Z212">
        <v>0.2082644628099174</v>
      </c>
      <c r="AA212">
        <v>0.9339774557165862</v>
      </c>
      <c r="AB212">
        <v>0.6463022508038585</v>
      </c>
      <c r="AC212">
        <v>0.2700964630225081</v>
      </c>
      <c r="AD212">
        <v>0.2106109324758842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103.55</v>
      </c>
      <c r="D213">
        <v>19635.25455</v>
      </c>
      <c r="E213" t="s">
        <v>663</v>
      </c>
      <c r="F213" t="s">
        <v>631</v>
      </c>
      <c r="G213" t="s">
        <v>670</v>
      </c>
      <c r="H213" t="s">
        <v>699</v>
      </c>
      <c r="I213" t="s">
        <v>915</v>
      </c>
      <c r="J213" t="s">
        <v>1311</v>
      </c>
      <c r="K213">
        <v>43955</v>
      </c>
      <c r="L213">
        <v>0.016803476581361</v>
      </c>
      <c r="M213">
        <v>-0.05029663511226534</v>
      </c>
      <c r="N213">
        <v>0.06</v>
      </c>
      <c r="O213">
        <v>0.0252195380257656</v>
      </c>
      <c r="P213" t="s">
        <v>636</v>
      </c>
      <c r="Q213" t="s">
        <v>300</v>
      </c>
      <c r="R213">
        <v>10</v>
      </c>
      <c r="S213">
        <v>0.435</v>
      </c>
      <c r="T213">
        <v>80</v>
      </c>
      <c r="U213">
        <v>1.294375</v>
      </c>
      <c r="V213">
        <v>3.6278</v>
      </c>
      <c r="W213">
        <v>4</v>
      </c>
      <c r="X213">
        <v>1.74</v>
      </c>
      <c r="Y213">
        <v>0.124932</v>
      </c>
      <c r="Z213">
        <v>0.1669421487603306</v>
      </c>
      <c r="AA213">
        <v>0.8083735909822866</v>
      </c>
      <c r="AB213">
        <v>0.6463022508038585</v>
      </c>
      <c r="AC213">
        <v>0.2942122186495177</v>
      </c>
      <c r="AD213">
        <v>0.2041800643086817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130.99</v>
      </c>
      <c r="D214">
        <v>14007.02268</v>
      </c>
      <c r="E214" t="s">
        <v>661</v>
      </c>
      <c r="F214" t="s">
        <v>631</v>
      </c>
      <c r="G214" t="s">
        <v>670</v>
      </c>
      <c r="H214" t="s">
        <v>699</v>
      </c>
      <c r="I214" t="s">
        <v>916</v>
      </c>
      <c r="J214" t="s">
        <v>1319</v>
      </c>
      <c r="K214">
        <v>43971</v>
      </c>
      <c r="L214">
        <v>0.022749828231162</v>
      </c>
      <c r="M214">
        <v>-0.03965091459681391</v>
      </c>
      <c r="N214">
        <v>0.04</v>
      </c>
      <c r="O214">
        <v>0.02344292962274497</v>
      </c>
      <c r="P214" t="s">
        <v>636</v>
      </c>
      <c r="Q214" t="s">
        <v>383</v>
      </c>
      <c r="R214">
        <v>17</v>
      </c>
      <c r="S214">
        <v>0.5016835016835016</v>
      </c>
      <c r="T214">
        <v>107</v>
      </c>
      <c r="U214">
        <v>1.224205607476636</v>
      </c>
      <c r="V214">
        <v>4.2304</v>
      </c>
      <c r="W214">
        <v>5.94</v>
      </c>
      <c r="X214">
        <v>2.98</v>
      </c>
      <c r="Y214">
        <v>-0.08462599999999999</v>
      </c>
      <c r="Z214">
        <v>0.2991735537190083</v>
      </c>
      <c r="AA214">
        <v>0.5619967793880837</v>
      </c>
      <c r="AB214">
        <v>0.3794212218649518</v>
      </c>
      <c r="AC214">
        <v>0.3440514469453376</v>
      </c>
      <c r="AD214">
        <v>0.1977491961414791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115.89</v>
      </c>
      <c r="D215">
        <v>322759.379833</v>
      </c>
      <c r="E215" t="s">
        <v>662</v>
      </c>
      <c r="F215" t="s">
        <v>631</v>
      </c>
      <c r="G215" t="s">
        <v>674</v>
      </c>
      <c r="H215" t="s">
        <v>700</v>
      </c>
      <c r="I215" t="s">
        <v>917</v>
      </c>
      <c r="J215" t="s">
        <v>1318</v>
      </c>
      <c r="K215">
        <v>43973</v>
      </c>
      <c r="L215">
        <v>0.020010354646647</v>
      </c>
      <c r="M215">
        <v>-0.04930916031739041</v>
      </c>
      <c r="N215">
        <v>0.05</v>
      </c>
      <c r="O215">
        <v>0.02318058600926642</v>
      </c>
      <c r="P215" t="s">
        <v>636</v>
      </c>
      <c r="Q215" t="s">
        <v>300</v>
      </c>
      <c r="R215">
        <v>3</v>
      </c>
      <c r="S215">
        <v>0.4638</v>
      </c>
      <c r="T215">
        <v>90</v>
      </c>
      <c r="U215">
        <v>1.287666666666667</v>
      </c>
      <c r="V215">
        <v>4.3373</v>
      </c>
      <c r="W215">
        <v>5</v>
      </c>
      <c r="X215">
        <v>2.319</v>
      </c>
      <c r="Y215">
        <v>0.09775499999999999</v>
      </c>
      <c r="Z215">
        <v>0.2413223140495868</v>
      </c>
      <c r="AA215">
        <v>0.7922705314009661</v>
      </c>
      <c r="AB215">
        <v>0.5160771704180064</v>
      </c>
      <c r="AC215">
        <v>0.2990353697749196</v>
      </c>
      <c r="AD215">
        <v>0.1961414790996784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191.48</v>
      </c>
      <c r="D216">
        <v>142376.10288</v>
      </c>
      <c r="E216" t="s">
        <v>659</v>
      </c>
      <c r="F216" t="s">
        <v>631</v>
      </c>
      <c r="G216" t="s">
        <v>670</v>
      </c>
      <c r="H216" t="s">
        <v>699</v>
      </c>
      <c r="I216" t="s">
        <v>918</v>
      </c>
      <c r="J216" t="s">
        <v>1312</v>
      </c>
      <c r="K216">
        <v>43958</v>
      </c>
      <c r="L216">
        <v>0.02517234175893</v>
      </c>
      <c r="M216">
        <v>-0.05540027532208847</v>
      </c>
      <c r="N216">
        <v>0.05</v>
      </c>
      <c r="O216">
        <v>0.02132889285446415</v>
      </c>
      <c r="P216" t="s">
        <v>636</v>
      </c>
      <c r="Q216" t="s">
        <v>383</v>
      </c>
      <c r="R216">
        <v>44</v>
      </c>
      <c r="S216">
        <v>0.8033333333333333</v>
      </c>
      <c r="T216">
        <v>144</v>
      </c>
      <c r="U216">
        <v>1.329722222222222</v>
      </c>
      <c r="V216">
        <v>7.7011</v>
      </c>
      <c r="W216">
        <v>6</v>
      </c>
      <c r="X216">
        <v>4.82</v>
      </c>
      <c r="Y216">
        <v>-0.113149</v>
      </c>
      <c r="Z216">
        <v>0.3355371900826447</v>
      </c>
      <c r="AA216">
        <v>0.5265700483091788</v>
      </c>
      <c r="AB216">
        <v>0.5160771704180064</v>
      </c>
      <c r="AC216">
        <v>0.2491961414790997</v>
      </c>
      <c r="AD216">
        <v>0.1913183279742765</v>
      </c>
    </row>
    <row r="217" spans="1:30">
      <c r="A217" s="1" t="s">
        <v>224</v>
      </c>
      <c r="B217">
        <f>HYPERLINK("https://www.suredividend.com/sure-analysis-NUE/","Nucor Corp.")</f>
        <v>0</v>
      </c>
      <c r="C217">
        <v>41.26</v>
      </c>
      <c r="D217">
        <v>12424.8301</v>
      </c>
      <c r="E217" t="s">
        <v>669</v>
      </c>
      <c r="F217" t="s">
        <v>631</v>
      </c>
      <c r="G217" t="s">
        <v>670</v>
      </c>
      <c r="H217" t="s">
        <v>699</v>
      </c>
      <c r="I217" t="s">
        <v>919</v>
      </c>
      <c r="J217" t="s">
        <v>1319</v>
      </c>
      <c r="K217">
        <v>43963</v>
      </c>
      <c r="L217">
        <v>0.038899660688317</v>
      </c>
      <c r="M217">
        <v>-0.2062516678742284</v>
      </c>
      <c r="N217">
        <v>0.231</v>
      </c>
      <c r="O217">
        <v>0.0191258978647606</v>
      </c>
      <c r="P217" t="s">
        <v>636</v>
      </c>
      <c r="Q217" t="s">
        <v>636</v>
      </c>
      <c r="R217">
        <v>46</v>
      </c>
      <c r="S217">
        <v>0.8025</v>
      </c>
      <c r="T217">
        <v>13</v>
      </c>
      <c r="U217">
        <v>3.173846153846154</v>
      </c>
      <c r="V217">
        <v>2.5725</v>
      </c>
      <c r="W217">
        <v>2</v>
      </c>
      <c r="X217">
        <v>1.605</v>
      </c>
      <c r="Y217">
        <v>-0.245566</v>
      </c>
      <c r="Z217">
        <v>0.5305785123966942</v>
      </c>
      <c r="AA217">
        <v>0.3446054750402576</v>
      </c>
      <c r="AB217">
        <v>0.9951768488745981</v>
      </c>
      <c r="AC217">
        <v>0.008038585209003215</v>
      </c>
      <c r="AD217">
        <v>0.1816720257234727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21.99</v>
      </c>
      <c r="D218">
        <v>9035.800950000001</v>
      </c>
      <c r="E218" t="s">
        <v>661</v>
      </c>
      <c r="F218" t="s">
        <v>631</v>
      </c>
      <c r="G218" t="s">
        <v>670</v>
      </c>
      <c r="H218" t="s">
        <v>699</v>
      </c>
      <c r="I218" t="s">
        <v>920</v>
      </c>
      <c r="J218" t="s">
        <v>1311</v>
      </c>
      <c r="K218">
        <v>43971</v>
      </c>
      <c r="L218">
        <v>0.037517053206002</v>
      </c>
      <c r="M218">
        <v>-0.03925207502264749</v>
      </c>
      <c r="N218">
        <v>0.01</v>
      </c>
      <c r="O218">
        <v>0.01886278221404059</v>
      </c>
      <c r="P218" t="s">
        <v>636</v>
      </c>
      <c r="Q218" t="s">
        <v>636</v>
      </c>
      <c r="R218">
        <v>10</v>
      </c>
      <c r="S218">
        <v>0.5000000000000001</v>
      </c>
      <c r="T218">
        <v>18</v>
      </c>
      <c r="U218">
        <v>1.221666666666667</v>
      </c>
      <c r="V218">
        <v>2.498</v>
      </c>
      <c r="W218">
        <v>1.65</v>
      </c>
      <c r="X218">
        <v>0.8250000000000001</v>
      </c>
      <c r="Y218">
        <v>0.07216</v>
      </c>
      <c r="Z218">
        <v>0.5173553719008265</v>
      </c>
      <c r="AA218">
        <v>0.7681159420289855</v>
      </c>
      <c r="AB218">
        <v>0.0819935691318328</v>
      </c>
      <c r="AC218">
        <v>0.3488745980707395</v>
      </c>
      <c r="AD218">
        <v>0.1784565916398714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133.95</v>
      </c>
      <c r="D219">
        <v>22347.6822</v>
      </c>
      <c r="E219" t="s">
        <v>669</v>
      </c>
      <c r="F219" t="s">
        <v>631</v>
      </c>
      <c r="G219" t="s">
        <v>670</v>
      </c>
      <c r="H219" t="s">
        <v>701</v>
      </c>
      <c r="I219" t="s">
        <v>921</v>
      </c>
      <c r="J219" t="s">
        <v>1317</v>
      </c>
      <c r="K219">
        <v>43979</v>
      </c>
      <c r="L219">
        <v>0.012691302724897</v>
      </c>
      <c r="M219">
        <v>-0.08910710699451319</v>
      </c>
      <c r="N219">
        <v>0.1</v>
      </c>
      <c r="O219">
        <v>0.01844722289461376</v>
      </c>
      <c r="P219" t="s">
        <v>636</v>
      </c>
      <c r="Q219" t="s">
        <v>300</v>
      </c>
      <c r="R219">
        <v>6</v>
      </c>
      <c r="S219">
        <v>0.3041144901610018</v>
      </c>
      <c r="T219">
        <v>84</v>
      </c>
      <c r="U219">
        <v>1.594642857142857</v>
      </c>
      <c r="V219">
        <v>4.6409</v>
      </c>
      <c r="W219">
        <v>5.59</v>
      </c>
      <c r="X219">
        <v>1.7</v>
      </c>
      <c r="Y219">
        <v>0.645173</v>
      </c>
      <c r="Z219">
        <v>0.1057851239669421</v>
      </c>
      <c r="AA219">
        <v>0.9822866344605475</v>
      </c>
      <c r="AB219">
        <v>0.9051446945337621</v>
      </c>
      <c r="AC219">
        <v>0.1221864951768489</v>
      </c>
      <c r="AD219">
        <v>0.1768488745980707</v>
      </c>
    </row>
    <row r="220" spans="1:30">
      <c r="A220" s="1" t="s">
        <v>227</v>
      </c>
      <c r="B220">
        <f>HYPERLINK("https://www.suredividend.com/sure-analysis-BLK/","BlackRock, Inc.")</f>
        <v>0</v>
      </c>
      <c r="C220">
        <v>587.72</v>
      </c>
      <c r="D220">
        <v>90662.86264000001</v>
      </c>
      <c r="E220" t="s">
        <v>668</v>
      </c>
      <c r="F220" t="s">
        <v>631</v>
      </c>
      <c r="G220" t="s">
        <v>670</v>
      </c>
      <c r="H220" t="s">
        <v>699</v>
      </c>
      <c r="I220" t="s">
        <v>922</v>
      </c>
      <c r="J220" t="s">
        <v>1311</v>
      </c>
      <c r="K220">
        <v>43944</v>
      </c>
      <c r="L220">
        <v>0.023582658408766</v>
      </c>
      <c r="M220">
        <v>-0.07733421495476167</v>
      </c>
      <c r="N220">
        <v>0.07000000000000001</v>
      </c>
      <c r="O220">
        <v>0.01736822829696205</v>
      </c>
      <c r="P220" t="s">
        <v>636</v>
      </c>
      <c r="Q220" t="s">
        <v>383</v>
      </c>
      <c r="R220">
        <v>10</v>
      </c>
      <c r="S220">
        <v>0.5290076335877862</v>
      </c>
      <c r="T220">
        <v>393</v>
      </c>
      <c r="U220">
        <v>1.495470737913486</v>
      </c>
      <c r="V220">
        <v>28.6779</v>
      </c>
      <c r="W220">
        <v>26.2</v>
      </c>
      <c r="X220">
        <v>13.86</v>
      </c>
      <c r="Y220">
        <v>0.236941</v>
      </c>
      <c r="Z220">
        <v>0.315702479338843</v>
      </c>
      <c r="AA220">
        <v>0.8904991948470209</v>
      </c>
      <c r="AB220">
        <v>0.7387459807073955</v>
      </c>
      <c r="AC220">
        <v>0.1639871382636656</v>
      </c>
      <c r="AD220">
        <v>0.1704180064308682</v>
      </c>
    </row>
    <row r="221" spans="1:30">
      <c r="A221" s="1" t="s">
        <v>228</v>
      </c>
      <c r="B221">
        <f>HYPERLINK("https://www.suredividend.com/sure-analysis-QCOM/","QUALCOMM, Inc.")</f>
        <v>0</v>
      </c>
      <c r="C221">
        <v>92.23</v>
      </c>
      <c r="D221">
        <v>103752.2939</v>
      </c>
      <c r="E221" t="s">
        <v>664</v>
      </c>
      <c r="F221" t="s">
        <v>631</v>
      </c>
      <c r="G221" t="s">
        <v>670</v>
      </c>
      <c r="H221" t="s">
        <v>701</v>
      </c>
      <c r="I221" t="s">
        <v>923</v>
      </c>
      <c r="J221" t="s">
        <v>1317</v>
      </c>
      <c r="K221">
        <v>43951</v>
      </c>
      <c r="L221">
        <v>0.026889298492898</v>
      </c>
      <c r="M221">
        <v>-0.08239492183901576</v>
      </c>
      <c r="N221">
        <v>0.07000000000000001</v>
      </c>
      <c r="O221">
        <v>0.01663537249124003</v>
      </c>
      <c r="P221" t="s">
        <v>636</v>
      </c>
      <c r="Q221" t="s">
        <v>383</v>
      </c>
      <c r="R221">
        <v>18</v>
      </c>
      <c r="S221">
        <v>0.6424870466321244</v>
      </c>
      <c r="T221">
        <v>60</v>
      </c>
      <c r="U221">
        <v>1.537166666666667</v>
      </c>
      <c r="V221">
        <v>3.4122</v>
      </c>
      <c r="W221">
        <v>3.86</v>
      </c>
      <c r="X221">
        <v>2.48</v>
      </c>
      <c r="Y221">
        <v>0.240151</v>
      </c>
      <c r="Z221">
        <v>0.3537190082644628</v>
      </c>
      <c r="AA221">
        <v>0.8921095008051531</v>
      </c>
      <c r="AB221">
        <v>0.7387459807073955</v>
      </c>
      <c r="AC221">
        <v>0.1430868167202572</v>
      </c>
      <c r="AD221">
        <v>0.1672025723472669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90.53</v>
      </c>
      <c r="D222">
        <v>28556.33055</v>
      </c>
      <c r="E222" t="s">
        <v>664</v>
      </c>
      <c r="F222" t="s">
        <v>631</v>
      </c>
      <c r="G222" t="s">
        <v>670</v>
      </c>
      <c r="H222" t="s">
        <v>699</v>
      </c>
      <c r="I222" t="s">
        <v>924</v>
      </c>
      <c r="J222" t="s">
        <v>1315</v>
      </c>
      <c r="K222">
        <v>43956</v>
      </c>
      <c r="L222">
        <v>0.026538164144482</v>
      </c>
      <c r="M222">
        <v>-0.0670089219478035</v>
      </c>
      <c r="N222">
        <v>0.052</v>
      </c>
      <c r="O222">
        <v>0.01437989756323721</v>
      </c>
      <c r="P222" t="s">
        <v>636</v>
      </c>
      <c r="Q222" t="s">
        <v>383</v>
      </c>
      <c r="R222">
        <v>17</v>
      </c>
      <c r="S222">
        <v>0.6441018766756031</v>
      </c>
      <c r="T222">
        <v>64</v>
      </c>
      <c r="U222">
        <v>1.41453125</v>
      </c>
      <c r="V222">
        <v>3.7009</v>
      </c>
      <c r="W222">
        <v>3.73</v>
      </c>
      <c r="X222">
        <v>2.4025</v>
      </c>
      <c r="Y222">
        <v>0.030507</v>
      </c>
      <c r="Z222">
        <v>0.3487603305785124</v>
      </c>
      <c r="AA222">
        <v>0.7246376811594203</v>
      </c>
      <c r="AB222">
        <v>0.5836012861736335</v>
      </c>
      <c r="AC222">
        <v>0.1977491961414791</v>
      </c>
      <c r="AD222">
        <v>0.1607717041800643</v>
      </c>
    </row>
    <row r="223" spans="1:30">
      <c r="A223" s="1" t="s">
        <v>230</v>
      </c>
      <c r="B223">
        <f>HYPERLINK("https://www.suredividend.com/sure-analysis-ITW/","Illinois Tool Works, Inc.")</f>
        <v>0</v>
      </c>
      <c r="C223">
        <v>182.08</v>
      </c>
      <c r="D223">
        <v>57524.89856</v>
      </c>
      <c r="E223" t="s">
        <v>659</v>
      </c>
      <c r="F223" t="s">
        <v>631</v>
      </c>
      <c r="G223" t="s">
        <v>670</v>
      </c>
      <c r="H223" t="s">
        <v>699</v>
      </c>
      <c r="I223" t="s">
        <v>925</v>
      </c>
      <c r="J223" t="s">
        <v>1313</v>
      </c>
      <c r="K223">
        <v>43958</v>
      </c>
      <c r="L223">
        <v>0.023121704745166</v>
      </c>
      <c r="M223">
        <v>-0.09424206624574094</v>
      </c>
      <c r="N223">
        <v>0.09</v>
      </c>
      <c r="O223">
        <v>0.0129585073220706</v>
      </c>
      <c r="P223" t="s">
        <v>636</v>
      </c>
      <c r="Q223" t="s">
        <v>636</v>
      </c>
      <c r="R223">
        <v>45</v>
      </c>
      <c r="S223">
        <v>0.6476923076923077</v>
      </c>
      <c r="T223">
        <v>111</v>
      </c>
      <c r="U223">
        <v>1.64036036036036</v>
      </c>
      <c r="V223">
        <v>7.7397</v>
      </c>
      <c r="W223">
        <v>6.5</v>
      </c>
      <c r="X223">
        <v>4.21</v>
      </c>
      <c r="Y223">
        <v>0.213867</v>
      </c>
      <c r="Z223">
        <v>0.3090909090909091</v>
      </c>
      <c r="AA223">
        <v>0.8760064412238325</v>
      </c>
      <c r="AB223">
        <v>0.8633440514469453</v>
      </c>
      <c r="AC223">
        <v>0.1045016077170418</v>
      </c>
      <c r="AD223">
        <v>0.157556270096463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58.06</v>
      </c>
      <c r="D224">
        <v>1564.095758</v>
      </c>
      <c r="E224" t="s">
        <v>664</v>
      </c>
      <c r="F224" t="s">
        <v>631</v>
      </c>
      <c r="G224" t="s">
        <v>670</v>
      </c>
      <c r="H224" t="s">
        <v>701</v>
      </c>
      <c r="I224" t="s">
        <v>926</v>
      </c>
      <c r="J224" t="s">
        <v>1311</v>
      </c>
      <c r="K224">
        <v>44028</v>
      </c>
      <c r="L224">
        <v>0.028246641405442</v>
      </c>
      <c r="M224">
        <v>-0.03734018932483441</v>
      </c>
      <c r="N224">
        <v>0.02</v>
      </c>
      <c r="O224">
        <v>0.01223293073801379</v>
      </c>
      <c r="P224" t="s">
        <v>636</v>
      </c>
      <c r="Q224" t="s">
        <v>383</v>
      </c>
      <c r="R224">
        <v>28</v>
      </c>
      <c r="S224">
        <v>0.6142322097378278</v>
      </c>
      <c r="T224">
        <v>48</v>
      </c>
      <c r="U224">
        <v>1.209583333333333</v>
      </c>
      <c r="V224">
        <v>2.8748</v>
      </c>
      <c r="W224">
        <v>2.67</v>
      </c>
      <c r="X224">
        <v>1.64</v>
      </c>
      <c r="Y224">
        <v>-0.051772</v>
      </c>
      <c r="Z224">
        <v>0.371900826446281</v>
      </c>
      <c r="AA224">
        <v>0.6231884057971014</v>
      </c>
      <c r="AB224">
        <v>0.157556270096463</v>
      </c>
      <c r="AC224">
        <v>0.3569131832797428</v>
      </c>
      <c r="AD224">
        <v>0.1527331189710611</v>
      </c>
    </row>
    <row r="225" spans="1:30">
      <c r="A225" s="1" t="s">
        <v>232</v>
      </c>
      <c r="B225">
        <f>HYPERLINK("https://www.suredividend.com/sure-analysis-DIS/","The Walt Disney Co.")</f>
        <v>0</v>
      </c>
      <c r="C225">
        <v>118.65</v>
      </c>
      <c r="D225">
        <v>214313.9355</v>
      </c>
      <c r="E225" t="s">
        <v>669</v>
      </c>
      <c r="F225" t="s">
        <v>631</v>
      </c>
      <c r="G225" t="s">
        <v>670</v>
      </c>
      <c r="H225" t="s">
        <v>699</v>
      </c>
      <c r="I225" t="s">
        <v>927</v>
      </c>
      <c r="J225" t="s">
        <v>1320</v>
      </c>
      <c r="K225">
        <v>44012</v>
      </c>
      <c r="L225">
        <v>0.014833544037083</v>
      </c>
      <c r="M225">
        <v>-0.04148106156512166</v>
      </c>
      <c r="N225">
        <v>0.036</v>
      </c>
      <c r="O225">
        <v>0.009916044919832112</v>
      </c>
      <c r="P225" t="s">
        <v>636</v>
      </c>
      <c r="Q225" t="s">
        <v>300</v>
      </c>
      <c r="R225">
        <v>10</v>
      </c>
      <c r="S225">
        <v>0.5866666666666667</v>
      </c>
      <c r="T225">
        <v>96</v>
      </c>
      <c r="U225">
        <v>1.2359375</v>
      </c>
      <c r="V225">
        <v>2.9827</v>
      </c>
      <c r="W225">
        <v>3</v>
      </c>
      <c r="X225">
        <v>1.76</v>
      </c>
      <c r="Y225">
        <v>-0.162254</v>
      </c>
      <c r="Z225">
        <v>0.1371900826446281</v>
      </c>
      <c r="AA225">
        <v>0.4557165861513688</v>
      </c>
      <c r="AB225">
        <v>0.317524115755627</v>
      </c>
      <c r="AC225">
        <v>0.3279742765273312</v>
      </c>
      <c r="AD225">
        <v>0.1479099678456592</v>
      </c>
    </row>
    <row r="226" spans="1:30">
      <c r="A226" s="1" t="s">
        <v>233</v>
      </c>
      <c r="B226">
        <f>HYPERLINK("https://www.suredividend.com/sure-analysis-INFY/","Infosys Ltd.")</f>
        <v>0</v>
      </c>
      <c r="C226">
        <v>12.27</v>
      </c>
      <c r="D226">
        <v>52259.8932</v>
      </c>
      <c r="E226" t="s">
        <v>660</v>
      </c>
      <c r="F226" t="s">
        <v>631</v>
      </c>
      <c r="G226" t="s">
        <v>681</v>
      </c>
      <c r="H226" t="s">
        <v>699</v>
      </c>
      <c r="I226" t="s">
        <v>928</v>
      </c>
      <c r="J226" t="s">
        <v>1317</v>
      </c>
      <c r="K226">
        <v>43944</v>
      </c>
      <c r="L226">
        <v>0.019478402607986</v>
      </c>
      <c r="M226">
        <v>-0.081986464033307</v>
      </c>
      <c r="N226">
        <v>0.07000000000000001</v>
      </c>
      <c r="O226">
        <v>0.009472364099395003</v>
      </c>
      <c r="P226" t="s">
        <v>636</v>
      </c>
      <c r="Q226" t="s">
        <v>300</v>
      </c>
      <c r="R226">
        <v>4</v>
      </c>
      <c r="S226">
        <v>0.478</v>
      </c>
      <c r="T226">
        <v>8</v>
      </c>
      <c r="U226">
        <v>1.53375</v>
      </c>
      <c r="V226">
        <v>0.5542</v>
      </c>
      <c r="W226">
        <v>0.5</v>
      </c>
      <c r="X226">
        <v>0.239</v>
      </c>
      <c r="Y226">
        <v>0.062338</v>
      </c>
      <c r="Z226">
        <v>0.2297520661157025</v>
      </c>
      <c r="AA226">
        <v>0.7552334943639292</v>
      </c>
      <c r="AB226">
        <v>0.7387459807073955</v>
      </c>
      <c r="AC226">
        <v>0.1446945337620579</v>
      </c>
      <c r="AD226">
        <v>0.1446945337620579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225.28</v>
      </c>
      <c r="D227">
        <v>26092.83072</v>
      </c>
      <c r="E227" t="s">
        <v>660</v>
      </c>
      <c r="F227" t="s">
        <v>631</v>
      </c>
      <c r="G227" t="s">
        <v>670</v>
      </c>
      <c r="H227" t="s">
        <v>699</v>
      </c>
      <c r="I227" t="s">
        <v>929</v>
      </c>
      <c r="J227" t="s">
        <v>1313</v>
      </c>
      <c r="K227">
        <v>43958</v>
      </c>
      <c r="L227">
        <v>0.01766690340909</v>
      </c>
      <c r="M227">
        <v>-0.07446305640019468</v>
      </c>
      <c r="N227">
        <v>0.065</v>
      </c>
      <c r="O227">
        <v>0.008245405215006274</v>
      </c>
      <c r="P227" t="s">
        <v>636</v>
      </c>
      <c r="Q227" t="s">
        <v>300</v>
      </c>
      <c r="R227">
        <v>10</v>
      </c>
      <c r="S227">
        <v>0.5452054794520548</v>
      </c>
      <c r="T227">
        <v>153</v>
      </c>
      <c r="U227">
        <v>1.472418300653595</v>
      </c>
      <c r="V227">
        <v>6.1127</v>
      </c>
      <c r="W227">
        <v>7.3</v>
      </c>
      <c r="X227">
        <v>3.98</v>
      </c>
      <c r="Y227">
        <v>0.4155200000000001</v>
      </c>
      <c r="Z227">
        <v>0.1884297520661157</v>
      </c>
      <c r="AA227">
        <v>0.9452495974235104</v>
      </c>
      <c r="AB227">
        <v>0.6969453376205788</v>
      </c>
      <c r="AC227">
        <v>0.1832797427652733</v>
      </c>
      <c r="AD227">
        <v>0.1414790996784566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96.28</v>
      </c>
      <c r="D228">
        <v>149717.3256</v>
      </c>
      <c r="E228" t="s">
        <v>659</v>
      </c>
      <c r="F228" t="s">
        <v>631</v>
      </c>
      <c r="G228" t="s">
        <v>670</v>
      </c>
      <c r="H228" t="s">
        <v>699</v>
      </c>
      <c r="I228" t="s">
        <v>930</v>
      </c>
      <c r="J228" t="s">
        <v>1312</v>
      </c>
      <c r="K228">
        <v>44014</v>
      </c>
      <c r="L228">
        <v>0.009918986289987001</v>
      </c>
      <c r="M228">
        <v>-0.09639550555959142</v>
      </c>
      <c r="N228">
        <v>0.1</v>
      </c>
      <c r="O228">
        <v>0.007353552565394272</v>
      </c>
      <c r="P228" t="s">
        <v>636</v>
      </c>
      <c r="Q228" t="s">
        <v>300</v>
      </c>
      <c r="R228">
        <v>18</v>
      </c>
      <c r="S228">
        <v>0.596875</v>
      </c>
      <c r="T228">
        <v>58</v>
      </c>
      <c r="U228">
        <v>1.66</v>
      </c>
      <c r="V228">
        <v>1.6258</v>
      </c>
      <c r="W228">
        <v>1.6</v>
      </c>
      <c r="X228">
        <v>0.9550000000000001</v>
      </c>
      <c r="Y228">
        <v>0.101098</v>
      </c>
      <c r="Z228">
        <v>0.06776859504132231</v>
      </c>
      <c r="AA228">
        <v>0.7987117552334944</v>
      </c>
      <c r="AB228">
        <v>0.9051446945337621</v>
      </c>
      <c r="AC228">
        <v>0.09807073954983922</v>
      </c>
      <c r="AD228">
        <v>0.1382636655948553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44.71</v>
      </c>
      <c r="D229">
        <v>10955.78311</v>
      </c>
      <c r="E229" t="s">
        <v>662</v>
      </c>
      <c r="F229" t="s">
        <v>631</v>
      </c>
      <c r="G229" t="s">
        <v>670</v>
      </c>
      <c r="H229" t="s">
        <v>699</v>
      </c>
      <c r="I229" t="s">
        <v>931</v>
      </c>
      <c r="J229" t="s">
        <v>1315</v>
      </c>
      <c r="K229">
        <v>43979</v>
      </c>
      <c r="L229">
        <v>0.020619548199507</v>
      </c>
      <c r="M229">
        <v>-0.08935171864677094</v>
      </c>
      <c r="N229">
        <v>0.07000000000000001</v>
      </c>
      <c r="O229">
        <v>0.001617896990115275</v>
      </c>
      <c r="P229" t="s">
        <v>636</v>
      </c>
      <c r="Q229" t="s">
        <v>383</v>
      </c>
      <c r="R229">
        <v>28</v>
      </c>
      <c r="S229">
        <v>0.5909615384615384</v>
      </c>
      <c r="T229">
        <v>28</v>
      </c>
      <c r="U229">
        <v>1.596785714285714</v>
      </c>
      <c r="V229">
        <v>1.128</v>
      </c>
      <c r="W229">
        <v>1.56</v>
      </c>
      <c r="X229">
        <v>0.9219000000000001</v>
      </c>
      <c r="Y229">
        <v>0.06579299999999999</v>
      </c>
      <c r="Z229">
        <v>0.2495867768595041</v>
      </c>
      <c r="AA229">
        <v>0.7632850241545894</v>
      </c>
      <c r="AB229">
        <v>0.7387459807073955</v>
      </c>
      <c r="AC229">
        <v>0.1205787781350482</v>
      </c>
      <c r="AD229">
        <v>0.1189710610932476</v>
      </c>
    </row>
    <row r="230" spans="1:30">
      <c r="A230" s="1" t="s">
        <v>237</v>
      </c>
      <c r="B230">
        <f>HYPERLINK("https://www.suredividend.com/sure-analysis-WM/","Waste Management, Inc.")</f>
        <v>0</v>
      </c>
      <c r="C230">
        <v>108.7</v>
      </c>
      <c r="D230">
        <v>45874.1175</v>
      </c>
      <c r="E230" t="s">
        <v>659</v>
      </c>
      <c r="F230" t="s">
        <v>631</v>
      </c>
      <c r="G230" t="s">
        <v>670</v>
      </c>
      <c r="H230" t="s">
        <v>699</v>
      </c>
      <c r="I230" t="s">
        <v>932</v>
      </c>
      <c r="J230" t="s">
        <v>1313</v>
      </c>
      <c r="K230">
        <v>43958</v>
      </c>
      <c r="L230">
        <v>0.019158233670653</v>
      </c>
      <c r="M230">
        <v>-0.06907046385103777</v>
      </c>
      <c r="N230">
        <v>0.05</v>
      </c>
      <c r="O230">
        <v>0.0004165094478847386</v>
      </c>
      <c r="P230" t="s">
        <v>636</v>
      </c>
      <c r="Q230" t="s">
        <v>300</v>
      </c>
      <c r="R230">
        <v>17</v>
      </c>
      <c r="S230">
        <v>0.520625</v>
      </c>
      <c r="T230">
        <v>76</v>
      </c>
      <c r="U230">
        <v>1.430263157894737</v>
      </c>
      <c r="V230">
        <v>3.9701</v>
      </c>
      <c r="W230">
        <v>4</v>
      </c>
      <c r="X230">
        <v>2.0825</v>
      </c>
      <c r="Y230">
        <v>-0.078579</v>
      </c>
      <c r="Z230">
        <v>0.228099173553719</v>
      </c>
      <c r="AA230">
        <v>0.5813204508856683</v>
      </c>
      <c r="AB230">
        <v>0.5160771704180064</v>
      </c>
      <c r="AC230">
        <v>0.1929260450160772</v>
      </c>
      <c r="AD230">
        <v>0.1157556270096463</v>
      </c>
    </row>
    <row r="231" spans="1:30">
      <c r="A231" s="1" t="s">
        <v>238</v>
      </c>
      <c r="B231">
        <f>HYPERLINK("https://www.suredividend.com/sure-analysis-AMT/","American Tower Corp.")</f>
        <v>0</v>
      </c>
      <c r="C231">
        <v>259.11</v>
      </c>
      <c r="D231">
        <v>114865.01766</v>
      </c>
      <c r="E231" t="s">
        <v>659</v>
      </c>
      <c r="F231" t="s">
        <v>633</v>
      </c>
      <c r="G231" t="s">
        <v>670</v>
      </c>
      <c r="H231" t="s">
        <v>699</v>
      </c>
      <c r="I231" t="s">
        <v>933</v>
      </c>
      <c r="J231" t="s">
        <v>1321</v>
      </c>
      <c r="K231">
        <v>43958</v>
      </c>
      <c r="L231">
        <v>0.015283084404307</v>
      </c>
      <c r="M231">
        <v>-0.07975728684978256</v>
      </c>
      <c r="N231">
        <v>0.06</v>
      </c>
      <c r="O231">
        <v>-0.003469013908454999</v>
      </c>
      <c r="P231" t="s">
        <v>636</v>
      </c>
      <c r="Q231" t="s">
        <v>300</v>
      </c>
      <c r="R231">
        <v>9</v>
      </c>
      <c r="S231">
        <v>0.4858895705521472</v>
      </c>
      <c r="T231">
        <v>171</v>
      </c>
      <c r="U231">
        <v>1.515263157894737</v>
      </c>
      <c r="V231">
        <v>4.3032</v>
      </c>
      <c r="W231">
        <v>8.15</v>
      </c>
      <c r="X231">
        <v>3.96</v>
      </c>
      <c r="Y231">
        <v>0.241781</v>
      </c>
      <c r="Z231">
        <v>0.1471074380165289</v>
      </c>
      <c r="AA231">
        <v>0.893719806763285</v>
      </c>
      <c r="AB231">
        <v>0.6463022508038585</v>
      </c>
      <c r="AC231">
        <v>0.1559485530546624</v>
      </c>
      <c r="AD231">
        <v>0.1061093247588424</v>
      </c>
    </row>
    <row r="232" spans="1:30">
      <c r="A232" s="1" t="s">
        <v>239</v>
      </c>
      <c r="B232">
        <f>HYPERLINK("https://www.suredividend.com/sure-analysis-GPS/","Gap, Inc.")</f>
        <v>0</v>
      </c>
      <c r="C232">
        <v>12.89</v>
      </c>
      <c r="D232">
        <v>4814.04119</v>
      </c>
      <c r="E232" t="s">
        <v>667</v>
      </c>
      <c r="F232" t="s">
        <v>631</v>
      </c>
      <c r="G232" t="s">
        <v>670</v>
      </c>
      <c r="H232" t="s">
        <v>699</v>
      </c>
      <c r="I232" t="s">
        <v>934</v>
      </c>
      <c r="J232" t="s">
        <v>1312</v>
      </c>
      <c r="K232">
        <v>43993</v>
      </c>
      <c r="L232">
        <v>0.037626066718386</v>
      </c>
      <c r="M232">
        <v>-0.01420714576401161</v>
      </c>
      <c r="N232">
        <v>0.01</v>
      </c>
      <c r="O232">
        <v>-0.004349217221651713</v>
      </c>
      <c r="P232" t="s">
        <v>636</v>
      </c>
      <c r="Q232" t="s">
        <v>636</v>
      </c>
      <c r="R232">
        <v>0</v>
      </c>
      <c r="S232">
        <v>0.373076923076923</v>
      </c>
      <c r="T232">
        <v>12</v>
      </c>
      <c r="U232">
        <v>1.074166666666667</v>
      </c>
      <c r="V232">
        <v>-2.1809</v>
      </c>
      <c r="W232">
        <v>1.3</v>
      </c>
      <c r="X232">
        <v>0.485</v>
      </c>
      <c r="Y232">
        <v>-0.304746</v>
      </c>
      <c r="Z232">
        <v>0.5206611570247933</v>
      </c>
      <c r="AA232">
        <v>0.2769726247987118</v>
      </c>
      <c r="AB232">
        <v>0.0819935691318328</v>
      </c>
      <c r="AC232">
        <v>0.5289389067524116</v>
      </c>
      <c r="AD232">
        <v>0.1028938906752412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66.39</v>
      </c>
      <c r="D233">
        <v>34866.10269</v>
      </c>
      <c r="E233" t="s">
        <v>659</v>
      </c>
      <c r="F233" t="s">
        <v>631</v>
      </c>
      <c r="G233" t="s">
        <v>670</v>
      </c>
      <c r="H233" t="s">
        <v>701</v>
      </c>
      <c r="I233" t="s">
        <v>935</v>
      </c>
      <c r="J233" t="s">
        <v>1315</v>
      </c>
      <c r="K233">
        <v>43964</v>
      </c>
      <c r="L233">
        <v>0.024777827986142</v>
      </c>
      <c r="M233">
        <v>-0.0789780053692829</v>
      </c>
      <c r="N233">
        <v>0.04</v>
      </c>
      <c r="O233">
        <v>-0.009756506416739419</v>
      </c>
      <c r="P233" t="s">
        <v>636</v>
      </c>
      <c r="Q233" t="s">
        <v>383</v>
      </c>
      <c r="R233">
        <v>17</v>
      </c>
      <c r="S233">
        <v>0.5981818181818181</v>
      </c>
      <c r="T233">
        <v>44</v>
      </c>
      <c r="U233">
        <v>1.508863636363636</v>
      </c>
      <c r="V233">
        <v>2.5924</v>
      </c>
      <c r="W233">
        <v>2.75</v>
      </c>
      <c r="X233">
        <v>1.645</v>
      </c>
      <c r="Y233">
        <v>0.072017</v>
      </c>
      <c r="Z233">
        <v>0.3305785123966942</v>
      </c>
      <c r="AA233">
        <v>0.7665056360708534</v>
      </c>
      <c r="AB233">
        <v>0.3794212218649518</v>
      </c>
      <c r="AC233">
        <v>0.1591639871382637</v>
      </c>
      <c r="AD233">
        <v>0.0932475884244373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242.6</v>
      </c>
      <c r="D234">
        <v>127409.881</v>
      </c>
      <c r="E234" t="s">
        <v>660</v>
      </c>
      <c r="F234" t="s">
        <v>631</v>
      </c>
      <c r="G234" t="s">
        <v>673</v>
      </c>
      <c r="H234" t="s">
        <v>699</v>
      </c>
      <c r="I234" t="s">
        <v>936</v>
      </c>
      <c r="J234" t="s">
        <v>1319</v>
      </c>
      <c r="K234">
        <v>43959</v>
      </c>
      <c r="L234">
        <v>0.014789777411376</v>
      </c>
      <c r="M234">
        <v>-0.08688393245743165</v>
      </c>
      <c r="N234">
        <v>0.06</v>
      </c>
      <c r="O234">
        <v>-0.01080184000470463</v>
      </c>
      <c r="P234" t="s">
        <v>636</v>
      </c>
      <c r="Q234" t="s">
        <v>300</v>
      </c>
      <c r="R234">
        <v>27</v>
      </c>
      <c r="S234">
        <v>0.465974025974026</v>
      </c>
      <c r="T234">
        <v>154</v>
      </c>
      <c r="U234">
        <v>1.575324675324675</v>
      </c>
      <c r="V234">
        <v>4.3545</v>
      </c>
      <c r="W234">
        <v>7.7</v>
      </c>
      <c r="X234">
        <v>3.588</v>
      </c>
      <c r="Y234">
        <v>0.191318</v>
      </c>
      <c r="Z234">
        <v>0.1355371900826446</v>
      </c>
      <c r="AA234">
        <v>0.8502415458937197</v>
      </c>
      <c r="AB234">
        <v>0.6463022508038585</v>
      </c>
      <c r="AC234">
        <v>0.1334405144694534</v>
      </c>
      <c r="AD234">
        <v>0.08842443729903536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275.38</v>
      </c>
      <c r="D235">
        <v>134784.741</v>
      </c>
      <c r="E235" t="s">
        <v>668</v>
      </c>
      <c r="F235" t="s">
        <v>631</v>
      </c>
      <c r="G235" t="s">
        <v>670</v>
      </c>
      <c r="H235" t="s">
        <v>699</v>
      </c>
      <c r="I235" t="s">
        <v>886</v>
      </c>
      <c r="J235" t="s">
        <v>1315</v>
      </c>
      <c r="K235">
        <v>43951</v>
      </c>
      <c r="L235">
        <v>0.018701430750236</v>
      </c>
      <c r="M235">
        <v>-0.1017883242922422</v>
      </c>
      <c r="N235">
        <v>0.07000000000000001</v>
      </c>
      <c r="O235">
        <v>-0.01123255964126679</v>
      </c>
      <c r="P235" t="s">
        <v>636</v>
      </c>
      <c r="Q235" t="s">
        <v>300</v>
      </c>
      <c r="R235">
        <v>25</v>
      </c>
      <c r="S235">
        <v>0.5754189944134079</v>
      </c>
      <c r="T235">
        <v>161</v>
      </c>
      <c r="U235">
        <v>1.710434782608696</v>
      </c>
      <c r="V235">
        <v>7.2583</v>
      </c>
      <c r="W235">
        <v>8.949999999999999</v>
      </c>
      <c r="X235">
        <v>5.15</v>
      </c>
      <c r="Y235">
        <v>0.29676</v>
      </c>
      <c r="Z235">
        <v>0.2165289256198347</v>
      </c>
      <c r="AA235">
        <v>0.9114331723027376</v>
      </c>
      <c r="AB235">
        <v>0.7387459807073955</v>
      </c>
      <c r="AC235">
        <v>0.07717041800643087</v>
      </c>
      <c r="AD235">
        <v>0.08681672025723472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86.28</v>
      </c>
      <c r="D236">
        <v>11614.1508</v>
      </c>
      <c r="E236" t="s">
        <v>667</v>
      </c>
      <c r="F236" t="s">
        <v>631</v>
      </c>
      <c r="G236" t="s">
        <v>670</v>
      </c>
      <c r="H236" t="s">
        <v>701</v>
      </c>
      <c r="I236" t="s">
        <v>937</v>
      </c>
      <c r="J236" t="s">
        <v>1313</v>
      </c>
      <c r="K236">
        <v>43958</v>
      </c>
      <c r="L236">
        <v>0.023412146499768</v>
      </c>
      <c r="M236">
        <v>-0.09286244549355771</v>
      </c>
      <c r="N236">
        <v>0.05</v>
      </c>
      <c r="O236">
        <v>-0.01599427858307279</v>
      </c>
      <c r="P236" t="s">
        <v>636</v>
      </c>
      <c r="Q236" t="s">
        <v>383</v>
      </c>
      <c r="R236">
        <v>22</v>
      </c>
      <c r="S236">
        <v>0.6801346801346801</v>
      </c>
      <c r="T236">
        <v>53</v>
      </c>
      <c r="U236">
        <v>1.627924528301887</v>
      </c>
      <c r="V236">
        <v>3.6159</v>
      </c>
      <c r="W236">
        <v>2.97</v>
      </c>
      <c r="X236">
        <v>2.02</v>
      </c>
      <c r="Y236">
        <v>0.046325</v>
      </c>
      <c r="Z236">
        <v>0.3140495867768595</v>
      </c>
      <c r="AA236">
        <v>0.7455716586151369</v>
      </c>
      <c r="AB236">
        <v>0.5160771704180064</v>
      </c>
      <c r="AC236">
        <v>0.1061093247588424</v>
      </c>
      <c r="AD236">
        <v>0.07395498392282958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199</v>
      </c>
      <c r="D237">
        <v>28788.932</v>
      </c>
      <c r="E237" t="s">
        <v>660</v>
      </c>
      <c r="F237" t="s">
        <v>631</v>
      </c>
      <c r="G237" t="s">
        <v>670</v>
      </c>
      <c r="H237" t="s">
        <v>699</v>
      </c>
      <c r="I237" t="s">
        <v>938</v>
      </c>
      <c r="J237" t="s">
        <v>1314</v>
      </c>
      <c r="K237">
        <v>43955</v>
      </c>
      <c r="L237">
        <v>0.007738693467336</v>
      </c>
      <c r="M237">
        <v>-0.1320901847582497</v>
      </c>
      <c r="N237">
        <v>0.12</v>
      </c>
      <c r="O237">
        <v>-0.01643120671352727</v>
      </c>
      <c r="P237" t="s">
        <v>636</v>
      </c>
      <c r="Q237" t="s">
        <v>300</v>
      </c>
      <c r="R237">
        <v>7</v>
      </c>
      <c r="S237">
        <v>0.3460674157303371</v>
      </c>
      <c r="T237">
        <v>98</v>
      </c>
      <c r="U237">
        <v>2.030612244897959</v>
      </c>
      <c r="V237">
        <v>3.5568</v>
      </c>
      <c r="W237">
        <v>4.45</v>
      </c>
      <c r="X237">
        <v>1.54</v>
      </c>
      <c r="Y237">
        <v>0.595063</v>
      </c>
      <c r="Z237">
        <v>0.04628099173553719</v>
      </c>
      <c r="AA237">
        <v>0.9806763285024155</v>
      </c>
      <c r="AB237">
        <v>0.9461414790996784</v>
      </c>
      <c r="AC237">
        <v>0.02893890675241157</v>
      </c>
      <c r="AD237">
        <v>0.07234726688102894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157.87</v>
      </c>
      <c r="D238">
        <v>6755.746697</v>
      </c>
      <c r="E238" t="s">
        <v>663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0.007347817824792001</v>
      </c>
      <c r="M238">
        <v>-0.08727472265329772</v>
      </c>
      <c r="N238">
        <v>0.06</v>
      </c>
      <c r="O238">
        <v>-0.0217713167386322</v>
      </c>
      <c r="P238" t="s">
        <v>636</v>
      </c>
      <c r="Q238" t="s">
        <v>300</v>
      </c>
      <c r="R238">
        <v>10</v>
      </c>
      <c r="S238">
        <v>0.3135135135135135</v>
      </c>
      <c r="T238">
        <v>100</v>
      </c>
      <c r="U238">
        <v>1.5787</v>
      </c>
      <c r="V238">
        <v>3.3351</v>
      </c>
      <c r="W238">
        <v>3.7</v>
      </c>
      <c r="X238">
        <v>1.16</v>
      </c>
      <c r="Y238">
        <v>0.009915999999999999</v>
      </c>
      <c r="Z238">
        <v>0.04297520661157025</v>
      </c>
      <c r="AA238">
        <v>0.6956521739130435</v>
      </c>
      <c r="AB238">
        <v>0.6463022508038585</v>
      </c>
      <c r="AC238">
        <v>0.1286173633440514</v>
      </c>
      <c r="AD238">
        <v>0.06430868167202572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83.8</v>
      </c>
      <c r="D239">
        <v>6516.2042</v>
      </c>
      <c r="E239" t="s">
        <v>659</v>
      </c>
      <c r="F239" t="s">
        <v>631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0.022911694510739</v>
      </c>
      <c r="M239">
        <v>-0.1017640924321761</v>
      </c>
      <c r="N239">
        <v>0.05</v>
      </c>
      <c r="O239">
        <v>-0.02542199229212172</v>
      </c>
      <c r="P239" t="s">
        <v>636</v>
      </c>
      <c r="Q239" t="s">
        <v>383</v>
      </c>
      <c r="R239">
        <v>14</v>
      </c>
      <c r="S239">
        <v>0.5485714285714286</v>
      </c>
      <c r="T239">
        <v>49</v>
      </c>
      <c r="U239">
        <v>1.710204081632653</v>
      </c>
      <c r="V239">
        <v>4.3621</v>
      </c>
      <c r="W239">
        <v>3.5</v>
      </c>
      <c r="X239">
        <v>1.92</v>
      </c>
      <c r="Y239">
        <v>0.204023</v>
      </c>
      <c r="Z239">
        <v>0.3041322314049587</v>
      </c>
      <c r="AA239">
        <v>0.8631239935587761</v>
      </c>
      <c r="AB239">
        <v>0.5160771704180064</v>
      </c>
      <c r="AC239">
        <v>0.07877813504823152</v>
      </c>
      <c r="AD239">
        <v>0.06109324758842444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165.96</v>
      </c>
      <c r="D240">
        <v>158830.02648</v>
      </c>
      <c r="E240" t="s">
        <v>664</v>
      </c>
      <c r="F240" t="s">
        <v>631</v>
      </c>
      <c r="G240" t="s">
        <v>670</v>
      </c>
      <c r="H240" t="s">
        <v>699</v>
      </c>
      <c r="I240" t="s">
        <v>941</v>
      </c>
      <c r="J240" t="s">
        <v>1314</v>
      </c>
      <c r="K240">
        <v>43944</v>
      </c>
      <c r="L240">
        <v>0.0161183417691</v>
      </c>
      <c r="M240">
        <v>-0.0874909621317862</v>
      </c>
      <c r="N240">
        <v>0.04</v>
      </c>
      <c r="O240">
        <v>-0.03031453936039896</v>
      </c>
      <c r="P240" t="s">
        <v>636</v>
      </c>
      <c r="Q240" t="s">
        <v>300</v>
      </c>
      <c r="R240">
        <v>6</v>
      </c>
      <c r="S240">
        <v>0.3933823529411765</v>
      </c>
      <c r="T240">
        <v>105</v>
      </c>
      <c r="U240">
        <v>1.580571428571429</v>
      </c>
      <c r="V240">
        <v>6.051</v>
      </c>
      <c r="W240">
        <v>6.8</v>
      </c>
      <c r="X240">
        <v>2.675</v>
      </c>
      <c r="Y240">
        <v>0.531844</v>
      </c>
      <c r="Z240">
        <v>0.1537190082644628</v>
      </c>
      <c r="AA240">
        <v>0.9694041867954911</v>
      </c>
      <c r="AB240">
        <v>0.3794212218649518</v>
      </c>
      <c r="AC240">
        <v>0.1270096463022508</v>
      </c>
      <c r="AD240">
        <v>0.05466237942122186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228.38</v>
      </c>
      <c r="D241">
        <v>28570.338</v>
      </c>
      <c r="E241" t="s">
        <v>663</v>
      </c>
      <c r="F241" t="s">
        <v>631</v>
      </c>
      <c r="G241" t="s">
        <v>670</v>
      </c>
      <c r="H241" t="s">
        <v>699</v>
      </c>
      <c r="I241" t="s">
        <v>942</v>
      </c>
      <c r="J241" t="s">
        <v>1318</v>
      </c>
      <c r="K241">
        <v>43957</v>
      </c>
      <c r="L241">
        <v>0.018565548646991</v>
      </c>
      <c r="M241">
        <v>-0.09584226177389532</v>
      </c>
      <c r="N241">
        <v>0.04</v>
      </c>
      <c r="O241">
        <v>-0.03432338685583847</v>
      </c>
      <c r="P241" t="s">
        <v>636</v>
      </c>
      <c r="Q241" t="s">
        <v>383</v>
      </c>
      <c r="R241">
        <v>42</v>
      </c>
      <c r="S241">
        <v>0.6144927536231884</v>
      </c>
      <c r="T241">
        <v>138</v>
      </c>
      <c r="U241">
        <v>1.654927536231884</v>
      </c>
      <c r="V241">
        <v>6.9087</v>
      </c>
      <c r="W241">
        <v>6.9</v>
      </c>
      <c r="X241">
        <v>4.24</v>
      </c>
      <c r="Y241">
        <v>0.409318</v>
      </c>
      <c r="Z241">
        <v>0.2132231404958678</v>
      </c>
      <c r="AA241">
        <v>0.9420289855072465</v>
      </c>
      <c r="AB241">
        <v>0.3794212218649518</v>
      </c>
      <c r="AC241">
        <v>0.1012861736334405</v>
      </c>
      <c r="AD241">
        <v>0.04501607717041801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203.76</v>
      </c>
      <c r="D242">
        <v>9411.491016</v>
      </c>
      <c r="E242" t="s">
        <v>660</v>
      </c>
      <c r="F242" t="s">
        <v>631</v>
      </c>
      <c r="G242" t="s">
        <v>670</v>
      </c>
      <c r="H242" t="s">
        <v>701</v>
      </c>
      <c r="I242" t="s">
        <v>943</v>
      </c>
      <c r="J242" t="s">
        <v>1311</v>
      </c>
      <c r="K242">
        <v>43961</v>
      </c>
      <c r="L242">
        <v>0.01830585001963</v>
      </c>
      <c r="M242">
        <v>-0.1143934715843039</v>
      </c>
      <c r="N242">
        <v>0.055</v>
      </c>
      <c r="O242">
        <v>-0.03845914729896205</v>
      </c>
      <c r="P242" t="s">
        <v>636</v>
      </c>
      <c r="Q242" t="s">
        <v>300</v>
      </c>
      <c r="R242">
        <v>30</v>
      </c>
      <c r="S242">
        <v>0.6065040650406504</v>
      </c>
      <c r="T242">
        <v>111</v>
      </c>
      <c r="U242">
        <v>1.835675675675676</v>
      </c>
      <c r="V242">
        <v>6.4598</v>
      </c>
      <c r="W242">
        <v>6.15</v>
      </c>
      <c r="X242">
        <v>3.73</v>
      </c>
      <c r="Y242">
        <v>-0.234934</v>
      </c>
      <c r="Z242">
        <v>0.2049586776859504</v>
      </c>
      <c r="AA242">
        <v>0.359098228663446</v>
      </c>
      <c r="AB242">
        <v>0.592443729903537</v>
      </c>
      <c r="AC242">
        <v>0.04823151125401929</v>
      </c>
      <c r="AD242">
        <v>0.03858520900321544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140.77</v>
      </c>
      <c r="D243">
        <v>16277.2351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1312</v>
      </c>
      <c r="K243">
        <v>43963</v>
      </c>
      <c r="L243">
        <v>0.009945300845350001</v>
      </c>
      <c r="M243">
        <v>-0.1159828380043445</v>
      </c>
      <c r="N243">
        <v>0.065</v>
      </c>
      <c r="O243">
        <v>-0.0432653655632611</v>
      </c>
      <c r="P243" t="s">
        <v>636</v>
      </c>
      <c r="Q243" t="s">
        <v>300</v>
      </c>
      <c r="R243">
        <v>9</v>
      </c>
      <c r="S243">
        <v>0.35</v>
      </c>
      <c r="T243">
        <v>76</v>
      </c>
      <c r="U243">
        <v>1.852236842105263</v>
      </c>
      <c r="V243">
        <v>4.7835</v>
      </c>
      <c r="W243">
        <v>4</v>
      </c>
      <c r="X243">
        <v>1.4</v>
      </c>
      <c r="Y243">
        <v>0.254299</v>
      </c>
      <c r="Z243">
        <v>0.06942148760330578</v>
      </c>
      <c r="AA243">
        <v>0.9001610305958132</v>
      </c>
      <c r="AB243">
        <v>0.6969453376205788</v>
      </c>
      <c r="AC243">
        <v>0.04340836012861736</v>
      </c>
      <c r="AD243">
        <v>0.02893890675241157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28.67</v>
      </c>
      <c r="D244">
        <v>12729.65202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0.128182769445413</v>
      </c>
      <c r="M244">
        <v>0.1039109290182172</v>
      </c>
      <c r="N244">
        <v>0.05</v>
      </c>
      <c r="O244">
        <v>0.2348511028190021</v>
      </c>
      <c r="P244" t="s">
        <v>383</v>
      </c>
      <c r="Q244" t="s">
        <v>635</v>
      </c>
      <c r="R244">
        <v>18</v>
      </c>
      <c r="S244">
        <v>0.7903225806451611</v>
      </c>
      <c r="T244">
        <v>47</v>
      </c>
      <c r="U244">
        <v>0.61</v>
      </c>
      <c r="V244">
        <v>1.9312</v>
      </c>
      <c r="W244">
        <v>4.65</v>
      </c>
      <c r="X244">
        <v>3.675</v>
      </c>
      <c r="Y244">
        <v>-0.5854539999999999</v>
      </c>
      <c r="Z244">
        <v>0.9090909090909091</v>
      </c>
      <c r="AA244">
        <v>0.0499194847020934</v>
      </c>
      <c r="AB244">
        <v>0.5160771704180064</v>
      </c>
      <c r="AC244">
        <v>0.9742765273311897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6.47</v>
      </c>
      <c r="D245">
        <v>17432.1857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0.18856259659969</v>
      </c>
      <c r="M245">
        <v>0.05359815411586566</v>
      </c>
      <c r="N245">
        <v>0.074</v>
      </c>
      <c r="O245">
        <v>0.2253300062317594</v>
      </c>
      <c r="P245" t="s">
        <v>383</v>
      </c>
      <c r="Q245" t="s">
        <v>635</v>
      </c>
      <c r="R245">
        <v>0</v>
      </c>
      <c r="S245">
        <v>0.8714285714285714</v>
      </c>
      <c r="T245">
        <v>8.4</v>
      </c>
      <c r="U245">
        <v>0.7702380952380952</v>
      </c>
      <c r="V245">
        <v>0.716</v>
      </c>
      <c r="W245">
        <v>1.4</v>
      </c>
      <c r="X245">
        <v>1.22</v>
      </c>
      <c r="Y245">
        <v>-0.567802</v>
      </c>
      <c r="Z245">
        <v>0.9669421487603306</v>
      </c>
      <c r="AA245">
        <v>0.05475040257648953</v>
      </c>
      <c r="AB245">
        <v>0.7733118971061093</v>
      </c>
      <c r="AC245">
        <v>0.8745980707395498</v>
      </c>
      <c r="AD245">
        <v>0.9935691318327975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48.99</v>
      </c>
      <c r="D246">
        <v>15005.68599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0.0351092059604</v>
      </c>
      <c r="M246">
        <v>0.1057972762882391</v>
      </c>
      <c r="N246">
        <v>0.075</v>
      </c>
      <c r="O246">
        <v>0.2095201303579932</v>
      </c>
      <c r="P246" t="s">
        <v>383</v>
      </c>
      <c r="Q246" t="s">
        <v>383</v>
      </c>
      <c r="R246">
        <v>9</v>
      </c>
      <c r="S246">
        <v>0.3510204081632653</v>
      </c>
      <c r="T246">
        <v>81</v>
      </c>
      <c r="U246">
        <v>0.6048148148148148</v>
      </c>
      <c r="V246">
        <v>6.689</v>
      </c>
      <c r="W246">
        <v>4.9</v>
      </c>
      <c r="X246">
        <v>1.72</v>
      </c>
      <c r="Y246">
        <v>-0.399853</v>
      </c>
      <c r="Z246">
        <v>0.4826446280991735</v>
      </c>
      <c r="AA246">
        <v>0.1658615136876006</v>
      </c>
      <c r="AB246">
        <v>0.7781350482315113</v>
      </c>
      <c r="AC246">
        <v>0.9790996784565916</v>
      </c>
      <c r="AD246">
        <v>0.9903536977491961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7.17</v>
      </c>
      <c r="D247">
        <v>1389.64638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0.08926080892608</v>
      </c>
      <c r="M247">
        <v>0.1263797634464974</v>
      </c>
      <c r="N247">
        <v>0.01</v>
      </c>
      <c r="O247">
        <v>0.1865438968951199</v>
      </c>
      <c r="P247" t="s">
        <v>383</v>
      </c>
      <c r="Q247" t="s">
        <v>635</v>
      </c>
      <c r="R247">
        <v>0</v>
      </c>
      <c r="S247">
        <v>0.3047619047619047</v>
      </c>
      <c r="T247">
        <v>13</v>
      </c>
      <c r="U247">
        <v>0.5515384615384615</v>
      </c>
      <c r="V247">
        <v>1.5555</v>
      </c>
      <c r="W247">
        <v>2.1</v>
      </c>
      <c r="X247">
        <v>0.64</v>
      </c>
      <c r="Y247">
        <v>-0.477024</v>
      </c>
      <c r="Z247">
        <v>0.8462809917355372</v>
      </c>
      <c r="AA247">
        <v>0.09983896940418679</v>
      </c>
      <c r="AB247">
        <v>0.0819935691318328</v>
      </c>
      <c r="AC247">
        <v>0.9887459807073955</v>
      </c>
      <c r="AD247">
        <v>0.977491961414791</v>
      </c>
    </row>
    <row r="248" spans="1:30">
      <c r="A248" s="1" t="s">
        <v>255</v>
      </c>
      <c r="B248">
        <f>HYPERLINK("https://www.suredividend.com/sure-analysis-NC/","NACCO Industries, Inc.")</f>
        <v>0</v>
      </c>
      <c r="C248">
        <v>23.06</v>
      </c>
      <c r="D248">
        <v>161.913115</v>
      </c>
      <c r="E248" t="s">
        <v>664</v>
      </c>
      <c r="F248" t="s">
        <v>631</v>
      </c>
      <c r="G248" t="s">
        <v>670</v>
      </c>
      <c r="H248" t="s">
        <v>699</v>
      </c>
      <c r="I248" t="s">
        <v>949</v>
      </c>
      <c r="J248" t="s">
        <v>1316</v>
      </c>
      <c r="K248">
        <v>43960</v>
      </c>
      <c r="L248">
        <v>0.03295750216825601</v>
      </c>
      <c r="M248">
        <v>0.1430642500337123</v>
      </c>
      <c r="N248">
        <v>0.01</v>
      </c>
      <c r="O248">
        <v>0.1796498438887133</v>
      </c>
      <c r="P248" t="s">
        <v>383</v>
      </c>
      <c r="Q248" t="s">
        <v>383</v>
      </c>
      <c r="R248">
        <v>1</v>
      </c>
      <c r="S248">
        <v>0.152</v>
      </c>
      <c r="T248">
        <v>45</v>
      </c>
      <c r="U248">
        <v>0.5124444444444444</v>
      </c>
      <c r="V248">
        <v>4.4038</v>
      </c>
      <c r="W248">
        <v>5</v>
      </c>
      <c r="X248">
        <v>0.76</v>
      </c>
      <c r="Y248">
        <v>-0.5577289999999999</v>
      </c>
      <c r="Z248">
        <v>0.4396694214876033</v>
      </c>
      <c r="AA248">
        <v>0.05636070853462158</v>
      </c>
      <c r="AB248">
        <v>0.0819935691318328</v>
      </c>
      <c r="AC248">
        <v>0.9951768488745981</v>
      </c>
      <c r="AD248">
        <v>0.9710610932475885</v>
      </c>
    </row>
    <row r="249" spans="1:30">
      <c r="A249" s="1" t="s">
        <v>256</v>
      </c>
      <c r="B249">
        <f>HYPERLINK("https://www.suredividend.com/sure-analysis-MMP/","Magellan Midstream Partners LP")</f>
        <v>0</v>
      </c>
      <c r="C249">
        <v>42.53</v>
      </c>
      <c r="D249">
        <v>9571.63168</v>
      </c>
      <c r="E249" t="s">
        <v>662</v>
      </c>
      <c r="F249" t="s">
        <v>632</v>
      </c>
      <c r="G249" t="s">
        <v>670</v>
      </c>
      <c r="H249" t="s">
        <v>699</v>
      </c>
      <c r="I249" t="s">
        <v>950</v>
      </c>
      <c r="J249" t="s">
        <v>1316</v>
      </c>
      <c r="K249">
        <v>43956</v>
      </c>
      <c r="L249">
        <v>0.09557959087702701</v>
      </c>
      <c r="M249">
        <v>0.05657061693930299</v>
      </c>
      <c r="N249">
        <v>0.05</v>
      </c>
      <c r="O249">
        <v>0.175187252279341</v>
      </c>
      <c r="P249" t="s">
        <v>383</v>
      </c>
      <c r="Q249" t="s">
        <v>635</v>
      </c>
      <c r="R249">
        <v>20</v>
      </c>
      <c r="S249">
        <v>0.8648936170212767</v>
      </c>
      <c r="T249">
        <v>56</v>
      </c>
      <c r="U249">
        <v>0.7594642857142857</v>
      </c>
      <c r="V249">
        <v>4.8194</v>
      </c>
      <c r="W249">
        <v>4.7</v>
      </c>
      <c r="X249">
        <v>4.065</v>
      </c>
      <c r="Y249">
        <v>-0.348698</v>
      </c>
      <c r="Z249">
        <v>0.8578512396694216</v>
      </c>
      <c r="AA249">
        <v>0.2254428341384863</v>
      </c>
      <c r="AB249">
        <v>0.5160771704180064</v>
      </c>
      <c r="AC249">
        <v>0.8842443729903537</v>
      </c>
      <c r="AD249">
        <v>0.9694533762057879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18.58</v>
      </c>
      <c r="D250">
        <v>19668.788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43958</v>
      </c>
      <c r="L250">
        <v>0.144779332615715</v>
      </c>
      <c r="M250">
        <v>0.04360565865274824</v>
      </c>
      <c r="N250">
        <v>0.02</v>
      </c>
      <c r="O250">
        <v>0.1657561094724116</v>
      </c>
      <c r="P250" t="s">
        <v>383</v>
      </c>
      <c r="Q250" t="s">
        <v>635</v>
      </c>
      <c r="R250">
        <v>8</v>
      </c>
      <c r="S250">
        <v>0.8276923076923077</v>
      </c>
      <c r="T250">
        <v>23</v>
      </c>
      <c r="U250">
        <v>0.8078260869565217</v>
      </c>
      <c r="V250">
        <v>-2.0123</v>
      </c>
      <c r="W250">
        <v>3.25</v>
      </c>
      <c r="X250">
        <v>2.69</v>
      </c>
      <c r="Y250">
        <v>-0.400838</v>
      </c>
      <c r="Z250">
        <v>0.9322314049586776</v>
      </c>
      <c r="AA250">
        <v>0.1642512077294686</v>
      </c>
      <c r="AB250">
        <v>0.157556270096463</v>
      </c>
      <c r="AC250">
        <v>0.8327974276527331</v>
      </c>
      <c r="AD250">
        <v>0.9614147909967846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44.51</v>
      </c>
      <c r="D251">
        <v>12189.86468</v>
      </c>
      <c r="E251" t="s">
        <v>660</v>
      </c>
      <c r="F251" t="s">
        <v>631</v>
      </c>
      <c r="G251" t="s">
        <v>670</v>
      </c>
      <c r="H251" t="s">
        <v>701</v>
      </c>
      <c r="I251" t="s">
        <v>952</v>
      </c>
      <c r="J251" t="s">
        <v>1311</v>
      </c>
      <c r="K251">
        <v>43951</v>
      </c>
      <c r="L251">
        <v>0.049427095034823</v>
      </c>
      <c r="M251">
        <v>0.07195509059860528</v>
      </c>
      <c r="N251">
        <v>0.05</v>
      </c>
      <c r="O251">
        <v>0.1607704039358047</v>
      </c>
      <c r="P251" t="s">
        <v>383</v>
      </c>
      <c r="Q251" t="s">
        <v>383</v>
      </c>
      <c r="R251">
        <v>12</v>
      </c>
      <c r="S251">
        <v>0.4583333333333334</v>
      </c>
      <c r="T251">
        <v>63</v>
      </c>
      <c r="U251">
        <v>0.7065079365079365</v>
      </c>
      <c r="V251">
        <v>4.5162</v>
      </c>
      <c r="W251">
        <v>4.8</v>
      </c>
      <c r="X251">
        <v>2.2</v>
      </c>
      <c r="Y251">
        <v>-0.254439</v>
      </c>
      <c r="Z251">
        <v>0.6479338842975207</v>
      </c>
      <c r="AA251">
        <v>0.3317230273752013</v>
      </c>
      <c r="AB251">
        <v>0.5160771704180064</v>
      </c>
      <c r="AC251">
        <v>0.932475884244373</v>
      </c>
      <c r="AD251">
        <v>0.9549839228295819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12.89</v>
      </c>
      <c r="D252">
        <v>194.825905</v>
      </c>
      <c r="E252" t="s">
        <v>669</v>
      </c>
      <c r="F252" t="s">
        <v>631</v>
      </c>
      <c r="G252" t="s">
        <v>682</v>
      </c>
      <c r="H252" t="s">
        <v>701</v>
      </c>
      <c r="I252" t="s">
        <v>953</v>
      </c>
      <c r="J252" t="s">
        <v>1315</v>
      </c>
      <c r="K252">
        <v>44001</v>
      </c>
      <c r="L252">
        <v>0.026377036462373</v>
      </c>
      <c r="M252">
        <v>0.05691290523771753</v>
      </c>
      <c r="N252">
        <v>0.07000000000000001</v>
      </c>
      <c r="O252">
        <v>0.1538503003923</v>
      </c>
      <c r="P252" t="s">
        <v>383</v>
      </c>
      <c r="Q252" t="s">
        <v>300</v>
      </c>
      <c r="R252">
        <v>3</v>
      </c>
      <c r="S252">
        <v>0.3953488372093024</v>
      </c>
      <c r="T252">
        <v>17</v>
      </c>
      <c r="U252">
        <v>0.7582352941176471</v>
      </c>
      <c r="V252">
        <v>0.5889</v>
      </c>
      <c r="W252">
        <v>0.86</v>
      </c>
      <c r="X252">
        <v>0.34</v>
      </c>
      <c r="Y252">
        <v>-0.089046</v>
      </c>
      <c r="Z252">
        <v>0.3454545454545455</v>
      </c>
      <c r="AA252">
        <v>0.5555555555555556</v>
      </c>
      <c r="AB252">
        <v>0.7387459807073955</v>
      </c>
      <c r="AC252">
        <v>0.887459807073955</v>
      </c>
      <c r="AD252">
        <v>0.9356913183279743</v>
      </c>
    </row>
    <row r="253" spans="1:30">
      <c r="A253" s="1" t="s">
        <v>260</v>
      </c>
      <c r="B253">
        <f>HYPERLINK("https://www.suredividend.com/sure-analysis-NTAP/","NetApp, Inc.")</f>
        <v>0</v>
      </c>
      <c r="C253">
        <v>44.81</v>
      </c>
      <c r="D253">
        <v>9939.57496</v>
      </c>
      <c r="E253" t="s">
        <v>659</v>
      </c>
      <c r="F253" t="s">
        <v>631</v>
      </c>
      <c r="G253" t="s">
        <v>670</v>
      </c>
      <c r="H253" t="s">
        <v>701</v>
      </c>
      <c r="I253" t="s">
        <v>954</v>
      </c>
      <c r="J253" t="s">
        <v>1317</v>
      </c>
      <c r="K253">
        <v>43985</v>
      </c>
      <c r="L253">
        <v>0.042847578665476</v>
      </c>
      <c r="M253">
        <v>0.06012056973106783</v>
      </c>
      <c r="N253">
        <v>0.06</v>
      </c>
      <c r="O253">
        <v>0.1537475003543649</v>
      </c>
      <c r="P253" t="s">
        <v>383</v>
      </c>
      <c r="Q253" t="s">
        <v>383</v>
      </c>
      <c r="R253">
        <v>6</v>
      </c>
      <c r="S253">
        <v>0.48</v>
      </c>
      <c r="T253">
        <v>60</v>
      </c>
      <c r="U253">
        <v>0.7468333333333333</v>
      </c>
      <c r="V253">
        <v>3.5816</v>
      </c>
      <c r="W253">
        <v>4</v>
      </c>
      <c r="X253">
        <v>1.92</v>
      </c>
      <c r="Y253">
        <v>-0.238184</v>
      </c>
      <c r="Z253">
        <v>0.5818181818181818</v>
      </c>
      <c r="AA253">
        <v>0.3542673107890499</v>
      </c>
      <c r="AB253">
        <v>0.6463022508038585</v>
      </c>
      <c r="AC253">
        <v>0.8971061093247589</v>
      </c>
      <c r="AD253">
        <v>0.9340836012861736</v>
      </c>
    </row>
    <row r="254" spans="1:30">
      <c r="A254" s="1" t="s">
        <v>261</v>
      </c>
      <c r="B254">
        <f>HYPERLINK("https://www.suredividend.com/sure-analysis-SAXPY/","Sampo Oyj")</f>
        <v>0</v>
      </c>
      <c r="C254">
        <v>18.78</v>
      </c>
      <c r="D254">
        <v>20813.94912</v>
      </c>
      <c r="E254" t="s">
        <v>664</v>
      </c>
      <c r="F254" t="s">
        <v>631</v>
      </c>
      <c r="G254" t="s">
        <v>683</v>
      </c>
      <c r="H254" t="s">
        <v>700</v>
      </c>
      <c r="I254" t="s">
        <v>955</v>
      </c>
      <c r="J254" t="s">
        <v>1311</v>
      </c>
      <c r="K254">
        <v>43974</v>
      </c>
      <c r="L254">
        <v>0.109510117145899</v>
      </c>
      <c r="M254">
        <v>0.06722392333735083</v>
      </c>
      <c r="N254">
        <v>0.046</v>
      </c>
      <c r="O254">
        <v>0.1511006617765147</v>
      </c>
      <c r="P254" t="s">
        <v>383</v>
      </c>
      <c r="Q254" t="s">
        <v>635</v>
      </c>
      <c r="R254">
        <v>0</v>
      </c>
      <c r="S254">
        <v>0.1338932291666667</v>
      </c>
      <c r="T254">
        <v>26</v>
      </c>
      <c r="U254">
        <v>0.7223076923076923</v>
      </c>
      <c r="V254">
        <v>0.9174</v>
      </c>
      <c r="W254">
        <v>15.36</v>
      </c>
      <c r="X254">
        <v>2.0566</v>
      </c>
      <c r="Y254">
        <v>-0.199147</v>
      </c>
      <c r="Z254">
        <v>0.8925619834710744</v>
      </c>
      <c r="AA254">
        <v>0.4041867954911433</v>
      </c>
      <c r="AB254">
        <v>0.4445337620578778</v>
      </c>
      <c r="AC254">
        <v>0.9180064308681672</v>
      </c>
      <c r="AD254">
        <v>0.927652733118971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30.66</v>
      </c>
      <c r="D255">
        <v>62089.566</v>
      </c>
      <c r="E255" t="s">
        <v>660</v>
      </c>
      <c r="F255" t="s">
        <v>631</v>
      </c>
      <c r="G255" t="s">
        <v>671</v>
      </c>
      <c r="H255" t="s">
        <v>699</v>
      </c>
      <c r="I255" t="s">
        <v>956</v>
      </c>
      <c r="J255" t="s">
        <v>1316</v>
      </c>
      <c r="K255">
        <v>43973</v>
      </c>
      <c r="L255">
        <v>0.07409411075715901</v>
      </c>
      <c r="M255">
        <v>0.0383073174583668</v>
      </c>
      <c r="N255">
        <v>0.05</v>
      </c>
      <c r="O255">
        <v>0.1467155455284628</v>
      </c>
      <c r="P255" t="s">
        <v>383</v>
      </c>
      <c r="Q255" t="s">
        <v>635</v>
      </c>
      <c r="R255">
        <v>11</v>
      </c>
      <c r="S255">
        <v>0.6842546493417169</v>
      </c>
      <c r="T255">
        <v>37</v>
      </c>
      <c r="U255">
        <v>0.8286486486486486</v>
      </c>
      <c r="V255">
        <v>0.752</v>
      </c>
      <c r="W255">
        <v>3.32</v>
      </c>
      <c r="X255">
        <v>2.2717254358145</v>
      </c>
      <c r="Y255">
        <v>-0.155139</v>
      </c>
      <c r="Z255">
        <v>0.803305785123967</v>
      </c>
      <c r="AA255">
        <v>0.4669887278582931</v>
      </c>
      <c r="AB255">
        <v>0.5160771704180064</v>
      </c>
      <c r="AC255">
        <v>0.8135048231511255</v>
      </c>
      <c r="AD255">
        <v>0.9180064308681672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41.67</v>
      </c>
      <c r="D256">
        <v>50477.3712</v>
      </c>
      <c r="E256" t="s">
        <v>668</v>
      </c>
      <c r="F256" t="s">
        <v>631</v>
      </c>
      <c r="G256" t="s">
        <v>671</v>
      </c>
      <c r="H256" t="s">
        <v>699</v>
      </c>
      <c r="I256" t="s">
        <v>957</v>
      </c>
      <c r="J256" t="s">
        <v>1311</v>
      </c>
      <c r="K256">
        <v>44000</v>
      </c>
      <c r="L256">
        <v>0.06411752009664901</v>
      </c>
      <c r="M256">
        <v>0.07919833569830548</v>
      </c>
      <c r="N256">
        <v>0.02</v>
      </c>
      <c r="O256">
        <v>0.1466996614589275</v>
      </c>
      <c r="P256" t="s">
        <v>383</v>
      </c>
      <c r="Q256" t="s">
        <v>635</v>
      </c>
      <c r="R256">
        <v>9</v>
      </c>
      <c r="S256">
        <v>0.7086941810152202</v>
      </c>
      <c r="T256">
        <v>61</v>
      </c>
      <c r="U256">
        <v>0.6831147540983606</v>
      </c>
      <c r="V256">
        <v>4.6191</v>
      </c>
      <c r="W256">
        <v>3.77</v>
      </c>
      <c r="X256">
        <v>2.67177706242738</v>
      </c>
      <c r="Y256">
        <v>-0.217318</v>
      </c>
      <c r="Z256">
        <v>0.7520661157024793</v>
      </c>
      <c r="AA256">
        <v>0.3848631239935588</v>
      </c>
      <c r="AB256">
        <v>0.157556270096463</v>
      </c>
      <c r="AC256">
        <v>0.9469453376205788</v>
      </c>
      <c r="AD256">
        <v>0.9163987138263665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64.14</v>
      </c>
      <c r="D257">
        <v>25335.3</v>
      </c>
      <c r="E257" t="s">
        <v>659</v>
      </c>
      <c r="F257" t="s">
        <v>631</v>
      </c>
      <c r="G257" t="s">
        <v>670</v>
      </c>
      <c r="H257" t="s">
        <v>699</v>
      </c>
      <c r="I257" t="s">
        <v>958</v>
      </c>
      <c r="J257" t="s">
        <v>1311</v>
      </c>
      <c r="K257">
        <v>43958</v>
      </c>
      <c r="L257">
        <v>0.06392266916120901</v>
      </c>
      <c r="M257">
        <v>0.05543153468985262</v>
      </c>
      <c r="N257">
        <v>0.04</v>
      </c>
      <c r="O257">
        <v>0.1463509194888484</v>
      </c>
      <c r="P257" t="s">
        <v>383</v>
      </c>
      <c r="Q257" t="s">
        <v>636</v>
      </c>
      <c r="R257">
        <v>12</v>
      </c>
      <c r="S257">
        <v>0.3904761904761904</v>
      </c>
      <c r="T257">
        <v>84</v>
      </c>
      <c r="U257">
        <v>0.7635714285714286</v>
      </c>
      <c r="V257">
        <v>7.2864</v>
      </c>
      <c r="W257">
        <v>10.5</v>
      </c>
      <c r="X257">
        <v>4.1</v>
      </c>
      <c r="Y257">
        <v>-0.367705</v>
      </c>
      <c r="Z257">
        <v>0.747107438016529</v>
      </c>
      <c r="AA257">
        <v>0.1948470209339775</v>
      </c>
      <c r="AB257">
        <v>0.3794212218649518</v>
      </c>
      <c r="AC257">
        <v>0.8762057877813505</v>
      </c>
      <c r="AD257">
        <v>0.9147909967845659</v>
      </c>
    </row>
    <row r="258" spans="1:30">
      <c r="A258" s="1" t="s">
        <v>265</v>
      </c>
      <c r="B258">
        <f>HYPERLINK("https://www.suredividend.com/sure-analysis-TAP/","Molson Coors Beverage Co.")</f>
        <v>0</v>
      </c>
      <c r="C258">
        <v>36.08</v>
      </c>
      <c r="D258">
        <v>7814.344767</v>
      </c>
      <c r="E258" t="s">
        <v>659</v>
      </c>
      <c r="F258" t="s">
        <v>631</v>
      </c>
      <c r="G258" t="s">
        <v>670</v>
      </c>
      <c r="H258" t="s">
        <v>699</v>
      </c>
      <c r="I258" t="s">
        <v>959</v>
      </c>
      <c r="J258" t="s">
        <v>1318</v>
      </c>
      <c r="K258">
        <v>43958</v>
      </c>
      <c r="L258">
        <v>0.058758314855875</v>
      </c>
      <c r="M258">
        <v>0.0497799179620122</v>
      </c>
      <c r="N258">
        <v>0.05</v>
      </c>
      <c r="O258">
        <v>0.1455220729392157</v>
      </c>
      <c r="P258" t="s">
        <v>383</v>
      </c>
      <c r="Q258" t="s">
        <v>636</v>
      </c>
      <c r="R258">
        <v>1</v>
      </c>
      <c r="S258">
        <v>0.6424242424242425</v>
      </c>
      <c r="T258">
        <v>46</v>
      </c>
      <c r="U258">
        <v>0.7843478260869565</v>
      </c>
      <c r="V258">
        <v>-0.1234</v>
      </c>
      <c r="W258">
        <v>3.3</v>
      </c>
      <c r="X258">
        <v>2.12</v>
      </c>
      <c r="Y258">
        <v>-0.336643</v>
      </c>
      <c r="Z258">
        <v>0.7140495867768596</v>
      </c>
      <c r="AA258">
        <v>0.249597423510467</v>
      </c>
      <c r="AB258">
        <v>0.5160771704180064</v>
      </c>
      <c r="AC258">
        <v>0.8569131832797428</v>
      </c>
      <c r="AD258">
        <v>0.9131832797427653</v>
      </c>
    </row>
    <row r="259" spans="1:30">
      <c r="A259" s="1" t="s">
        <v>266</v>
      </c>
      <c r="B259">
        <f>HYPERLINK("https://www.suredividend.com/sure-analysis-MDP/","Meredith Corp.")</f>
        <v>0</v>
      </c>
      <c r="C259">
        <v>14.28</v>
      </c>
      <c r="D259">
        <v>648.158633</v>
      </c>
      <c r="E259" t="s">
        <v>664</v>
      </c>
      <c r="F259" t="s">
        <v>631</v>
      </c>
      <c r="G259" t="s">
        <v>670</v>
      </c>
      <c r="H259" t="s">
        <v>699</v>
      </c>
      <c r="I259" t="s">
        <v>960</v>
      </c>
      <c r="J259" t="s">
        <v>1320</v>
      </c>
      <c r="K259">
        <v>43968</v>
      </c>
      <c r="L259">
        <v>0.162464985994397</v>
      </c>
      <c r="M259">
        <v>0.1000183393520155</v>
      </c>
      <c r="N259">
        <v>0.015</v>
      </c>
      <c r="O259">
        <v>0.1425800621120301</v>
      </c>
      <c r="P259" t="s">
        <v>383</v>
      </c>
      <c r="Q259" t="s">
        <v>635</v>
      </c>
      <c r="R259">
        <v>0</v>
      </c>
      <c r="S259">
        <v>0.6186666666666666</v>
      </c>
      <c r="T259">
        <v>23</v>
      </c>
      <c r="U259">
        <v>0.6208695652173912</v>
      </c>
      <c r="V259">
        <v>-7.5414</v>
      </c>
      <c r="W259">
        <v>3.75</v>
      </c>
      <c r="X259">
        <v>2.32</v>
      </c>
      <c r="Y259">
        <v>-0.731528</v>
      </c>
      <c r="Z259">
        <v>0.9537190082644628</v>
      </c>
      <c r="AA259">
        <v>0.01127214170692432</v>
      </c>
      <c r="AB259">
        <v>0.1085209003215434</v>
      </c>
      <c r="AC259">
        <v>0.9694533762057879</v>
      </c>
      <c r="AD259">
        <v>0.9035369774919615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91.67</v>
      </c>
      <c r="D260">
        <v>28795.01372</v>
      </c>
      <c r="E260" t="s">
        <v>666</v>
      </c>
      <c r="F260" t="s">
        <v>631</v>
      </c>
      <c r="G260" t="s">
        <v>670</v>
      </c>
      <c r="H260" t="s">
        <v>699</v>
      </c>
      <c r="I260" t="s">
        <v>961</v>
      </c>
      <c r="J260" t="s">
        <v>1311</v>
      </c>
      <c r="K260">
        <v>43993</v>
      </c>
      <c r="L260">
        <v>0.022253736227773</v>
      </c>
      <c r="M260">
        <v>0.06398757483618178</v>
      </c>
      <c r="N260">
        <v>0.05</v>
      </c>
      <c r="O260">
        <v>0.1357152298436846</v>
      </c>
      <c r="P260" t="s">
        <v>383</v>
      </c>
      <c r="Q260" t="s">
        <v>300</v>
      </c>
      <c r="R260">
        <v>9</v>
      </c>
      <c r="S260">
        <v>0.1955896452540748</v>
      </c>
      <c r="T260">
        <v>125</v>
      </c>
      <c r="U260">
        <v>0.73336</v>
      </c>
      <c r="V260">
        <v>12.1218</v>
      </c>
      <c r="W260">
        <v>10.43</v>
      </c>
      <c r="X260">
        <v>2.04</v>
      </c>
      <c r="Y260">
        <v>-0.111725</v>
      </c>
      <c r="Z260">
        <v>0.2876033057851239</v>
      </c>
      <c r="AA260">
        <v>0.5297906602254429</v>
      </c>
      <c r="AB260">
        <v>0.5160771704180064</v>
      </c>
      <c r="AC260">
        <v>0.909967845659164</v>
      </c>
      <c r="AD260">
        <v>0.8810289389067525</v>
      </c>
    </row>
    <row r="261" spans="1:30">
      <c r="A261" s="1" t="s">
        <v>268</v>
      </c>
      <c r="B261">
        <f>HYPERLINK("https://www.suredividend.com/sure-analysis-BAC/","Bank of America Corp.")</f>
        <v>0</v>
      </c>
      <c r="C261">
        <v>23.22</v>
      </c>
      <c r="D261">
        <v>201447.6642</v>
      </c>
      <c r="E261" t="s">
        <v>663</v>
      </c>
      <c r="F261" t="s">
        <v>631</v>
      </c>
      <c r="G261" t="s">
        <v>670</v>
      </c>
      <c r="H261" t="s">
        <v>699</v>
      </c>
      <c r="I261" t="s">
        <v>962</v>
      </c>
      <c r="J261" t="s">
        <v>1311</v>
      </c>
      <c r="K261">
        <v>44028</v>
      </c>
      <c r="L261">
        <v>0.031007751937984</v>
      </c>
      <c r="M261">
        <v>0.04545936310054444</v>
      </c>
      <c r="N261">
        <v>0.06</v>
      </c>
      <c r="O261">
        <v>0.1345256567228428</v>
      </c>
      <c r="P261" t="s">
        <v>383</v>
      </c>
      <c r="Q261" t="s">
        <v>300</v>
      </c>
      <c r="R261">
        <v>7</v>
      </c>
      <c r="S261">
        <v>0.48</v>
      </c>
      <c r="T261">
        <v>29</v>
      </c>
      <c r="U261">
        <v>0.8006896551724138</v>
      </c>
      <c r="V261">
        <v>2.0924</v>
      </c>
      <c r="W261">
        <v>1.5</v>
      </c>
      <c r="X261">
        <v>0.72</v>
      </c>
      <c r="Y261">
        <v>-0.212347</v>
      </c>
      <c r="Z261">
        <v>0.4066115702479339</v>
      </c>
      <c r="AA261">
        <v>0.391304347826087</v>
      </c>
      <c r="AB261">
        <v>0.6463022508038585</v>
      </c>
      <c r="AC261">
        <v>0.8456591639871383</v>
      </c>
      <c r="AD261">
        <v>0.8745980707395498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35.44</v>
      </c>
      <c r="D262">
        <v>81013.866807</v>
      </c>
      <c r="E262" t="s">
        <v>660</v>
      </c>
      <c r="F262" t="s">
        <v>631</v>
      </c>
      <c r="G262" t="s">
        <v>673</v>
      </c>
      <c r="H262" t="s">
        <v>699</v>
      </c>
      <c r="I262" t="s">
        <v>963</v>
      </c>
      <c r="J262" t="s">
        <v>1318</v>
      </c>
      <c r="K262">
        <v>43992</v>
      </c>
      <c r="L262">
        <v>0.094822234762979</v>
      </c>
      <c r="M262">
        <v>0.04421948457992309</v>
      </c>
      <c r="N262">
        <v>0.03</v>
      </c>
      <c r="O262">
        <v>0.130328329510893</v>
      </c>
      <c r="P262" t="s">
        <v>383</v>
      </c>
      <c r="Q262" t="s">
        <v>635</v>
      </c>
      <c r="R262">
        <v>1</v>
      </c>
      <c r="S262">
        <v>0.7305434782608696</v>
      </c>
      <c r="T262">
        <v>44</v>
      </c>
      <c r="U262">
        <v>0.8054545454545454</v>
      </c>
      <c r="V262">
        <v>3.1856</v>
      </c>
      <c r="W262">
        <v>4.6</v>
      </c>
      <c r="X262">
        <v>3.3605</v>
      </c>
      <c r="Y262">
        <v>-0.090349</v>
      </c>
      <c r="Z262">
        <v>0.8545454545454545</v>
      </c>
      <c r="AA262">
        <v>0.5523349436392915</v>
      </c>
      <c r="AB262">
        <v>0.247588424437299</v>
      </c>
      <c r="AC262">
        <v>0.837620578778135</v>
      </c>
      <c r="AD262">
        <v>0.8617363344051446</v>
      </c>
    </row>
    <row r="263" spans="1:30">
      <c r="A263" s="1" t="s">
        <v>270</v>
      </c>
      <c r="B263">
        <f>HYPERLINK("https://www.suredividend.com/sure-analysis-BMO/","Bank of Montreal")</f>
        <v>0</v>
      </c>
      <c r="C263">
        <v>54.94</v>
      </c>
      <c r="D263">
        <v>35142.20618</v>
      </c>
      <c r="E263" t="s">
        <v>668</v>
      </c>
      <c r="F263" t="s">
        <v>631</v>
      </c>
      <c r="G263" t="s">
        <v>671</v>
      </c>
      <c r="H263" t="s">
        <v>699</v>
      </c>
      <c r="I263" t="s">
        <v>964</v>
      </c>
      <c r="J263" t="s">
        <v>1311</v>
      </c>
      <c r="K263">
        <v>43993</v>
      </c>
      <c r="L263">
        <v>0.056936844855737</v>
      </c>
      <c r="M263">
        <v>0.06984389813486769</v>
      </c>
      <c r="N263">
        <v>0.012</v>
      </c>
      <c r="O263">
        <v>0.1251119587801568</v>
      </c>
      <c r="P263" t="s">
        <v>383</v>
      </c>
      <c r="Q263" t="s">
        <v>636</v>
      </c>
      <c r="R263">
        <v>9</v>
      </c>
      <c r="S263">
        <v>0.6306673903980302</v>
      </c>
      <c r="T263">
        <v>77</v>
      </c>
      <c r="U263">
        <v>0.7135064935064934</v>
      </c>
      <c r="V263">
        <v>5.6456</v>
      </c>
      <c r="W263">
        <v>4.96</v>
      </c>
      <c r="X263">
        <v>3.12811025637423</v>
      </c>
      <c r="Y263">
        <v>-0.277295</v>
      </c>
      <c r="Z263">
        <v>0.6991735537190082</v>
      </c>
      <c r="AA263">
        <v>0.3075684380032206</v>
      </c>
      <c r="AB263">
        <v>0.09967845659163987</v>
      </c>
      <c r="AC263">
        <v>0.9212218649517685</v>
      </c>
      <c r="AD263">
        <v>0.842443729903537</v>
      </c>
    </row>
    <row r="264" spans="1:30">
      <c r="A264" s="1" t="s">
        <v>271</v>
      </c>
      <c r="B264">
        <f>HYPERLINK("https://www.suredividend.com/sure-analysis-ERF/","Enerplus Corp.")</f>
        <v>0</v>
      </c>
      <c r="C264">
        <v>2.53</v>
      </c>
      <c r="D264">
        <v>563.08692</v>
      </c>
      <c r="E264" t="s">
        <v>667</v>
      </c>
      <c r="F264" t="s">
        <v>631</v>
      </c>
      <c r="G264" t="s">
        <v>671</v>
      </c>
      <c r="H264" t="s">
        <v>699</v>
      </c>
      <c r="I264" t="s">
        <v>965</v>
      </c>
      <c r="J264" t="s">
        <v>1316</v>
      </c>
      <c r="K264">
        <v>43985</v>
      </c>
      <c r="L264">
        <v>0.035640535375468</v>
      </c>
      <c r="M264">
        <v>0.03944992168882666</v>
      </c>
      <c r="N264">
        <v>0.057</v>
      </c>
      <c r="O264">
        <v>0.122093096824569</v>
      </c>
      <c r="P264" t="s">
        <v>383</v>
      </c>
      <c r="Q264" t="s">
        <v>383</v>
      </c>
      <c r="R264">
        <v>0</v>
      </c>
      <c r="S264">
        <v>0.01761143642576836</v>
      </c>
      <c r="T264">
        <v>3.07</v>
      </c>
      <c r="U264">
        <v>0.8241042345276874</v>
      </c>
      <c r="V264">
        <v>-0.9676</v>
      </c>
      <c r="W264">
        <v>5.12</v>
      </c>
      <c r="X264">
        <v>0.09017055449993401</v>
      </c>
      <c r="Y264">
        <v>-0.6131500000000001</v>
      </c>
      <c r="Z264">
        <v>0.490909090909091</v>
      </c>
      <c r="AA264">
        <v>0.03864734299516908</v>
      </c>
      <c r="AB264">
        <v>0.6004823151125401</v>
      </c>
      <c r="AC264">
        <v>0.8167202572347267</v>
      </c>
      <c r="AD264">
        <v>0.8295819935691319</v>
      </c>
    </row>
    <row r="265" spans="1:30">
      <c r="A265" s="1" t="s">
        <v>272</v>
      </c>
      <c r="B265">
        <f>HYPERLINK("https://www.suredividend.com/sure-analysis-OPI/","Office Properties Income Trust")</f>
        <v>0</v>
      </c>
      <c r="C265">
        <v>25.5</v>
      </c>
      <c r="D265">
        <v>1229.1255</v>
      </c>
      <c r="E265" t="s">
        <v>662</v>
      </c>
      <c r="F265" t="s">
        <v>633</v>
      </c>
      <c r="G265" t="s">
        <v>670</v>
      </c>
      <c r="H265" t="s">
        <v>701</v>
      </c>
      <c r="I265" t="s">
        <v>966</v>
      </c>
      <c r="J265" t="s">
        <v>1321</v>
      </c>
      <c r="K265">
        <v>43965</v>
      </c>
      <c r="L265">
        <v>0.08627450980392101</v>
      </c>
      <c r="M265">
        <v>0.04645837861673296</v>
      </c>
      <c r="N265">
        <v>0.01</v>
      </c>
      <c r="O265">
        <v>0.1184636122696152</v>
      </c>
      <c r="P265" t="s">
        <v>383</v>
      </c>
      <c r="Q265" t="s">
        <v>636</v>
      </c>
      <c r="R265">
        <v>1</v>
      </c>
      <c r="S265">
        <v>0.4150943396226416</v>
      </c>
      <c r="T265">
        <v>32</v>
      </c>
      <c r="U265">
        <v>0.796875</v>
      </c>
      <c r="V265">
        <v>0.1475</v>
      </c>
      <c r="W265">
        <v>5.3</v>
      </c>
      <c r="X265">
        <v>2.2</v>
      </c>
      <c r="Y265">
        <v>-0.037373</v>
      </c>
      <c r="Z265">
        <v>0.8380165289256198</v>
      </c>
      <c r="AA265">
        <v>0.6473429951690821</v>
      </c>
      <c r="AB265">
        <v>0.0819935691318328</v>
      </c>
      <c r="AC265">
        <v>0.8504823151125401</v>
      </c>
      <c r="AD265">
        <v>0.8183279742765274</v>
      </c>
    </row>
    <row r="266" spans="1:30">
      <c r="A266" s="1" t="s">
        <v>273</v>
      </c>
      <c r="B266">
        <f>HYPERLINK("https://www.suredividend.com/sure-analysis-MSM/","MSC Industrial Direct Co., Inc.")</f>
        <v>0</v>
      </c>
      <c r="C266">
        <v>66.7</v>
      </c>
      <c r="D266">
        <v>3707.209745</v>
      </c>
      <c r="E266" t="s">
        <v>666</v>
      </c>
      <c r="F266" t="s">
        <v>631</v>
      </c>
      <c r="G266" t="s">
        <v>670</v>
      </c>
      <c r="H266" t="s">
        <v>699</v>
      </c>
      <c r="I266" t="s">
        <v>967</v>
      </c>
      <c r="J266" t="s">
        <v>1313</v>
      </c>
      <c r="K266">
        <v>43971</v>
      </c>
      <c r="L266">
        <v>0.044977511244377</v>
      </c>
      <c r="M266">
        <v>0.01821479980672103</v>
      </c>
      <c r="N266">
        <v>0.06</v>
      </c>
      <c r="O266">
        <v>0.115294318236614</v>
      </c>
      <c r="P266" t="s">
        <v>383</v>
      </c>
      <c r="Q266" t="s">
        <v>636</v>
      </c>
      <c r="R266">
        <v>16</v>
      </c>
      <c r="S266">
        <v>0.7263922518159807</v>
      </c>
      <c r="T266">
        <v>73</v>
      </c>
      <c r="U266">
        <v>0.9136986301369864</v>
      </c>
      <c r="V266">
        <v>4.789</v>
      </c>
      <c r="W266">
        <v>4.13</v>
      </c>
      <c r="X266">
        <v>3</v>
      </c>
      <c r="Y266">
        <v>-0.052153</v>
      </c>
      <c r="Z266">
        <v>0.6016528925619835</v>
      </c>
      <c r="AA266">
        <v>0.6199677938808373</v>
      </c>
      <c r="AB266">
        <v>0.6463022508038585</v>
      </c>
      <c r="AC266">
        <v>0.7090032154340836</v>
      </c>
      <c r="AD266">
        <v>0.8086816720257235</v>
      </c>
    </row>
    <row r="267" spans="1:30">
      <c r="A267" s="1" t="s">
        <v>274</v>
      </c>
      <c r="B267">
        <f>HYPERLINK("https://www.suredividend.com/sure-analysis-MCY/","Mercury General Corp.")</f>
        <v>0</v>
      </c>
      <c r="C267">
        <v>40.95</v>
      </c>
      <c r="D267">
        <v>2266.9101</v>
      </c>
      <c r="E267" t="s">
        <v>660</v>
      </c>
      <c r="F267" t="s">
        <v>631</v>
      </c>
      <c r="G267" t="s">
        <v>670</v>
      </c>
      <c r="H267" t="s">
        <v>699</v>
      </c>
      <c r="I267" t="s">
        <v>968</v>
      </c>
      <c r="J267" t="s">
        <v>1311</v>
      </c>
      <c r="K267">
        <v>43955</v>
      </c>
      <c r="L267">
        <v>0.061416361416361</v>
      </c>
      <c r="M267">
        <v>0.05294186284116886</v>
      </c>
      <c r="N267">
        <v>0.015</v>
      </c>
      <c r="O267">
        <v>0.1127924974086403</v>
      </c>
      <c r="P267" t="s">
        <v>383</v>
      </c>
      <c r="Q267" t="s">
        <v>636</v>
      </c>
      <c r="R267">
        <v>32</v>
      </c>
      <c r="S267">
        <v>0.7185714285714286</v>
      </c>
      <c r="T267">
        <v>53</v>
      </c>
      <c r="U267">
        <v>0.7726415094339624</v>
      </c>
      <c r="V267">
        <v>0.8134</v>
      </c>
      <c r="W267">
        <v>3.5</v>
      </c>
      <c r="X267">
        <v>2.515</v>
      </c>
      <c r="Y267">
        <v>-0.35593</v>
      </c>
      <c r="Z267">
        <v>0.7305785123966941</v>
      </c>
      <c r="AA267">
        <v>0.2093397745571659</v>
      </c>
      <c r="AB267">
        <v>0.1085209003215434</v>
      </c>
      <c r="AC267">
        <v>0.8713826366559485</v>
      </c>
      <c r="AD267">
        <v>0.7926045016077171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47.62</v>
      </c>
      <c r="D268">
        <v>2292.279178</v>
      </c>
      <c r="E268" t="s">
        <v>663</v>
      </c>
      <c r="F268" t="s">
        <v>631</v>
      </c>
      <c r="G268" t="s">
        <v>670</v>
      </c>
      <c r="H268" t="s">
        <v>701</v>
      </c>
      <c r="I268" t="s">
        <v>969</v>
      </c>
      <c r="J268" t="s">
        <v>1311</v>
      </c>
      <c r="K268">
        <v>43953</v>
      </c>
      <c r="L268">
        <v>0.025619487610247</v>
      </c>
      <c r="M268">
        <v>0.07067357061530655</v>
      </c>
      <c r="N268">
        <v>0.02</v>
      </c>
      <c r="O268">
        <v>0.11143213559793</v>
      </c>
      <c r="P268" t="s">
        <v>383</v>
      </c>
      <c r="Q268" t="s">
        <v>300</v>
      </c>
      <c r="R268">
        <v>28</v>
      </c>
      <c r="S268">
        <v>0.5083333333333333</v>
      </c>
      <c r="T268">
        <v>67</v>
      </c>
      <c r="U268">
        <v>0.7107462686567164</v>
      </c>
      <c r="V268">
        <v>3.7377</v>
      </c>
      <c r="W268">
        <v>2.4</v>
      </c>
      <c r="X268">
        <v>1.22</v>
      </c>
      <c r="Y268">
        <v>-0.257909</v>
      </c>
      <c r="Z268">
        <v>0.3404958677685951</v>
      </c>
      <c r="AA268">
        <v>0.3252818035426731</v>
      </c>
      <c r="AB268">
        <v>0.157556270096463</v>
      </c>
      <c r="AC268">
        <v>0.9292604501607716</v>
      </c>
      <c r="AD268">
        <v>0.7797427652733119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43.45</v>
      </c>
      <c r="D269">
        <v>18052.692552</v>
      </c>
      <c r="E269" t="s">
        <v>668</v>
      </c>
      <c r="F269" t="s">
        <v>632</v>
      </c>
      <c r="G269" t="s">
        <v>679</v>
      </c>
      <c r="H269" t="s">
        <v>699</v>
      </c>
      <c r="I269" t="s">
        <v>970</v>
      </c>
      <c r="J269" t="s">
        <v>1315</v>
      </c>
      <c r="K269">
        <v>43964</v>
      </c>
      <c r="L269">
        <v>0.047065592635212</v>
      </c>
      <c r="M269">
        <v>-0.006765258584785605</v>
      </c>
      <c r="N269">
        <v>0.08</v>
      </c>
      <c r="O269">
        <v>0.1113030951318157</v>
      </c>
      <c r="P269" t="s">
        <v>383</v>
      </c>
      <c r="Q269" t="s">
        <v>636</v>
      </c>
      <c r="R269">
        <v>12</v>
      </c>
      <c r="S269">
        <v>0.7076124567474048</v>
      </c>
      <c r="T269">
        <v>42</v>
      </c>
      <c r="U269">
        <v>1.03452380952381</v>
      </c>
      <c r="V269">
        <v>0.2132</v>
      </c>
      <c r="W269">
        <v>2.89</v>
      </c>
      <c r="X269">
        <v>2.045</v>
      </c>
      <c r="Y269">
        <v>0.09983</v>
      </c>
      <c r="Z269">
        <v>0.628099173553719</v>
      </c>
      <c r="AA269">
        <v>0.7971014492753623</v>
      </c>
      <c r="AB269">
        <v>0.8127009646302251</v>
      </c>
      <c r="AC269">
        <v>0.5691318327974276</v>
      </c>
      <c r="AD269">
        <v>0.7765273311897105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36.12</v>
      </c>
      <c r="D270">
        <v>31997.33544</v>
      </c>
      <c r="E270" t="s">
        <v>663</v>
      </c>
      <c r="F270" t="s">
        <v>631</v>
      </c>
      <c r="G270" t="s">
        <v>670</v>
      </c>
      <c r="H270" t="s">
        <v>699</v>
      </c>
      <c r="I270" t="s">
        <v>971</v>
      </c>
      <c r="J270" t="s">
        <v>1311</v>
      </c>
      <c r="K270">
        <v>44028</v>
      </c>
      <c r="L270">
        <v>0.034330011074197</v>
      </c>
      <c r="M270">
        <v>0.04025781458810163</v>
      </c>
      <c r="N270">
        <v>0.04</v>
      </c>
      <c r="O270">
        <v>0.1102897947108974</v>
      </c>
      <c r="P270" t="s">
        <v>383</v>
      </c>
      <c r="Q270" t="s">
        <v>383</v>
      </c>
      <c r="R270">
        <v>9</v>
      </c>
      <c r="S270">
        <v>0.3220779220779221</v>
      </c>
      <c r="T270">
        <v>44</v>
      </c>
      <c r="U270">
        <v>0.8209090909090908</v>
      </c>
      <c r="V270">
        <v>4.6561</v>
      </c>
      <c r="W270">
        <v>3.85</v>
      </c>
      <c r="X270">
        <v>1.24</v>
      </c>
      <c r="Y270">
        <v>-0.194828</v>
      </c>
      <c r="Z270">
        <v>0.4661157024793388</v>
      </c>
      <c r="AA270">
        <v>0.4170692431561996</v>
      </c>
      <c r="AB270">
        <v>0.3794212218649518</v>
      </c>
      <c r="AC270">
        <v>0.819935691318328</v>
      </c>
      <c r="AD270">
        <v>0.7733118971061093</v>
      </c>
    </row>
    <row r="271" spans="1:30">
      <c r="A271" s="1" t="s">
        <v>278</v>
      </c>
      <c r="B271">
        <f>HYPERLINK("https://www.suredividend.com/sure-analysis-CM/","Canadian Imperial Bank of Commerce")</f>
        <v>0</v>
      </c>
      <c r="C271">
        <v>68.97</v>
      </c>
      <c r="D271">
        <v>30696.75378</v>
      </c>
      <c r="E271" t="s">
        <v>668</v>
      </c>
      <c r="F271" t="s">
        <v>631</v>
      </c>
      <c r="G271" t="s">
        <v>671</v>
      </c>
      <c r="H271" t="s">
        <v>699</v>
      </c>
      <c r="I271" t="s">
        <v>972</v>
      </c>
      <c r="J271" t="s">
        <v>1311</v>
      </c>
      <c r="K271">
        <v>44007</v>
      </c>
      <c r="L271">
        <v>0.06227899782425501</v>
      </c>
      <c r="M271">
        <v>0.04512357682705881</v>
      </c>
      <c r="N271">
        <v>0.012</v>
      </c>
      <c r="O271">
        <v>0.1071523558240774</v>
      </c>
      <c r="P271" t="s">
        <v>383</v>
      </c>
      <c r="Q271" t="s">
        <v>635</v>
      </c>
      <c r="R271">
        <v>9</v>
      </c>
      <c r="S271">
        <v>0.6785754312699716</v>
      </c>
      <c r="T271">
        <v>86</v>
      </c>
      <c r="U271">
        <v>0.8019767441860465</v>
      </c>
      <c r="V271">
        <v>6.8708</v>
      </c>
      <c r="W271">
        <v>6.33</v>
      </c>
      <c r="X271">
        <v>4.29538247993892</v>
      </c>
      <c r="Y271">
        <v>-0.121737</v>
      </c>
      <c r="Z271">
        <v>0.7371900826446282</v>
      </c>
      <c r="AA271">
        <v>0.5120772946859904</v>
      </c>
      <c r="AB271">
        <v>0.09967845659163987</v>
      </c>
      <c r="AC271">
        <v>0.842443729903537</v>
      </c>
      <c r="AD271">
        <v>0.7572347266881029</v>
      </c>
    </row>
    <row r="272" spans="1:30">
      <c r="A272" s="1" t="s">
        <v>279</v>
      </c>
      <c r="B272">
        <f>HYPERLINK("https://www.suredividend.com/sure-analysis-ORI/","Old Republic International Corp.")</f>
        <v>0</v>
      </c>
      <c r="C272">
        <v>16.94</v>
      </c>
      <c r="D272">
        <v>5149.64142</v>
      </c>
      <c r="E272" t="s">
        <v>663</v>
      </c>
      <c r="F272" t="s">
        <v>631</v>
      </c>
      <c r="G272" t="s">
        <v>670</v>
      </c>
      <c r="H272" t="s">
        <v>699</v>
      </c>
      <c r="I272" t="s">
        <v>973</v>
      </c>
      <c r="J272" t="s">
        <v>1311</v>
      </c>
      <c r="K272">
        <v>43948</v>
      </c>
      <c r="L272">
        <v>0.047815820543093</v>
      </c>
      <c r="M272">
        <v>0.02321768791047241</v>
      </c>
      <c r="N272">
        <v>0.04</v>
      </c>
      <c r="O272">
        <v>0.1051577718929504</v>
      </c>
      <c r="P272" t="s">
        <v>383</v>
      </c>
      <c r="Q272" t="s">
        <v>636</v>
      </c>
      <c r="R272">
        <v>39</v>
      </c>
      <c r="S272">
        <v>0.5225806451612903</v>
      </c>
      <c r="T272">
        <v>19</v>
      </c>
      <c r="U272">
        <v>0.8915789473684211</v>
      </c>
      <c r="V272">
        <v>0.1338</v>
      </c>
      <c r="W272">
        <v>1.55</v>
      </c>
      <c r="X272">
        <v>0.8100000000000001</v>
      </c>
      <c r="Y272">
        <v>-0.268882</v>
      </c>
      <c r="Z272">
        <v>0.6363636363636364</v>
      </c>
      <c r="AA272">
        <v>0.3156199677938809</v>
      </c>
      <c r="AB272">
        <v>0.3794212218649518</v>
      </c>
      <c r="AC272">
        <v>0.7379421221864952</v>
      </c>
      <c r="AD272">
        <v>0.7508038585209004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45.39</v>
      </c>
      <c r="D273">
        <v>81838.17</v>
      </c>
      <c r="E273" t="s">
        <v>668</v>
      </c>
      <c r="F273" t="s">
        <v>631</v>
      </c>
      <c r="G273" t="s">
        <v>671</v>
      </c>
      <c r="H273" t="s">
        <v>699</v>
      </c>
      <c r="I273" t="s">
        <v>974</v>
      </c>
      <c r="J273" t="s">
        <v>1311</v>
      </c>
      <c r="K273">
        <v>44007</v>
      </c>
      <c r="L273">
        <v>0.049606862301888</v>
      </c>
      <c r="M273">
        <v>0.05025210863972118</v>
      </c>
      <c r="N273">
        <v>0.012</v>
      </c>
      <c r="O273">
        <v>0.1034441056935644</v>
      </c>
      <c r="P273" t="s">
        <v>383</v>
      </c>
      <c r="Q273" t="s">
        <v>636</v>
      </c>
      <c r="R273">
        <v>9</v>
      </c>
      <c r="S273">
        <v>0.6342691492627353</v>
      </c>
      <c r="T273">
        <v>58</v>
      </c>
      <c r="U273">
        <v>0.7825862068965518</v>
      </c>
      <c r="V273">
        <v>4.2848</v>
      </c>
      <c r="W273">
        <v>3.55</v>
      </c>
      <c r="X273">
        <v>2.25165547988271</v>
      </c>
      <c r="Y273">
        <v>-0.23185</v>
      </c>
      <c r="Z273">
        <v>0.652892561983471</v>
      </c>
      <c r="AA273">
        <v>0.3655394524959742</v>
      </c>
      <c r="AB273">
        <v>0.09967845659163987</v>
      </c>
      <c r="AC273">
        <v>0.8585209003215434</v>
      </c>
      <c r="AD273">
        <v>0.7427652733118971</v>
      </c>
    </row>
    <row r="274" spans="1:30">
      <c r="A274" s="1" t="s">
        <v>281</v>
      </c>
      <c r="B274">
        <f>HYPERLINK("https://www.suredividend.com/sure-analysis-CNA/","CNA Financial Corp.")</f>
        <v>0</v>
      </c>
      <c r="C274">
        <v>33.65</v>
      </c>
      <c r="D274">
        <v>9131.8024</v>
      </c>
      <c r="E274" t="s">
        <v>659</v>
      </c>
      <c r="F274" t="s">
        <v>631</v>
      </c>
      <c r="G274" t="s">
        <v>670</v>
      </c>
      <c r="H274" t="s">
        <v>699</v>
      </c>
      <c r="I274" t="s">
        <v>975</v>
      </c>
      <c r="J274" t="s">
        <v>1311</v>
      </c>
      <c r="K274">
        <v>43958</v>
      </c>
      <c r="L274">
        <v>0.042199108469539</v>
      </c>
      <c r="M274">
        <v>0.02461263155584947</v>
      </c>
      <c r="N274">
        <v>0.04</v>
      </c>
      <c r="O274">
        <v>0.1015145294403239</v>
      </c>
      <c r="P274" t="s">
        <v>383</v>
      </c>
      <c r="Q274" t="s">
        <v>383</v>
      </c>
      <c r="R274">
        <v>4</v>
      </c>
      <c r="S274">
        <v>0.44375</v>
      </c>
      <c r="T274">
        <v>38</v>
      </c>
      <c r="U274">
        <v>0.8855263157894736</v>
      </c>
      <c r="V274">
        <v>2.1984</v>
      </c>
      <c r="W274">
        <v>3.2</v>
      </c>
      <c r="X274">
        <v>1.42</v>
      </c>
      <c r="Y274">
        <v>-0.297788</v>
      </c>
      <c r="Z274">
        <v>0.5735537190082645</v>
      </c>
      <c r="AA274">
        <v>0.2882447665056361</v>
      </c>
      <c r="AB274">
        <v>0.3794212218649518</v>
      </c>
      <c r="AC274">
        <v>0.7443729903536977</v>
      </c>
      <c r="AD274">
        <v>0.7250803858520901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17.55</v>
      </c>
      <c r="D275">
        <v>25095.798</v>
      </c>
      <c r="E275" t="s">
        <v>660</v>
      </c>
      <c r="F275" t="s">
        <v>631</v>
      </c>
      <c r="G275" t="s">
        <v>670</v>
      </c>
      <c r="H275" t="s">
        <v>699</v>
      </c>
      <c r="I275" t="s">
        <v>976</v>
      </c>
      <c r="J275" t="s">
        <v>1317</v>
      </c>
      <c r="K275">
        <v>43986</v>
      </c>
      <c r="L275">
        <v>0.038336182336182</v>
      </c>
      <c r="M275">
        <v>0.0160037152085295</v>
      </c>
      <c r="N275">
        <v>0.05</v>
      </c>
      <c r="O275">
        <v>0.1013714836319011</v>
      </c>
      <c r="P275" t="s">
        <v>383</v>
      </c>
      <c r="Q275" t="s">
        <v>383</v>
      </c>
      <c r="R275">
        <v>9</v>
      </c>
      <c r="S275">
        <v>0.3129302325581396</v>
      </c>
      <c r="T275">
        <v>19</v>
      </c>
      <c r="U275">
        <v>0.9236842105263158</v>
      </c>
      <c r="V275">
        <v>2.0516</v>
      </c>
      <c r="W275">
        <v>2.15</v>
      </c>
      <c r="X275">
        <v>0.6728000000000001</v>
      </c>
      <c r="Y275">
        <v>-0.179139</v>
      </c>
      <c r="Z275">
        <v>0.5256198347107438</v>
      </c>
      <c r="AA275">
        <v>0.4380032206119163</v>
      </c>
      <c r="AB275">
        <v>0.5160771704180064</v>
      </c>
      <c r="AC275">
        <v>0.6945337620578778</v>
      </c>
      <c r="AD275">
        <v>0.7234726688102895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39.18</v>
      </c>
      <c r="D276">
        <v>1583.530224</v>
      </c>
      <c r="E276" t="s">
        <v>669</v>
      </c>
      <c r="F276" t="s">
        <v>631</v>
      </c>
      <c r="G276" t="s">
        <v>670</v>
      </c>
      <c r="H276" t="s">
        <v>701</v>
      </c>
      <c r="I276" t="s">
        <v>977</v>
      </c>
      <c r="J276" t="s">
        <v>1315</v>
      </c>
      <c r="K276">
        <v>44012</v>
      </c>
      <c r="L276">
        <v>0.036242981112812</v>
      </c>
      <c r="M276">
        <v>0.02347596662012852</v>
      </c>
      <c r="N276">
        <v>0.046</v>
      </c>
      <c r="O276">
        <v>0.1008458411745008</v>
      </c>
      <c r="P276" t="s">
        <v>383</v>
      </c>
      <c r="Q276" t="s">
        <v>383</v>
      </c>
      <c r="R276">
        <v>7</v>
      </c>
      <c r="S276">
        <v>0.6396396396396395</v>
      </c>
      <c r="T276">
        <v>44</v>
      </c>
      <c r="U276">
        <v>0.8904545454545455</v>
      </c>
      <c r="V276">
        <v>2.1263</v>
      </c>
      <c r="W276">
        <v>2.22</v>
      </c>
      <c r="X276">
        <v>1.42</v>
      </c>
      <c r="Y276">
        <v>-0.25711</v>
      </c>
      <c r="Z276">
        <v>0.5008264462809917</v>
      </c>
      <c r="AA276">
        <v>0.3285024154589372</v>
      </c>
      <c r="AB276">
        <v>0.4445337620578778</v>
      </c>
      <c r="AC276">
        <v>0.7395498392282959</v>
      </c>
      <c r="AD276">
        <v>0.7170418006430869</v>
      </c>
    </row>
    <row r="277" spans="1:30">
      <c r="A277" s="1" t="s">
        <v>284</v>
      </c>
      <c r="B277">
        <f>HYPERLINK("https://www.suredividend.com/sure-analysis-YUM/","Yum! Brands, Inc.")</f>
        <v>0</v>
      </c>
      <c r="C277">
        <v>90.56999999999999</v>
      </c>
      <c r="D277">
        <v>27260.30202</v>
      </c>
      <c r="E277" t="s">
        <v>662</v>
      </c>
      <c r="F277" t="s">
        <v>631</v>
      </c>
      <c r="G277" t="s">
        <v>670</v>
      </c>
      <c r="H277" t="s">
        <v>699</v>
      </c>
      <c r="I277" t="s">
        <v>978</v>
      </c>
      <c r="J277" t="s">
        <v>1312</v>
      </c>
      <c r="K277">
        <v>43955</v>
      </c>
      <c r="L277">
        <v>0.019101247653748</v>
      </c>
      <c r="M277">
        <v>-0.05850485032647101</v>
      </c>
      <c r="N277">
        <v>0.15</v>
      </c>
      <c r="O277">
        <v>0.1002143112570963</v>
      </c>
      <c r="P277" t="s">
        <v>383</v>
      </c>
      <c r="Q277" t="s">
        <v>300</v>
      </c>
      <c r="R277">
        <v>3</v>
      </c>
      <c r="S277">
        <v>0.6178571428571429</v>
      </c>
      <c r="T277">
        <v>67</v>
      </c>
      <c r="U277">
        <v>1.351791044776119</v>
      </c>
      <c r="V277">
        <v>3.6587</v>
      </c>
      <c r="W277">
        <v>2.8</v>
      </c>
      <c r="X277">
        <v>1.73</v>
      </c>
      <c r="Y277">
        <v>-0.198921</v>
      </c>
      <c r="Z277">
        <v>0.2264462809917355</v>
      </c>
      <c r="AA277">
        <v>0.4074074074074074</v>
      </c>
      <c r="AB277">
        <v>0.9766881028938907</v>
      </c>
      <c r="AC277">
        <v>0.2347266881028939</v>
      </c>
      <c r="AD277">
        <v>0.7138263665594856</v>
      </c>
    </row>
    <row r="278" spans="1:30">
      <c r="A278" s="1" t="s">
        <v>285</v>
      </c>
      <c r="B278">
        <f>HYPERLINK("https://www.suredividend.com/sure-analysis-LEG/","Leggett &amp; Platt, Inc.")</f>
        <v>0</v>
      </c>
      <c r="C278">
        <v>36.54</v>
      </c>
      <c r="D278">
        <v>4834.242</v>
      </c>
      <c r="E278" t="s">
        <v>660</v>
      </c>
      <c r="F278" t="s">
        <v>631</v>
      </c>
      <c r="G278" t="s">
        <v>670</v>
      </c>
      <c r="H278" t="s">
        <v>699</v>
      </c>
      <c r="I278" t="s">
        <v>979</v>
      </c>
      <c r="J278" t="s">
        <v>1312</v>
      </c>
      <c r="K278">
        <v>43963</v>
      </c>
      <c r="L278">
        <v>0.043787629994526</v>
      </c>
      <c r="M278">
        <v>0.007866501363978928</v>
      </c>
      <c r="N278">
        <v>0.05</v>
      </c>
      <c r="O278">
        <v>0.09499367597534625</v>
      </c>
      <c r="P278" t="s">
        <v>383</v>
      </c>
      <c r="Q278" t="s">
        <v>383</v>
      </c>
      <c r="R278">
        <v>47</v>
      </c>
      <c r="S278">
        <v>1.230769230769231</v>
      </c>
      <c r="T278">
        <v>38</v>
      </c>
      <c r="U278">
        <v>0.961578947368421</v>
      </c>
      <c r="V278">
        <v>2.3578</v>
      </c>
      <c r="W278">
        <v>1.3</v>
      </c>
      <c r="X278">
        <v>1.6</v>
      </c>
      <c r="Y278">
        <v>-0.075873</v>
      </c>
      <c r="Z278">
        <v>0.5867768595041322</v>
      </c>
      <c r="AA278">
        <v>0.5877616747181965</v>
      </c>
      <c r="AB278">
        <v>0.5160771704180064</v>
      </c>
      <c r="AC278">
        <v>0.6495176848874599</v>
      </c>
      <c r="AD278">
        <v>0.6848874598070739</v>
      </c>
    </row>
    <row r="279" spans="1:30">
      <c r="A279" s="1" t="s">
        <v>286</v>
      </c>
      <c r="B279">
        <f>HYPERLINK("https://www.suredividend.com/sure-analysis-VTR/","Ventas, Inc.")</f>
        <v>0</v>
      </c>
      <c r="C279">
        <v>36.15</v>
      </c>
      <c r="D279">
        <v>13486.66125</v>
      </c>
      <c r="E279" t="s">
        <v>662</v>
      </c>
      <c r="F279" t="s">
        <v>633</v>
      </c>
      <c r="G279" t="s">
        <v>670</v>
      </c>
      <c r="H279" t="s">
        <v>699</v>
      </c>
      <c r="I279" t="s">
        <v>980</v>
      </c>
      <c r="J279" t="s">
        <v>1321</v>
      </c>
      <c r="K279">
        <v>43969</v>
      </c>
      <c r="L279">
        <v>0.08769017980636201</v>
      </c>
      <c r="M279">
        <v>0.004659012413455343</v>
      </c>
      <c r="N279">
        <v>0.02</v>
      </c>
      <c r="O279">
        <v>0.09496900898190908</v>
      </c>
      <c r="P279" t="s">
        <v>383</v>
      </c>
      <c r="Q279" t="s">
        <v>635</v>
      </c>
      <c r="R279">
        <v>18</v>
      </c>
      <c r="S279">
        <v>1.02258064516129</v>
      </c>
      <c r="T279">
        <v>37</v>
      </c>
      <c r="U279">
        <v>0.977027027027027</v>
      </c>
      <c r="V279">
        <v>2.1106</v>
      </c>
      <c r="W279">
        <v>3.1</v>
      </c>
      <c r="X279">
        <v>3.17</v>
      </c>
      <c r="Y279">
        <v>-0.475327</v>
      </c>
      <c r="Z279">
        <v>0.8429752066115702</v>
      </c>
      <c r="AA279">
        <v>0.1030595813204509</v>
      </c>
      <c r="AB279">
        <v>0.157556270096463</v>
      </c>
      <c r="AC279">
        <v>0.6270096463022508</v>
      </c>
      <c r="AD279">
        <v>0.6832797427652733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58.59</v>
      </c>
      <c r="D280">
        <v>20120.74344</v>
      </c>
      <c r="E280" t="s">
        <v>660</v>
      </c>
      <c r="F280" t="s">
        <v>633</v>
      </c>
      <c r="G280" t="s">
        <v>670</v>
      </c>
      <c r="H280" t="s">
        <v>699</v>
      </c>
      <c r="I280" t="s">
        <v>981</v>
      </c>
      <c r="J280" t="s">
        <v>1321</v>
      </c>
      <c r="K280">
        <v>43971</v>
      </c>
      <c r="L280">
        <v>0.046731524150878</v>
      </c>
      <c r="M280">
        <v>0.01461998012252352</v>
      </c>
      <c r="N280">
        <v>0.04</v>
      </c>
      <c r="O280">
        <v>0.09492342349513971</v>
      </c>
      <c r="P280" t="s">
        <v>383</v>
      </c>
      <c r="Q280" t="s">
        <v>636</v>
      </c>
      <c r="R280">
        <v>26</v>
      </c>
      <c r="S280">
        <v>0.7822857142857143</v>
      </c>
      <c r="T280">
        <v>63</v>
      </c>
      <c r="U280">
        <v>0.93</v>
      </c>
      <c r="V280">
        <v>1.4481</v>
      </c>
      <c r="W280">
        <v>3.5</v>
      </c>
      <c r="X280">
        <v>2.738</v>
      </c>
      <c r="Y280">
        <v>-0.164194</v>
      </c>
      <c r="Z280">
        <v>0.6198347107438016</v>
      </c>
      <c r="AA280">
        <v>0.4524959742351047</v>
      </c>
      <c r="AB280">
        <v>0.3794212218649518</v>
      </c>
      <c r="AC280">
        <v>0.6881028938906752</v>
      </c>
      <c r="AD280">
        <v>0.680064308681672</v>
      </c>
    </row>
    <row r="281" spans="1:30">
      <c r="A281" s="1" t="s">
        <v>288</v>
      </c>
      <c r="B281">
        <f>HYPERLINK("https://www.suredividend.com/sure-analysis-SBUX/","Starbucks Corp.")</f>
        <v>0</v>
      </c>
      <c r="C281">
        <v>74.16</v>
      </c>
      <c r="D281">
        <v>86626.296</v>
      </c>
      <c r="E281" t="s">
        <v>659</v>
      </c>
      <c r="F281" t="s">
        <v>631</v>
      </c>
      <c r="G281" t="s">
        <v>670</v>
      </c>
      <c r="H281" t="s">
        <v>701</v>
      </c>
      <c r="I281" t="s">
        <v>982</v>
      </c>
      <c r="J281" t="s">
        <v>1312</v>
      </c>
      <c r="K281">
        <v>43951</v>
      </c>
      <c r="L281">
        <v>0.02076591154261</v>
      </c>
      <c r="M281">
        <v>-0.02304436349476569</v>
      </c>
      <c r="N281">
        <v>0.1</v>
      </c>
      <c r="O281">
        <v>0.0948360933637884</v>
      </c>
      <c r="P281" t="s">
        <v>383</v>
      </c>
      <c r="Q281" t="s">
        <v>300</v>
      </c>
      <c r="R281">
        <v>10</v>
      </c>
      <c r="S281">
        <v>0.88</v>
      </c>
      <c r="T281">
        <v>66</v>
      </c>
      <c r="U281">
        <v>1.123636363636364</v>
      </c>
      <c r="V281">
        <v>2.8384</v>
      </c>
      <c r="W281">
        <v>1.75</v>
      </c>
      <c r="X281">
        <v>1.54</v>
      </c>
      <c r="Y281">
        <v>-0.189508</v>
      </c>
      <c r="Z281">
        <v>0.2578512396694215</v>
      </c>
      <c r="AA281">
        <v>0.4251207729468598</v>
      </c>
      <c r="AB281">
        <v>0.9051446945337621</v>
      </c>
      <c r="AC281">
        <v>0.4630225080385852</v>
      </c>
      <c r="AD281">
        <v>0.6768488745980707</v>
      </c>
    </row>
    <row r="282" spans="1:30">
      <c r="A282" s="1" t="s">
        <v>289</v>
      </c>
      <c r="B282">
        <f>HYPERLINK("https://www.suredividend.com/sure-analysis-GM/","General Motors Co.")</f>
        <v>0</v>
      </c>
      <c r="C282">
        <v>26.45</v>
      </c>
      <c r="D282">
        <v>37852.066</v>
      </c>
      <c r="E282" t="s">
        <v>667</v>
      </c>
      <c r="F282" t="s">
        <v>631</v>
      </c>
      <c r="G282" t="s">
        <v>670</v>
      </c>
      <c r="H282" t="s">
        <v>699</v>
      </c>
      <c r="I282" t="s">
        <v>983</v>
      </c>
      <c r="J282" t="s">
        <v>1312</v>
      </c>
      <c r="K282">
        <v>43971</v>
      </c>
      <c r="L282">
        <v>0.057466918714555</v>
      </c>
      <c r="M282">
        <v>0.01857840475593453</v>
      </c>
      <c r="N282">
        <v>0.03</v>
      </c>
      <c r="O282">
        <v>0.09278379385727598</v>
      </c>
      <c r="P282" t="s">
        <v>383</v>
      </c>
      <c r="Q282" t="s">
        <v>636</v>
      </c>
      <c r="R282">
        <v>0</v>
      </c>
      <c r="S282">
        <v>0.3333333333333334</v>
      </c>
      <c r="T282">
        <v>29</v>
      </c>
      <c r="U282">
        <v>0.9120689655172414</v>
      </c>
      <c r="V282">
        <v>3.3065</v>
      </c>
      <c r="W282">
        <v>4.56</v>
      </c>
      <c r="X282">
        <v>1.52</v>
      </c>
      <c r="Y282">
        <v>-0.323875</v>
      </c>
      <c r="Z282">
        <v>0.705785123966942</v>
      </c>
      <c r="AA282">
        <v>0.2608695652173913</v>
      </c>
      <c r="AB282">
        <v>0.247588424437299</v>
      </c>
      <c r="AC282">
        <v>0.7106109324758844</v>
      </c>
      <c r="AD282">
        <v>0.6639871382636656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7.07</v>
      </c>
      <c r="D283">
        <v>61841.9263</v>
      </c>
      <c r="E283" t="s">
        <v>659</v>
      </c>
      <c r="F283" t="s">
        <v>631</v>
      </c>
      <c r="G283" t="s">
        <v>670</v>
      </c>
      <c r="H283" t="s">
        <v>699</v>
      </c>
      <c r="I283" t="s">
        <v>984</v>
      </c>
      <c r="J283" t="s">
        <v>1313</v>
      </c>
      <c r="K283">
        <v>43951</v>
      </c>
      <c r="L283">
        <v>0.005657708628005</v>
      </c>
      <c r="M283">
        <v>-0.03228746340482036</v>
      </c>
      <c r="N283">
        <v>0.125</v>
      </c>
      <c r="O283">
        <v>0.09267471766974755</v>
      </c>
      <c r="P283" t="s">
        <v>383</v>
      </c>
      <c r="Q283" t="s">
        <v>558</v>
      </c>
      <c r="R283">
        <v>0</v>
      </c>
      <c r="S283">
        <v>0.16</v>
      </c>
      <c r="T283">
        <v>6</v>
      </c>
      <c r="U283">
        <v>1.178333333333333</v>
      </c>
      <c r="V283">
        <v>0.6658000000000001</v>
      </c>
      <c r="W283">
        <v>0.25</v>
      </c>
      <c r="X283">
        <v>0.04</v>
      </c>
      <c r="Y283">
        <v>-0.297217</v>
      </c>
      <c r="Z283">
        <v>0.02314049586776859</v>
      </c>
      <c r="AA283">
        <v>0.2898550724637681</v>
      </c>
      <c r="AB283">
        <v>0.9549839228295819</v>
      </c>
      <c r="AC283">
        <v>0.3890675241157556</v>
      </c>
      <c r="AD283">
        <v>0.662379421221865</v>
      </c>
    </row>
    <row r="284" spans="1:30">
      <c r="A284" s="1" t="s">
        <v>291</v>
      </c>
      <c r="B284">
        <f>HYPERLINK("https://www.suredividend.com/sure-analysis-ING/","ING Groep NV")</f>
        <v>0</v>
      </c>
      <c r="C284">
        <v>7.4</v>
      </c>
      <c r="D284">
        <v>28854.894</v>
      </c>
      <c r="E284" t="s">
        <v>665</v>
      </c>
      <c r="F284" t="s">
        <v>631</v>
      </c>
      <c r="G284" t="s">
        <v>684</v>
      </c>
      <c r="H284" t="s">
        <v>699</v>
      </c>
      <c r="I284" t="s">
        <v>985</v>
      </c>
      <c r="J284" t="s">
        <v>1311</v>
      </c>
      <c r="K284">
        <v>43999</v>
      </c>
      <c r="L284">
        <v>0.03631081081081</v>
      </c>
      <c r="M284">
        <v>0.03573194909214883</v>
      </c>
      <c r="N284">
        <v>0.01</v>
      </c>
      <c r="O284">
        <v>0.09084289650587629</v>
      </c>
      <c r="P284" t="s">
        <v>383</v>
      </c>
      <c r="Q284" t="s">
        <v>383</v>
      </c>
      <c r="R284">
        <v>0</v>
      </c>
      <c r="S284">
        <v>0.2741836734693878</v>
      </c>
      <c r="T284">
        <v>8.82</v>
      </c>
      <c r="U284">
        <v>0.8390022675736961</v>
      </c>
      <c r="V284">
        <v>1.3752</v>
      </c>
      <c r="W284">
        <v>0.98</v>
      </c>
      <c r="X284">
        <v>0.2687</v>
      </c>
      <c r="Y284">
        <v>-0.358752</v>
      </c>
      <c r="Z284">
        <v>0.5057851239669422</v>
      </c>
      <c r="AA284">
        <v>0.2061191626409018</v>
      </c>
      <c r="AB284">
        <v>0.0819935691318328</v>
      </c>
      <c r="AC284">
        <v>0.8006430868167204</v>
      </c>
      <c r="AD284">
        <v>0.6559485530546624</v>
      </c>
    </row>
    <row r="285" spans="1:30">
      <c r="A285" s="1" t="s">
        <v>292</v>
      </c>
      <c r="B285">
        <f>HYPERLINK("https://www.suredividend.com/sure-analysis-KLAC/","KLA Corp.")</f>
        <v>0</v>
      </c>
      <c r="C285">
        <v>197.2</v>
      </c>
      <c r="D285">
        <v>30575.6628</v>
      </c>
      <c r="E285" t="s">
        <v>660</v>
      </c>
      <c r="F285" t="s">
        <v>631</v>
      </c>
      <c r="G285" t="s">
        <v>670</v>
      </c>
      <c r="H285" t="s">
        <v>701</v>
      </c>
      <c r="I285" t="s">
        <v>986</v>
      </c>
      <c r="J285" t="s">
        <v>1317</v>
      </c>
      <c r="K285">
        <v>43969</v>
      </c>
      <c r="L285">
        <v>0.016227180527383</v>
      </c>
      <c r="M285">
        <v>-0.01162624050870453</v>
      </c>
      <c r="N285">
        <v>0.08500000000000001</v>
      </c>
      <c r="O285">
        <v>0.08935830122006561</v>
      </c>
      <c r="P285" t="s">
        <v>383</v>
      </c>
      <c r="Q285" t="s">
        <v>558</v>
      </c>
      <c r="R285">
        <v>10</v>
      </c>
      <c r="S285">
        <v>0.3265306122448979</v>
      </c>
      <c r="T285">
        <v>186</v>
      </c>
      <c r="U285">
        <v>1.060215053763441</v>
      </c>
      <c r="V285">
        <v>6.4626</v>
      </c>
      <c r="W285">
        <v>9.800000000000001</v>
      </c>
      <c r="X285">
        <v>3.2</v>
      </c>
      <c r="Y285">
        <v>0.47815</v>
      </c>
      <c r="Z285">
        <v>0.1570247933884298</v>
      </c>
      <c r="AA285">
        <v>0.9581320450885669</v>
      </c>
      <c r="AB285">
        <v>0.8440514469453376</v>
      </c>
      <c r="AC285">
        <v>0.5418006430868167</v>
      </c>
      <c r="AD285">
        <v>0.6446945337620579</v>
      </c>
    </row>
    <row r="286" spans="1:30">
      <c r="A286" s="1" t="s">
        <v>293</v>
      </c>
      <c r="B286">
        <f>HYPERLINK("https://www.suredividend.com/sure-analysis-PSA/","Public Storage")</f>
        <v>0</v>
      </c>
      <c r="C286">
        <v>192.3</v>
      </c>
      <c r="D286">
        <v>33612.6939</v>
      </c>
      <c r="E286" t="s">
        <v>669</v>
      </c>
      <c r="F286" t="s">
        <v>633</v>
      </c>
      <c r="G286" t="s">
        <v>670</v>
      </c>
      <c r="H286" t="s">
        <v>699</v>
      </c>
      <c r="I286" t="s">
        <v>987</v>
      </c>
      <c r="J286" t="s">
        <v>1321</v>
      </c>
      <c r="K286">
        <v>44012</v>
      </c>
      <c r="L286">
        <v>0.041601664066562</v>
      </c>
      <c r="M286">
        <v>0.02256714586521258</v>
      </c>
      <c r="N286">
        <v>0.03</v>
      </c>
      <c r="O286">
        <v>0.08845336274269577</v>
      </c>
      <c r="P286" t="s">
        <v>383</v>
      </c>
      <c r="Q286" t="s">
        <v>383</v>
      </c>
      <c r="R286">
        <v>0</v>
      </c>
      <c r="S286">
        <v>0.7434944237918216</v>
      </c>
      <c r="T286">
        <v>215</v>
      </c>
      <c r="U286">
        <v>0.8944186046511629</v>
      </c>
      <c r="V286">
        <v>7.3652</v>
      </c>
      <c r="W286">
        <v>10.76</v>
      </c>
      <c r="X286">
        <v>8</v>
      </c>
      <c r="Y286">
        <v>-0.223187</v>
      </c>
      <c r="Z286">
        <v>0.5702479338842975</v>
      </c>
      <c r="AA286">
        <v>0.3752012882447665</v>
      </c>
      <c r="AB286">
        <v>0.247588424437299</v>
      </c>
      <c r="AC286">
        <v>0.7347266881028939</v>
      </c>
      <c r="AD286">
        <v>0.635048231511254</v>
      </c>
    </row>
    <row r="287" spans="1:30">
      <c r="A287" s="1" t="s">
        <v>294</v>
      </c>
      <c r="B287">
        <f>HYPERLINK("https://www.suredividend.com/sure-analysis-UPS/","United Parcel Service, Inc.")</f>
        <v>0</v>
      </c>
      <c r="C287">
        <v>118.55</v>
      </c>
      <c r="D287">
        <v>102211.043991</v>
      </c>
      <c r="E287" t="s">
        <v>659</v>
      </c>
      <c r="F287" t="s">
        <v>631</v>
      </c>
      <c r="G287" t="s">
        <v>670</v>
      </c>
      <c r="H287" t="s">
        <v>699</v>
      </c>
      <c r="I287" t="s">
        <v>988</v>
      </c>
      <c r="J287" t="s">
        <v>1313</v>
      </c>
      <c r="K287">
        <v>43951</v>
      </c>
      <c r="L287">
        <v>0.03281315900463901</v>
      </c>
      <c r="M287">
        <v>-0.02962472401476868</v>
      </c>
      <c r="N287">
        <v>0.09</v>
      </c>
      <c r="O287">
        <v>0.08731030160067865</v>
      </c>
      <c r="P287" t="s">
        <v>383</v>
      </c>
      <c r="Q287" t="s">
        <v>383</v>
      </c>
      <c r="R287">
        <v>11</v>
      </c>
      <c r="S287">
        <v>0.6078125</v>
      </c>
      <c r="T287">
        <v>102</v>
      </c>
      <c r="U287">
        <v>1.162254901960784</v>
      </c>
      <c r="V287">
        <v>4.976900000000001</v>
      </c>
      <c r="W287">
        <v>6.4</v>
      </c>
      <c r="X287">
        <v>3.89</v>
      </c>
      <c r="Y287">
        <v>0.15321</v>
      </c>
      <c r="Z287">
        <v>0.4363636363636363</v>
      </c>
      <c r="AA287">
        <v>0.8341384863123993</v>
      </c>
      <c r="AB287">
        <v>0.8633440514469453</v>
      </c>
      <c r="AC287">
        <v>0.4131832797427653</v>
      </c>
      <c r="AD287">
        <v>0.6254019292604501</v>
      </c>
    </row>
    <row r="288" spans="1:30">
      <c r="A288" s="1" t="s">
        <v>295</v>
      </c>
      <c r="B288">
        <f>HYPERLINK("https://www.suredividend.com/sure-analysis-RY/","Royal Bank of Canada")</f>
        <v>0</v>
      </c>
      <c r="C288">
        <v>70.62</v>
      </c>
      <c r="D288">
        <v>100500.0282</v>
      </c>
      <c r="E288" t="s">
        <v>668</v>
      </c>
      <c r="F288" t="s">
        <v>631</v>
      </c>
      <c r="G288" t="s">
        <v>671</v>
      </c>
      <c r="H288" t="s">
        <v>699</v>
      </c>
      <c r="I288" t="s">
        <v>989</v>
      </c>
      <c r="J288" t="s">
        <v>1311</v>
      </c>
      <c r="K288">
        <v>44007</v>
      </c>
      <c r="L288">
        <v>0.04450031754872601</v>
      </c>
      <c r="M288">
        <v>0.02780673957232893</v>
      </c>
      <c r="N288">
        <v>0.021</v>
      </c>
      <c r="O288">
        <v>0.08704049837078798</v>
      </c>
      <c r="P288" t="s">
        <v>383</v>
      </c>
      <c r="Q288" t="s">
        <v>636</v>
      </c>
      <c r="R288">
        <v>9</v>
      </c>
      <c r="S288">
        <v>0.5841287035856951</v>
      </c>
      <c r="T288">
        <v>81</v>
      </c>
      <c r="U288">
        <v>0.8718518518518519</v>
      </c>
      <c r="V288">
        <v>5.8865</v>
      </c>
      <c r="W288">
        <v>5.38</v>
      </c>
      <c r="X288">
        <v>3.14261242529104</v>
      </c>
      <c r="Y288">
        <v>-0.12</v>
      </c>
      <c r="Z288">
        <v>0.5917355371900826</v>
      </c>
      <c r="AA288">
        <v>0.5169082125603864</v>
      </c>
      <c r="AB288">
        <v>0.1921221864951768</v>
      </c>
      <c r="AC288">
        <v>0.7588424437299035</v>
      </c>
      <c r="AD288">
        <v>0.6221864951768489</v>
      </c>
    </row>
    <row r="289" spans="1:30">
      <c r="A289" s="1" t="s">
        <v>296</v>
      </c>
      <c r="B289">
        <f>HYPERLINK("https://www.suredividend.com/sure-analysis-PM/","Philip Morris International, Inc.")</f>
        <v>0</v>
      </c>
      <c r="C289">
        <v>75.03</v>
      </c>
      <c r="D289">
        <v>116831.4639</v>
      </c>
      <c r="E289" t="s">
        <v>659</v>
      </c>
      <c r="F289" t="s">
        <v>631</v>
      </c>
      <c r="G289" t="s">
        <v>670</v>
      </c>
      <c r="H289" t="s">
        <v>699</v>
      </c>
      <c r="I289" t="s">
        <v>990</v>
      </c>
      <c r="J289" t="s">
        <v>1318</v>
      </c>
      <c r="K289">
        <v>43944</v>
      </c>
      <c r="L289">
        <v>0.061975209916033</v>
      </c>
      <c r="M289">
        <v>-0.008210491186279034</v>
      </c>
      <c r="N289">
        <v>0.04</v>
      </c>
      <c r="O289">
        <v>0.08479324626942275</v>
      </c>
      <c r="P289" t="s">
        <v>383</v>
      </c>
      <c r="Q289" t="s">
        <v>636</v>
      </c>
      <c r="R289">
        <v>12</v>
      </c>
      <c r="S289">
        <v>0.9687500000000001</v>
      </c>
      <c r="T289">
        <v>72</v>
      </c>
      <c r="U289">
        <v>1.042083333333333</v>
      </c>
      <c r="V289">
        <v>4.908</v>
      </c>
      <c r="W289">
        <v>4.8</v>
      </c>
      <c r="X289">
        <v>4.65</v>
      </c>
      <c r="Y289">
        <v>-0.144567</v>
      </c>
      <c r="Z289">
        <v>0.7338842975206612</v>
      </c>
      <c r="AA289">
        <v>0.4798711755233495</v>
      </c>
      <c r="AB289">
        <v>0.3794212218649518</v>
      </c>
      <c r="AC289">
        <v>0.5610932475884244</v>
      </c>
      <c r="AD289">
        <v>0.6077170418006431</v>
      </c>
    </row>
    <row r="290" spans="1:30">
      <c r="A290" s="1" t="s">
        <v>297</v>
      </c>
      <c r="B290">
        <f>HYPERLINK("https://www.suredividend.com/sure-analysis-DNKN/","Dunkin' Brands Group, Inc.")</f>
        <v>0</v>
      </c>
      <c r="C290">
        <v>67.87</v>
      </c>
      <c r="D290">
        <v>5572.900718</v>
      </c>
      <c r="E290" t="s">
        <v>661</v>
      </c>
      <c r="F290" t="s">
        <v>631</v>
      </c>
      <c r="G290" t="s">
        <v>670</v>
      </c>
      <c r="H290" t="s">
        <v>701</v>
      </c>
      <c r="I290" t="s">
        <v>991</v>
      </c>
      <c r="J290" t="s">
        <v>1312</v>
      </c>
      <c r="K290">
        <v>44000</v>
      </c>
      <c r="L290">
        <v>0.022506261971415</v>
      </c>
      <c r="M290">
        <v>-0.01167353482096478</v>
      </c>
      <c r="N290">
        <v>0.08</v>
      </c>
      <c r="O290">
        <v>0.08426762976544944</v>
      </c>
      <c r="P290" t="s">
        <v>383</v>
      </c>
      <c r="Q290" t="s">
        <v>300</v>
      </c>
      <c r="R290">
        <v>0</v>
      </c>
      <c r="S290">
        <v>0.5943579766536966</v>
      </c>
      <c r="T290">
        <v>64</v>
      </c>
      <c r="U290">
        <v>1.06046875</v>
      </c>
      <c r="V290">
        <v>2.9204</v>
      </c>
      <c r="W290">
        <v>2.57</v>
      </c>
      <c r="X290">
        <v>1.5275</v>
      </c>
      <c r="Y290">
        <v>-0.15658</v>
      </c>
      <c r="Z290">
        <v>0.2942148760330578</v>
      </c>
      <c r="AA290">
        <v>0.463768115942029</v>
      </c>
      <c r="AB290">
        <v>0.8127009646302251</v>
      </c>
      <c r="AC290">
        <v>0.5401929260450161</v>
      </c>
      <c r="AD290">
        <v>0.6028938906752411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35.48</v>
      </c>
      <c r="D291">
        <v>6101.28272</v>
      </c>
      <c r="E291" t="s">
        <v>669</v>
      </c>
      <c r="F291" t="s">
        <v>633</v>
      </c>
      <c r="G291" t="s">
        <v>670</v>
      </c>
      <c r="H291" t="s">
        <v>699</v>
      </c>
      <c r="I291" t="s">
        <v>992</v>
      </c>
      <c r="J291" t="s">
        <v>1321</v>
      </c>
      <c r="K291">
        <v>44012</v>
      </c>
      <c r="L291">
        <v>0.058060879368658</v>
      </c>
      <c r="M291">
        <v>-0.002720511872573939</v>
      </c>
      <c r="N291">
        <v>0.037</v>
      </c>
      <c r="O291">
        <v>0.08358398488174301</v>
      </c>
      <c r="P291" t="s">
        <v>383</v>
      </c>
      <c r="Q291" t="s">
        <v>635</v>
      </c>
      <c r="R291">
        <v>30</v>
      </c>
      <c r="S291">
        <v>0.8240000000000001</v>
      </c>
      <c r="T291">
        <v>35</v>
      </c>
      <c r="U291">
        <v>1.013714285714286</v>
      </c>
      <c r="V291">
        <v>1.4792</v>
      </c>
      <c r="W291">
        <v>2.5</v>
      </c>
      <c r="X291">
        <v>2.06</v>
      </c>
      <c r="Y291">
        <v>-0.325347</v>
      </c>
      <c r="Z291">
        <v>0.7107438016528925</v>
      </c>
      <c r="AA291">
        <v>0.2576489533011272</v>
      </c>
      <c r="AB291">
        <v>0.3231511254019293</v>
      </c>
      <c r="AC291">
        <v>0.5948553054662379</v>
      </c>
      <c r="AD291">
        <v>0.5948553054662379</v>
      </c>
    </row>
    <row r="292" spans="1:30">
      <c r="A292" s="1" t="s">
        <v>299</v>
      </c>
      <c r="B292">
        <f>HYPERLINK("https://www.suredividend.com/sure-analysis-SNY/","Sanofi")</f>
        <v>0</v>
      </c>
      <c r="C292">
        <v>53.26</v>
      </c>
      <c r="D292">
        <v>133807.283684</v>
      </c>
      <c r="E292" t="s">
        <v>664</v>
      </c>
      <c r="F292" t="s">
        <v>631</v>
      </c>
      <c r="G292" t="s">
        <v>685</v>
      </c>
      <c r="H292" t="s">
        <v>701</v>
      </c>
      <c r="I292" t="s">
        <v>993</v>
      </c>
      <c r="J292" t="s">
        <v>1314</v>
      </c>
      <c r="K292">
        <v>43945</v>
      </c>
      <c r="L292">
        <v>0.022034735260983</v>
      </c>
      <c r="M292">
        <v>0.01366567070178015</v>
      </c>
      <c r="N292">
        <v>0.04</v>
      </c>
      <c r="O292">
        <v>0.0831063489608701</v>
      </c>
      <c r="P292" t="s">
        <v>383</v>
      </c>
      <c r="Q292" t="s">
        <v>300</v>
      </c>
      <c r="R292">
        <v>26</v>
      </c>
      <c r="S292">
        <v>0.3353057142857143</v>
      </c>
      <c r="T292">
        <v>57</v>
      </c>
      <c r="U292">
        <v>0.9343859649122807</v>
      </c>
      <c r="V292">
        <v>1.2971</v>
      </c>
      <c r="W292">
        <v>3.5</v>
      </c>
      <c r="X292">
        <v>1.17357</v>
      </c>
      <c r="Y292">
        <v>0.269607</v>
      </c>
      <c r="Z292">
        <v>0.2793388429752066</v>
      </c>
      <c r="AA292">
        <v>0.9049919484702094</v>
      </c>
      <c r="AB292">
        <v>0.3794212218649518</v>
      </c>
      <c r="AC292">
        <v>0.680064308681672</v>
      </c>
      <c r="AD292">
        <v>0.590032154340836</v>
      </c>
    </row>
    <row r="293" spans="1:30">
      <c r="A293" s="1" t="s">
        <v>300</v>
      </c>
      <c r="B293">
        <f>HYPERLINK("https://www.suredividend.com/sure-analysis-D/","Dominion Energy, Inc.")</f>
        <v>0</v>
      </c>
      <c r="C293">
        <v>78.58</v>
      </c>
      <c r="D293">
        <v>65948.34358</v>
      </c>
      <c r="E293" t="s">
        <v>668</v>
      </c>
      <c r="F293" t="s">
        <v>631</v>
      </c>
      <c r="G293" t="s">
        <v>670</v>
      </c>
      <c r="H293" t="s">
        <v>699</v>
      </c>
      <c r="I293" t="s">
        <v>994</v>
      </c>
      <c r="J293" t="s">
        <v>1315</v>
      </c>
      <c r="K293">
        <v>43971</v>
      </c>
      <c r="L293">
        <v>0.04699032832781801</v>
      </c>
      <c r="M293">
        <v>-0.00928246952297318</v>
      </c>
      <c r="N293">
        <v>0.05</v>
      </c>
      <c r="O293">
        <v>0.0809474081522974</v>
      </c>
      <c r="P293" t="s">
        <v>383</v>
      </c>
      <c r="Q293" t="s">
        <v>636</v>
      </c>
      <c r="R293">
        <v>16</v>
      </c>
      <c r="S293">
        <v>0.8354072398190046</v>
      </c>
      <c r="T293">
        <v>75</v>
      </c>
      <c r="U293">
        <v>1.047733333333333</v>
      </c>
      <c r="V293">
        <v>2.1388</v>
      </c>
      <c r="W293">
        <v>4.42</v>
      </c>
      <c r="X293">
        <v>3.6925</v>
      </c>
      <c r="Y293">
        <v>0.014983</v>
      </c>
      <c r="Z293">
        <v>0.6247933884297521</v>
      </c>
      <c r="AA293">
        <v>0.7028985507246377</v>
      </c>
      <c r="AB293">
        <v>0.5160771704180064</v>
      </c>
      <c r="AC293">
        <v>0.5530546623794212</v>
      </c>
      <c r="AD293">
        <v>0.5755627009646302</v>
      </c>
    </row>
    <row r="294" spans="1:30">
      <c r="A294" s="1" t="s">
        <v>301</v>
      </c>
      <c r="B294">
        <f>HYPERLINK("https://www.suredividend.com/sure-analysis-KSU/","Kansas City Southern")</f>
        <v>0</v>
      </c>
      <c r="C294">
        <v>160.3</v>
      </c>
      <c r="D294">
        <v>15231.73806</v>
      </c>
      <c r="E294" t="s">
        <v>660</v>
      </c>
      <c r="F294" t="s">
        <v>631</v>
      </c>
      <c r="G294" t="s">
        <v>670</v>
      </c>
      <c r="H294" t="s">
        <v>699</v>
      </c>
      <c r="I294" t="s">
        <v>995</v>
      </c>
      <c r="J294" t="s">
        <v>1313</v>
      </c>
      <c r="K294">
        <v>43944</v>
      </c>
      <c r="L294">
        <v>0.009731752963194</v>
      </c>
      <c r="M294">
        <v>-0.01057697398519031</v>
      </c>
      <c r="N294">
        <v>0.08</v>
      </c>
      <c r="O294">
        <v>0.07837841622259467</v>
      </c>
      <c r="P294" t="s">
        <v>383</v>
      </c>
      <c r="Q294" t="s">
        <v>558</v>
      </c>
      <c r="R294">
        <v>1</v>
      </c>
      <c r="S294">
        <v>0.2328358208955224</v>
      </c>
      <c r="T294">
        <v>152</v>
      </c>
      <c r="U294">
        <v>1.054605263157895</v>
      </c>
      <c r="V294">
        <v>5.8658</v>
      </c>
      <c r="W294">
        <v>6.7</v>
      </c>
      <c r="X294">
        <v>1.56</v>
      </c>
      <c r="Y294">
        <v>0.35859</v>
      </c>
      <c r="Z294">
        <v>0.06446280991735537</v>
      </c>
      <c r="AA294">
        <v>0.927536231884058</v>
      </c>
      <c r="AB294">
        <v>0.8127009646302251</v>
      </c>
      <c r="AC294">
        <v>0.5482315112540193</v>
      </c>
      <c r="AD294">
        <v>0.5643086816720257</v>
      </c>
    </row>
    <row r="295" spans="1:30">
      <c r="A295" s="1" t="s">
        <v>302</v>
      </c>
      <c r="B295">
        <f>HYPERLINK("https://www.suredividend.com/sure-analysis-AVB/","AvalonBay Communities, Inc.")</f>
        <v>0</v>
      </c>
      <c r="C295">
        <v>153.89</v>
      </c>
      <c r="D295">
        <v>21657.09359</v>
      </c>
      <c r="E295" t="s">
        <v>669</v>
      </c>
      <c r="F295" t="s">
        <v>633</v>
      </c>
      <c r="G295" t="s">
        <v>670</v>
      </c>
      <c r="H295" t="s">
        <v>699</v>
      </c>
      <c r="I295" t="s">
        <v>996</v>
      </c>
      <c r="J295" t="s">
        <v>1321</v>
      </c>
      <c r="K295">
        <v>43963</v>
      </c>
      <c r="L295">
        <v>0.039963610371044</v>
      </c>
      <c r="M295">
        <v>0.01032458928349245</v>
      </c>
      <c r="N295">
        <v>0.031</v>
      </c>
      <c r="O295">
        <v>0.0779761814681339</v>
      </c>
      <c r="P295" t="s">
        <v>383</v>
      </c>
      <c r="Q295" t="s">
        <v>383</v>
      </c>
      <c r="R295">
        <v>8</v>
      </c>
      <c r="S295">
        <v>0.6833333333333333</v>
      </c>
      <c r="T295">
        <v>162</v>
      </c>
      <c r="U295">
        <v>0.9499382716049382</v>
      </c>
      <c r="V295">
        <v>5.5988</v>
      </c>
      <c r="W295">
        <v>9</v>
      </c>
      <c r="X295">
        <v>6.15</v>
      </c>
      <c r="Y295">
        <v>-0.267853</v>
      </c>
      <c r="Z295">
        <v>0.543801652892562</v>
      </c>
      <c r="AA295">
        <v>0.3172302737520128</v>
      </c>
      <c r="AB295">
        <v>0.2934083601286174</v>
      </c>
      <c r="AC295">
        <v>0.6688102893890675</v>
      </c>
      <c r="AD295">
        <v>0.5594855305466238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17.57</v>
      </c>
      <c r="D296">
        <v>22454.46</v>
      </c>
      <c r="E296" t="s">
        <v>662</v>
      </c>
      <c r="F296" t="s">
        <v>631</v>
      </c>
      <c r="G296" t="s">
        <v>671</v>
      </c>
      <c r="H296" t="s">
        <v>699</v>
      </c>
      <c r="I296" t="s">
        <v>997</v>
      </c>
      <c r="J296" t="s">
        <v>1320</v>
      </c>
      <c r="K296">
        <v>43983</v>
      </c>
      <c r="L296">
        <v>0.048967516387202</v>
      </c>
      <c r="M296">
        <v>-0.03113358985158377</v>
      </c>
      <c r="N296">
        <v>0.07000000000000001</v>
      </c>
      <c r="O296">
        <v>0.07765602616935285</v>
      </c>
      <c r="P296" t="s">
        <v>383</v>
      </c>
      <c r="Q296" t="s">
        <v>383</v>
      </c>
      <c r="R296">
        <v>11</v>
      </c>
      <c r="S296">
        <v>0.9559547365812811</v>
      </c>
      <c r="T296">
        <v>15</v>
      </c>
      <c r="U296">
        <v>1.171333333333333</v>
      </c>
      <c r="V296">
        <v>1.0334</v>
      </c>
      <c r="W296">
        <v>0.9</v>
      </c>
      <c r="X296">
        <v>0.860359262923153</v>
      </c>
      <c r="Y296">
        <v>-0.053595</v>
      </c>
      <c r="Z296">
        <v>0.6446280991735537</v>
      </c>
      <c r="AA296">
        <v>0.6167471819645732</v>
      </c>
      <c r="AB296">
        <v>0.7387459807073955</v>
      </c>
      <c r="AC296">
        <v>0.4035369774919614</v>
      </c>
      <c r="AD296">
        <v>0.5530546623794212</v>
      </c>
    </row>
    <row r="297" spans="1:30">
      <c r="A297" s="1" t="s">
        <v>304</v>
      </c>
      <c r="B297">
        <f>HYPERLINK("https://www.suredividend.com/sure-analysis-BUD/","Anheuser-Busch InBev SA/NV")</f>
        <v>0</v>
      </c>
      <c r="C297">
        <v>53.85</v>
      </c>
      <c r="D297">
        <v>87957.359689</v>
      </c>
      <c r="E297" t="s">
        <v>661</v>
      </c>
      <c r="F297" t="s">
        <v>631</v>
      </c>
      <c r="G297" t="s">
        <v>686</v>
      </c>
      <c r="H297" t="s">
        <v>699</v>
      </c>
      <c r="I297" t="s">
        <v>998</v>
      </c>
      <c r="J297" t="s">
        <v>1318</v>
      </c>
      <c r="K297">
        <v>43993</v>
      </c>
      <c r="L297">
        <v>0.026971216341689</v>
      </c>
      <c r="M297">
        <v>0.0285873914263326</v>
      </c>
      <c r="N297">
        <v>0.03</v>
      </c>
      <c r="O297">
        <v>0.07434942770187103</v>
      </c>
      <c r="P297" t="s">
        <v>383</v>
      </c>
      <c r="Q297" t="s">
        <v>300</v>
      </c>
      <c r="R297">
        <v>0</v>
      </c>
      <c r="S297">
        <v>0.4185590778097982</v>
      </c>
      <c r="T297">
        <v>62</v>
      </c>
      <c r="U297">
        <v>0.8685483870967742</v>
      </c>
      <c r="V297">
        <v>4.6484</v>
      </c>
      <c r="W297">
        <v>3.47</v>
      </c>
      <c r="X297">
        <v>1.4524</v>
      </c>
      <c r="Y297">
        <v>-0.397246</v>
      </c>
      <c r="Z297">
        <v>0.3553719008264463</v>
      </c>
      <c r="AA297">
        <v>0.1706924315619968</v>
      </c>
      <c r="AB297">
        <v>0.247588424437299</v>
      </c>
      <c r="AC297">
        <v>0.7652733118971061</v>
      </c>
      <c r="AD297">
        <v>0.5241157556270096</v>
      </c>
    </row>
    <row r="298" spans="1:30">
      <c r="A298" s="1" t="s">
        <v>305</v>
      </c>
      <c r="B298">
        <f>HYPERLINK("https://www.suredividend.com/sure-analysis-NOK/","Nokia Oyj")</f>
        <v>0</v>
      </c>
      <c r="C298">
        <v>4.39</v>
      </c>
      <c r="D298">
        <v>24629.785031</v>
      </c>
      <c r="E298" t="s">
        <v>660</v>
      </c>
      <c r="F298" t="s">
        <v>631</v>
      </c>
      <c r="G298" t="s">
        <v>683</v>
      </c>
      <c r="H298" t="s">
        <v>699</v>
      </c>
      <c r="I298" t="s">
        <v>999</v>
      </c>
      <c r="J298" t="s">
        <v>1317</v>
      </c>
      <c r="K298">
        <v>43960</v>
      </c>
      <c r="L298">
        <v>0.012756264236902</v>
      </c>
      <c r="M298">
        <v>-0.02339258507357378</v>
      </c>
      <c r="N298">
        <v>0.07000000000000001</v>
      </c>
      <c r="O298">
        <v>0.07384272346213727</v>
      </c>
      <c r="P298" t="s">
        <v>383</v>
      </c>
      <c r="Q298" t="s">
        <v>558</v>
      </c>
      <c r="R298">
        <v>0</v>
      </c>
      <c r="S298">
        <v>0.2153846153846154</v>
      </c>
      <c r="T298">
        <v>3.9</v>
      </c>
      <c r="U298">
        <v>1.125641025641026</v>
      </c>
      <c r="V298">
        <v>0.0658</v>
      </c>
      <c r="W298">
        <v>0.26</v>
      </c>
      <c r="X298">
        <v>0.056</v>
      </c>
      <c r="Y298">
        <v>-0.145914</v>
      </c>
      <c r="Z298">
        <v>0.1074380165289256</v>
      </c>
      <c r="AA298">
        <v>0.4782608695652174</v>
      </c>
      <c r="AB298">
        <v>0.7387459807073955</v>
      </c>
      <c r="AC298">
        <v>0.4581993569131833</v>
      </c>
      <c r="AD298">
        <v>0.522508038585209</v>
      </c>
    </row>
    <row r="299" spans="1:30">
      <c r="A299" s="1" t="s">
        <v>306</v>
      </c>
      <c r="B299">
        <f>HYPERLINK("https://www.suredividend.com/sure-analysis-DUK/","Duke Energy Corp.")</f>
        <v>0</v>
      </c>
      <c r="C299">
        <v>82.40000000000001</v>
      </c>
      <c r="D299">
        <v>60551.8872</v>
      </c>
      <c r="E299" t="s">
        <v>669</v>
      </c>
      <c r="F299" t="s">
        <v>631</v>
      </c>
      <c r="G299" t="s">
        <v>670</v>
      </c>
      <c r="H299" t="s">
        <v>699</v>
      </c>
      <c r="I299" t="s">
        <v>1000</v>
      </c>
      <c r="J299" t="s">
        <v>1315</v>
      </c>
      <c r="K299">
        <v>44006</v>
      </c>
      <c r="L299">
        <v>0.04566140776699</v>
      </c>
      <c r="M299">
        <v>-0.008392104917373189</v>
      </c>
      <c r="N299">
        <v>0.04</v>
      </c>
      <c r="O299">
        <v>0.07294276294109459</v>
      </c>
      <c r="P299" t="s">
        <v>383</v>
      </c>
      <c r="Q299" t="s">
        <v>636</v>
      </c>
      <c r="R299">
        <v>9</v>
      </c>
      <c r="S299">
        <v>0.7166666666666667</v>
      </c>
      <c r="T299">
        <v>79</v>
      </c>
      <c r="U299">
        <v>1.043037974683544</v>
      </c>
      <c r="V299">
        <v>5.0756</v>
      </c>
      <c r="W299">
        <v>5.25</v>
      </c>
      <c r="X299">
        <v>3.7625</v>
      </c>
      <c r="Y299">
        <v>-0.082303</v>
      </c>
      <c r="Z299">
        <v>0.6049586776859504</v>
      </c>
      <c r="AA299">
        <v>0.5700483091787439</v>
      </c>
      <c r="AB299">
        <v>0.3794212218649518</v>
      </c>
      <c r="AC299">
        <v>0.5578778135048231</v>
      </c>
      <c r="AD299">
        <v>0.5160771704180064</v>
      </c>
    </row>
    <row r="300" spans="1:30">
      <c r="A300" s="1" t="s">
        <v>307</v>
      </c>
      <c r="B300">
        <f>HYPERLINK("https://www.suredividend.com/sure-analysis-WPC/","W.P. Carey, Inc.")</f>
        <v>0</v>
      </c>
      <c r="C300">
        <v>68.19</v>
      </c>
      <c r="D300">
        <v>12130.25091</v>
      </c>
      <c r="E300" t="s">
        <v>660</v>
      </c>
      <c r="F300" t="s">
        <v>633</v>
      </c>
      <c r="G300" t="s">
        <v>670</v>
      </c>
      <c r="H300" t="s">
        <v>699</v>
      </c>
      <c r="I300" t="s">
        <v>1001</v>
      </c>
      <c r="J300" t="s">
        <v>1321</v>
      </c>
      <c r="K300">
        <v>43964</v>
      </c>
      <c r="L300">
        <v>0.06083003372928501</v>
      </c>
      <c r="M300">
        <v>-0.01570796264103136</v>
      </c>
      <c r="N300">
        <v>0.035</v>
      </c>
      <c r="O300">
        <v>0.07279864469214936</v>
      </c>
      <c r="P300" t="s">
        <v>383</v>
      </c>
      <c r="Q300" t="s">
        <v>636</v>
      </c>
      <c r="R300">
        <v>22</v>
      </c>
      <c r="S300">
        <v>0.8213861386138613</v>
      </c>
      <c r="T300">
        <v>63</v>
      </c>
      <c r="U300">
        <v>1.082380952380952</v>
      </c>
      <c r="V300">
        <v>1.7538</v>
      </c>
      <c r="W300">
        <v>5.05</v>
      </c>
      <c r="X300">
        <v>4.148</v>
      </c>
      <c r="Y300">
        <v>-0.197009</v>
      </c>
      <c r="Z300">
        <v>0.7239669421487603</v>
      </c>
      <c r="AA300">
        <v>0.4122383252818035</v>
      </c>
      <c r="AB300">
        <v>0.3086816720257235</v>
      </c>
      <c r="AC300">
        <v>0.5112540192926045</v>
      </c>
      <c r="AD300">
        <v>0.5144694533762058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77.17</v>
      </c>
      <c r="D301">
        <v>5253.015919</v>
      </c>
      <c r="E301" t="s">
        <v>659</v>
      </c>
      <c r="F301" t="s">
        <v>631</v>
      </c>
      <c r="G301" t="s">
        <v>670</v>
      </c>
      <c r="H301" t="s">
        <v>699</v>
      </c>
      <c r="I301" t="s">
        <v>1002</v>
      </c>
      <c r="J301" t="s">
        <v>1313</v>
      </c>
      <c r="K301">
        <v>43951</v>
      </c>
      <c r="L301">
        <v>0.014772580018141</v>
      </c>
      <c r="M301">
        <v>0.01710586158997063</v>
      </c>
      <c r="N301">
        <v>0.04</v>
      </c>
      <c r="O301">
        <v>0.07263532264625927</v>
      </c>
      <c r="P301" t="s">
        <v>383</v>
      </c>
      <c r="Q301" t="s">
        <v>558</v>
      </c>
      <c r="R301">
        <v>7</v>
      </c>
      <c r="S301">
        <v>0.2533333333333334</v>
      </c>
      <c r="T301">
        <v>84</v>
      </c>
      <c r="U301">
        <v>0.9186904761904762</v>
      </c>
      <c r="V301">
        <v>7.0739</v>
      </c>
      <c r="W301">
        <v>4.5</v>
      </c>
      <c r="X301">
        <v>1.14</v>
      </c>
      <c r="Y301">
        <v>-0.046695</v>
      </c>
      <c r="Z301">
        <v>0.1338842975206612</v>
      </c>
      <c r="AA301">
        <v>0.6296296296296297</v>
      </c>
      <c r="AB301">
        <v>0.3794212218649518</v>
      </c>
      <c r="AC301">
        <v>0.7009646302250804</v>
      </c>
      <c r="AD301">
        <v>0.5096463022508039</v>
      </c>
    </row>
    <row r="302" spans="1:30">
      <c r="A302" s="1" t="s">
        <v>309</v>
      </c>
      <c r="B302">
        <f>HYPERLINK("https://www.suredividend.com/sure-analysis-VIAC/","ViacomCBS, Inc.")</f>
        <v>0</v>
      </c>
      <c r="C302">
        <v>25.19</v>
      </c>
      <c r="D302">
        <v>15501.260984</v>
      </c>
      <c r="E302" t="s">
        <v>667</v>
      </c>
      <c r="F302" t="s">
        <v>631</v>
      </c>
      <c r="G302" t="s">
        <v>670</v>
      </c>
      <c r="H302" t="s">
        <v>701</v>
      </c>
      <c r="I302" t="s">
        <v>1003</v>
      </c>
      <c r="J302" t="s">
        <v>1320</v>
      </c>
      <c r="K302">
        <v>43979</v>
      </c>
      <c r="L302">
        <v>0.033346566097657</v>
      </c>
      <c r="M302">
        <v>0.00634996561958534</v>
      </c>
      <c r="N302">
        <v>0.03</v>
      </c>
      <c r="O302">
        <v>0.07237659358679194</v>
      </c>
      <c r="P302" t="s">
        <v>383</v>
      </c>
      <c r="Q302" t="s">
        <v>383</v>
      </c>
      <c r="R302">
        <v>1</v>
      </c>
      <c r="S302">
        <v>0.223404255319149</v>
      </c>
      <c r="T302">
        <v>26</v>
      </c>
      <c r="U302">
        <v>0.9688461538461539</v>
      </c>
      <c r="V302">
        <v>2.4538</v>
      </c>
      <c r="W302">
        <v>3.76</v>
      </c>
      <c r="X302">
        <v>0.84</v>
      </c>
      <c r="Y302">
        <v>-0.509254</v>
      </c>
      <c r="Z302">
        <v>0.4512396694214876</v>
      </c>
      <c r="AA302">
        <v>0.07890499194847021</v>
      </c>
      <c r="AB302">
        <v>0.247588424437299</v>
      </c>
      <c r="AC302">
        <v>0.6398713826366559</v>
      </c>
      <c r="AD302">
        <v>0.5064308681672025</v>
      </c>
    </row>
    <row r="303" spans="1:30">
      <c r="A303" s="1" t="s">
        <v>310</v>
      </c>
      <c r="B303">
        <f>HYPERLINK("https://www.suredividend.com/sure-analysis-SO/","The Southern Co.")</f>
        <v>0</v>
      </c>
      <c r="C303">
        <v>54.58</v>
      </c>
      <c r="D303">
        <v>57634.2968</v>
      </c>
      <c r="E303" t="s">
        <v>662</v>
      </c>
      <c r="F303" t="s">
        <v>631</v>
      </c>
      <c r="G303" t="s">
        <v>670</v>
      </c>
      <c r="H303" t="s">
        <v>699</v>
      </c>
      <c r="I303" t="s">
        <v>1004</v>
      </c>
      <c r="J303" t="s">
        <v>1315</v>
      </c>
      <c r="K303">
        <v>43954</v>
      </c>
      <c r="L303">
        <v>0.045804323928178</v>
      </c>
      <c r="M303">
        <v>-0.009638013088464015</v>
      </c>
      <c r="N303">
        <v>0.04</v>
      </c>
      <c r="O303">
        <v>0.07164786601282636</v>
      </c>
      <c r="P303" t="s">
        <v>383</v>
      </c>
      <c r="Q303" t="s">
        <v>636</v>
      </c>
      <c r="R303">
        <v>19</v>
      </c>
      <c r="S303">
        <v>0.78125</v>
      </c>
      <c r="T303">
        <v>52</v>
      </c>
      <c r="U303">
        <v>1.049615384615385</v>
      </c>
      <c r="V303">
        <v>3.3478</v>
      </c>
      <c r="W303">
        <v>3.2</v>
      </c>
      <c r="X303">
        <v>2.5</v>
      </c>
      <c r="Y303">
        <v>-0.027614</v>
      </c>
      <c r="Z303">
        <v>0.6099173553719008</v>
      </c>
      <c r="AA303">
        <v>0.6553945249597423</v>
      </c>
      <c r="AB303">
        <v>0.3794212218649518</v>
      </c>
      <c r="AC303">
        <v>0.5514469453376205</v>
      </c>
      <c r="AD303">
        <v>0.4983922829581994</v>
      </c>
    </row>
    <row r="304" spans="1:30">
      <c r="A304" s="1" t="s">
        <v>311</v>
      </c>
      <c r="B304">
        <f>HYPERLINK("https://www.suredividend.com/sure-analysis-GS/","The Goldman Sachs Group, Inc.")</f>
        <v>0</v>
      </c>
      <c r="C304">
        <v>211.41</v>
      </c>
      <c r="D304">
        <v>72701.15067</v>
      </c>
      <c r="E304" t="s">
        <v>663</v>
      </c>
      <c r="F304" t="s">
        <v>631</v>
      </c>
      <c r="G304" t="s">
        <v>670</v>
      </c>
      <c r="H304" t="s">
        <v>699</v>
      </c>
      <c r="I304" t="s">
        <v>1005</v>
      </c>
      <c r="J304" t="s">
        <v>1311</v>
      </c>
      <c r="K304">
        <v>44028</v>
      </c>
      <c r="L304">
        <v>0.02365072607729</v>
      </c>
      <c r="M304">
        <v>-0.01103506391092879</v>
      </c>
      <c r="N304">
        <v>0.06</v>
      </c>
      <c r="O304">
        <v>0.07134120204268402</v>
      </c>
      <c r="P304" t="s">
        <v>383</v>
      </c>
      <c r="Q304" t="s">
        <v>300</v>
      </c>
      <c r="R304">
        <v>9</v>
      </c>
      <c r="S304">
        <v>0.2631578947368421</v>
      </c>
      <c r="T304">
        <v>200</v>
      </c>
      <c r="U304">
        <v>1.05705</v>
      </c>
      <c r="V304">
        <v>19.0571</v>
      </c>
      <c r="W304">
        <v>19</v>
      </c>
      <c r="X304">
        <v>5</v>
      </c>
      <c r="Y304">
        <v>-0.014497</v>
      </c>
      <c r="Z304">
        <v>0.3173553719008265</v>
      </c>
      <c r="AA304">
        <v>0.6682769726247987</v>
      </c>
      <c r="AB304">
        <v>0.6463022508038585</v>
      </c>
      <c r="AC304">
        <v>0.5466237942122186</v>
      </c>
      <c r="AD304">
        <v>0.4935691318327974</v>
      </c>
    </row>
    <row r="305" spans="1:30">
      <c r="A305" s="1" t="s">
        <v>312</v>
      </c>
      <c r="B305">
        <f>HYPERLINK("https://www.suredividend.com/sure-analysis-ESS/","Essex Property Trust, Inc.")</f>
        <v>0</v>
      </c>
      <c r="C305">
        <v>223.17</v>
      </c>
      <c r="D305">
        <v>14599.201158</v>
      </c>
      <c r="E305" t="s">
        <v>669</v>
      </c>
      <c r="F305" t="s">
        <v>633</v>
      </c>
      <c r="G305" t="s">
        <v>670</v>
      </c>
      <c r="H305" t="s">
        <v>699</v>
      </c>
      <c r="I305" t="s">
        <v>1006</v>
      </c>
      <c r="J305" t="s">
        <v>1321</v>
      </c>
      <c r="K305">
        <v>43971</v>
      </c>
      <c r="L305">
        <v>0.035522247613926</v>
      </c>
      <c r="M305">
        <v>0.009522513843962965</v>
      </c>
      <c r="N305">
        <v>0.029</v>
      </c>
      <c r="O305">
        <v>0.07037328028976098</v>
      </c>
      <c r="P305" t="s">
        <v>383</v>
      </c>
      <c r="Q305" t="s">
        <v>300</v>
      </c>
      <c r="R305">
        <v>26</v>
      </c>
      <c r="S305">
        <v>0.6098076923076923</v>
      </c>
      <c r="T305">
        <v>234</v>
      </c>
      <c r="U305">
        <v>0.9537179487179487</v>
      </c>
      <c r="V305">
        <v>9.631500000000001</v>
      </c>
      <c r="W305">
        <v>13</v>
      </c>
      <c r="X305">
        <v>7.9275</v>
      </c>
      <c r="Y305">
        <v>-0.26349</v>
      </c>
      <c r="Z305">
        <v>0.487603305785124</v>
      </c>
      <c r="AA305">
        <v>0.3188405797101449</v>
      </c>
      <c r="AB305">
        <v>0.202572347266881</v>
      </c>
      <c r="AC305">
        <v>0.662379421221865</v>
      </c>
      <c r="AD305">
        <v>0.4871382636655949</v>
      </c>
    </row>
    <row r="306" spans="1:30">
      <c r="A306" s="1" t="s">
        <v>313</v>
      </c>
      <c r="B306">
        <f>HYPERLINK("https://www.suredividend.com/sure-analysis-PII/","Polaris Inc.")</f>
        <v>0</v>
      </c>
      <c r="C306">
        <v>96.48</v>
      </c>
      <c r="D306">
        <v>5909.332464</v>
      </c>
      <c r="E306" t="s">
        <v>659</v>
      </c>
      <c r="F306" t="s">
        <v>631</v>
      </c>
      <c r="G306" t="s">
        <v>670</v>
      </c>
      <c r="H306" t="s">
        <v>699</v>
      </c>
      <c r="I306" t="s">
        <v>1007</v>
      </c>
      <c r="J306" t="s">
        <v>1312</v>
      </c>
      <c r="K306">
        <v>43951</v>
      </c>
      <c r="L306">
        <v>0.025393864013267</v>
      </c>
      <c r="M306">
        <v>-0.01380898161545241</v>
      </c>
      <c r="N306">
        <v>0.06</v>
      </c>
      <c r="O306">
        <v>0.06991180652000284</v>
      </c>
      <c r="P306" t="s">
        <v>383</v>
      </c>
      <c r="Q306" t="s">
        <v>300</v>
      </c>
      <c r="R306">
        <v>25</v>
      </c>
      <c r="S306">
        <v>0.9800000000000001</v>
      </c>
      <c r="T306">
        <v>90</v>
      </c>
      <c r="U306">
        <v>1.072</v>
      </c>
      <c r="V306">
        <v>4.3944</v>
      </c>
      <c r="W306">
        <v>2.5</v>
      </c>
      <c r="X306">
        <v>2.45</v>
      </c>
      <c r="Y306">
        <v>0.12763</v>
      </c>
      <c r="Z306">
        <v>0.3388429752066116</v>
      </c>
      <c r="AA306">
        <v>0.8115942028985508</v>
      </c>
      <c r="AB306">
        <v>0.6463022508038585</v>
      </c>
      <c r="AC306">
        <v>0.5321543408360129</v>
      </c>
      <c r="AD306">
        <v>0.4807073954983923</v>
      </c>
    </row>
    <row r="307" spans="1:30">
      <c r="A307" s="1" t="s">
        <v>314</v>
      </c>
      <c r="B307">
        <f>HYPERLINK("https://www.suredividend.com/sure-analysis-VFC/","VF Corp.")</f>
        <v>0</v>
      </c>
      <c r="C307">
        <v>59.72</v>
      </c>
      <c r="D307">
        <v>23264.46348</v>
      </c>
      <c r="E307" t="s">
        <v>659</v>
      </c>
      <c r="F307" t="s">
        <v>631</v>
      </c>
      <c r="G307" t="s">
        <v>670</v>
      </c>
      <c r="H307" t="s">
        <v>699</v>
      </c>
      <c r="I307" t="s">
        <v>1008</v>
      </c>
      <c r="J307" t="s">
        <v>1312</v>
      </c>
      <c r="K307">
        <v>43971</v>
      </c>
      <c r="L307">
        <v>0.031815137307434</v>
      </c>
      <c r="M307">
        <v>-0.05502886467085477</v>
      </c>
      <c r="N307">
        <v>0.1</v>
      </c>
      <c r="O307">
        <v>0.06954678006479997</v>
      </c>
      <c r="P307" t="s">
        <v>383</v>
      </c>
      <c r="Q307" t="s">
        <v>300</v>
      </c>
      <c r="R307">
        <v>47</v>
      </c>
      <c r="S307">
        <v>1.266666666666667</v>
      </c>
      <c r="T307">
        <v>45</v>
      </c>
      <c r="U307">
        <v>1.327111111111111</v>
      </c>
      <c r="V307">
        <v>1.6936</v>
      </c>
      <c r="W307">
        <v>1.5</v>
      </c>
      <c r="X307">
        <v>1.9</v>
      </c>
      <c r="Y307">
        <v>-0.314823</v>
      </c>
      <c r="Z307">
        <v>0.4214876033057851</v>
      </c>
      <c r="AA307">
        <v>0.2721417069243156</v>
      </c>
      <c r="AB307">
        <v>0.9051446945337621</v>
      </c>
      <c r="AC307">
        <v>0.2524115755627009</v>
      </c>
      <c r="AD307">
        <v>0.4758842443729903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42.17</v>
      </c>
      <c r="D308">
        <v>21292.72942</v>
      </c>
      <c r="E308" t="s">
        <v>662</v>
      </c>
      <c r="F308" t="s">
        <v>631</v>
      </c>
      <c r="G308" t="s">
        <v>671</v>
      </c>
      <c r="H308" t="s">
        <v>699</v>
      </c>
      <c r="I308" t="s">
        <v>1009</v>
      </c>
      <c r="J308" t="s">
        <v>1320</v>
      </c>
      <c r="K308">
        <v>43957</v>
      </c>
      <c r="L308">
        <v>0.035637718164546</v>
      </c>
      <c r="M308">
        <v>-0.03114278012704852</v>
      </c>
      <c r="N308">
        <v>0.07000000000000001</v>
      </c>
      <c r="O308">
        <v>0.06837416469042701</v>
      </c>
      <c r="P308" t="s">
        <v>383</v>
      </c>
      <c r="Q308" t="s">
        <v>383</v>
      </c>
      <c r="R308">
        <v>0</v>
      </c>
      <c r="S308">
        <v>0.6261844062495459</v>
      </c>
      <c r="T308">
        <v>36</v>
      </c>
      <c r="U308">
        <v>1.171388888888889</v>
      </c>
      <c r="V308">
        <v>2.9563</v>
      </c>
      <c r="W308">
        <v>2.4</v>
      </c>
      <c r="X308">
        <v>1.50284257499891</v>
      </c>
      <c r="Y308">
        <v>-0.214858</v>
      </c>
      <c r="Z308">
        <v>0.4892561983471074</v>
      </c>
      <c r="AA308">
        <v>0.3880837359098229</v>
      </c>
      <c r="AB308">
        <v>0.7387459807073955</v>
      </c>
      <c r="AC308">
        <v>0.4019292604501608</v>
      </c>
      <c r="AD308">
        <v>0.4726688102893891</v>
      </c>
    </row>
    <row r="309" spans="1:30">
      <c r="A309" s="1" t="s">
        <v>316</v>
      </c>
      <c r="B309">
        <f>HYPERLINK("https://www.suredividend.com/sure-analysis-TRSWF/","TransAlta Renewables, Inc.")</f>
        <v>0</v>
      </c>
      <c r="C309">
        <v>11.03</v>
      </c>
      <c r="D309">
        <v>2932.877</v>
      </c>
      <c r="E309" t="s">
        <v>669</v>
      </c>
      <c r="F309" t="s">
        <v>631</v>
      </c>
      <c r="G309" t="s">
        <v>671</v>
      </c>
      <c r="H309" t="s">
        <v>700</v>
      </c>
      <c r="J309" t="s">
        <v>1315</v>
      </c>
      <c r="K309">
        <v>44013</v>
      </c>
      <c r="L309">
        <v>0.064034991241884</v>
      </c>
      <c r="M309">
        <v>-0.01941578585539405</v>
      </c>
      <c r="N309">
        <v>0.032</v>
      </c>
      <c r="O309">
        <v>0.06826646362088429</v>
      </c>
      <c r="P309" t="s">
        <v>383</v>
      </c>
      <c r="Q309" t="s">
        <v>636</v>
      </c>
      <c r="R309">
        <v>0</v>
      </c>
      <c r="S309">
        <v>0.6420963212708999</v>
      </c>
      <c r="T309">
        <v>10</v>
      </c>
      <c r="U309">
        <v>1.103</v>
      </c>
      <c r="V309">
        <v>0.3016</v>
      </c>
      <c r="W309">
        <v>1.1</v>
      </c>
      <c r="X309">
        <v>0.70630595339799</v>
      </c>
      <c r="Y309">
        <v>0.035753</v>
      </c>
      <c r="Z309">
        <v>0.7487603305785124</v>
      </c>
      <c r="AA309">
        <v>0.7359098228663445</v>
      </c>
      <c r="AB309">
        <v>0.2982315112540193</v>
      </c>
      <c r="AC309">
        <v>0.4823151125401929</v>
      </c>
      <c r="AD309">
        <v>0.4710610932475884</v>
      </c>
    </row>
    <row r="310" spans="1:30">
      <c r="A310" s="1" t="s">
        <v>317</v>
      </c>
      <c r="B310">
        <f>HYPERLINK("https://www.suredividend.com/sure-analysis-CPB/","Campbell Soup Co.")</f>
        <v>0</v>
      </c>
      <c r="C310">
        <v>49.6</v>
      </c>
      <c r="D310">
        <v>14987.3344</v>
      </c>
      <c r="E310" t="s">
        <v>666</v>
      </c>
      <c r="F310" t="s">
        <v>631</v>
      </c>
      <c r="G310" t="s">
        <v>670</v>
      </c>
      <c r="H310" t="s">
        <v>699</v>
      </c>
      <c r="I310" t="s">
        <v>1010</v>
      </c>
      <c r="J310" t="s">
        <v>1318</v>
      </c>
      <c r="K310">
        <v>44007</v>
      </c>
      <c r="L310">
        <v>0.028225806451612</v>
      </c>
      <c r="M310">
        <v>-0.00653650804430439</v>
      </c>
      <c r="N310">
        <v>0.05</v>
      </c>
      <c r="O310">
        <v>0.06733770267425165</v>
      </c>
      <c r="P310" t="s">
        <v>383</v>
      </c>
      <c r="Q310" t="s">
        <v>383</v>
      </c>
      <c r="R310">
        <v>0</v>
      </c>
      <c r="S310">
        <v>0.4912280701754386</v>
      </c>
      <c r="T310">
        <v>48</v>
      </c>
      <c r="U310">
        <v>1.033333333333333</v>
      </c>
      <c r="V310">
        <v>1.8002</v>
      </c>
      <c r="W310">
        <v>2.85</v>
      </c>
      <c r="X310">
        <v>1.4</v>
      </c>
      <c r="Y310">
        <v>0.190019</v>
      </c>
      <c r="Z310">
        <v>0.3685950413223141</v>
      </c>
      <c r="AA310">
        <v>0.8470209339774557</v>
      </c>
      <c r="AB310">
        <v>0.5160771704180064</v>
      </c>
      <c r="AC310">
        <v>0.5755627009646302</v>
      </c>
      <c r="AD310">
        <v>0.4614147909967846</v>
      </c>
    </row>
    <row r="311" spans="1:30">
      <c r="A311" s="1" t="s">
        <v>318</v>
      </c>
      <c r="B311">
        <f>HYPERLINK("https://www.suredividend.com/sure-analysis-SUUIF/","Superior Plus Corp.")</f>
        <v>0</v>
      </c>
      <c r="C311">
        <v>8.470000000000001</v>
      </c>
      <c r="D311">
        <v>1488.70414</v>
      </c>
      <c r="E311" t="s">
        <v>668</v>
      </c>
      <c r="F311" t="s">
        <v>631</v>
      </c>
      <c r="G311" t="s">
        <v>671</v>
      </c>
      <c r="H311" t="s">
        <v>700</v>
      </c>
      <c r="I311" t="s">
        <v>1011</v>
      </c>
      <c r="J311" t="s">
        <v>1315</v>
      </c>
      <c r="K311">
        <v>43985</v>
      </c>
      <c r="L311">
        <v>0.063875245218371</v>
      </c>
      <c r="M311">
        <v>0.01221278815141957</v>
      </c>
      <c r="N311">
        <v>0</v>
      </c>
      <c r="O311">
        <v>0.06674469137661321</v>
      </c>
      <c r="P311" t="s">
        <v>383</v>
      </c>
      <c r="Q311" t="s">
        <v>636</v>
      </c>
      <c r="R311">
        <v>0</v>
      </c>
      <c r="S311">
        <v>0.3783379909088182</v>
      </c>
      <c r="T311">
        <v>9</v>
      </c>
      <c r="U311">
        <v>0.9411111111111112</v>
      </c>
      <c r="V311">
        <v>-0.0104</v>
      </c>
      <c r="W311">
        <v>1.43</v>
      </c>
      <c r="X311">
        <v>0.54102332699961</v>
      </c>
      <c r="Y311">
        <v>-0.162235</v>
      </c>
      <c r="Z311">
        <v>0.7454545454545455</v>
      </c>
      <c r="AA311">
        <v>0.4573268921095008</v>
      </c>
      <c r="AB311">
        <v>0.04180064308681672</v>
      </c>
      <c r="AC311">
        <v>0.6752411575562701</v>
      </c>
      <c r="AD311">
        <v>0.4581993569131833</v>
      </c>
    </row>
    <row r="312" spans="1:30">
      <c r="A312" s="1" t="s">
        <v>319</v>
      </c>
      <c r="B312">
        <f>HYPERLINK("https://www.suredividend.com/sure-analysis-DD/","DuPont de Nemours, Inc.")</f>
        <v>0</v>
      </c>
      <c r="C312">
        <v>54.52</v>
      </c>
      <c r="D312">
        <v>40006.61244</v>
      </c>
      <c r="E312" t="s">
        <v>663</v>
      </c>
      <c r="F312" t="s">
        <v>631</v>
      </c>
      <c r="G312" t="s">
        <v>670</v>
      </c>
      <c r="H312" t="s">
        <v>699</v>
      </c>
      <c r="I312" t="s">
        <v>1012</v>
      </c>
      <c r="J312" t="s">
        <v>1319</v>
      </c>
      <c r="K312">
        <v>43957</v>
      </c>
      <c r="L312">
        <v>0.024211298606016</v>
      </c>
      <c r="M312">
        <v>-0.02515161163084456</v>
      </c>
      <c r="N312">
        <v>0.07000000000000001</v>
      </c>
      <c r="O312">
        <v>0.06562598479572856</v>
      </c>
      <c r="P312" t="s">
        <v>383</v>
      </c>
      <c r="Q312" t="s">
        <v>300</v>
      </c>
      <c r="R312">
        <v>0</v>
      </c>
      <c r="S312">
        <v>0.44</v>
      </c>
      <c r="T312">
        <v>48</v>
      </c>
      <c r="U312">
        <v>1.135833333333333</v>
      </c>
      <c r="V312">
        <v>-0.8598</v>
      </c>
      <c r="W312">
        <v>3</v>
      </c>
      <c r="X312">
        <v>1.32</v>
      </c>
      <c r="Y312">
        <v>-0.238335</v>
      </c>
      <c r="Z312">
        <v>0.3272727272727273</v>
      </c>
      <c r="AA312">
        <v>0.3526570048309178</v>
      </c>
      <c r="AB312">
        <v>0.7387459807073955</v>
      </c>
      <c r="AC312">
        <v>0.4485530546623794</v>
      </c>
      <c r="AD312">
        <v>0.4501607717041801</v>
      </c>
    </row>
    <row r="313" spans="1:30">
      <c r="A313" s="1" t="s">
        <v>320</v>
      </c>
      <c r="B313">
        <f>HYPERLINK("https://www.suredividend.com/sure-analysis-CAT/","Caterpillar, Inc.")</f>
        <v>0</v>
      </c>
      <c r="C313">
        <v>136.9</v>
      </c>
      <c r="D313">
        <v>74095.6191</v>
      </c>
      <c r="E313" t="s">
        <v>659</v>
      </c>
      <c r="F313" t="s">
        <v>631</v>
      </c>
      <c r="G313" t="s">
        <v>670</v>
      </c>
      <c r="H313" t="s">
        <v>699</v>
      </c>
      <c r="I313" t="s">
        <v>1013</v>
      </c>
      <c r="J313" t="s">
        <v>1313</v>
      </c>
      <c r="K313">
        <v>43951</v>
      </c>
      <c r="L313">
        <v>0.028853177501826</v>
      </c>
      <c r="M313">
        <v>-0.03935502600720187</v>
      </c>
      <c r="N313">
        <v>0.08</v>
      </c>
      <c r="O313">
        <v>0.0655819652192613</v>
      </c>
      <c r="P313" t="s">
        <v>383</v>
      </c>
      <c r="Q313" t="s">
        <v>383</v>
      </c>
      <c r="R313">
        <v>26</v>
      </c>
      <c r="S313">
        <v>0.79</v>
      </c>
      <c r="T313">
        <v>112</v>
      </c>
      <c r="U313">
        <v>1.222321428571429</v>
      </c>
      <c r="V313">
        <v>9.528</v>
      </c>
      <c r="W313">
        <v>5</v>
      </c>
      <c r="X313">
        <v>3.95</v>
      </c>
      <c r="Y313">
        <v>0.014901</v>
      </c>
      <c r="Z313">
        <v>0.3818181818181818</v>
      </c>
      <c r="AA313">
        <v>0.7004830917874396</v>
      </c>
      <c r="AB313">
        <v>0.8127009646302251</v>
      </c>
      <c r="AC313">
        <v>0.3472668810289389</v>
      </c>
      <c r="AD313">
        <v>0.4485530546623794</v>
      </c>
    </row>
    <row r="314" spans="1:30">
      <c r="A314" s="1" t="s">
        <v>321</v>
      </c>
      <c r="B314">
        <f>HYPERLINK("https://www.suredividend.com/sure-analysis-SAN/","Banco Santander SA")</f>
        <v>0</v>
      </c>
      <c r="C314">
        <v>2.49</v>
      </c>
      <c r="D314">
        <v>41358.077242</v>
      </c>
      <c r="E314" t="s">
        <v>663</v>
      </c>
      <c r="F314" t="s">
        <v>631</v>
      </c>
      <c r="G314" t="s">
        <v>678</v>
      </c>
      <c r="H314" t="s">
        <v>699</v>
      </c>
      <c r="I314" t="s">
        <v>1014</v>
      </c>
      <c r="J314" t="s">
        <v>1311</v>
      </c>
      <c r="K314">
        <v>43953</v>
      </c>
      <c r="L314">
        <v>0.04469879518072201</v>
      </c>
      <c r="M314">
        <v>0.0642800319655179</v>
      </c>
      <c r="N314">
        <v>0</v>
      </c>
      <c r="O314">
        <v>0.0642800319655179</v>
      </c>
      <c r="P314" t="s">
        <v>383</v>
      </c>
      <c r="Q314" t="s">
        <v>383</v>
      </c>
      <c r="R314">
        <v>0</v>
      </c>
      <c r="S314">
        <v>0.4452</v>
      </c>
      <c r="T314">
        <v>3.4</v>
      </c>
      <c r="U314">
        <v>0.7323529411764707</v>
      </c>
      <c r="V314">
        <v>0.327</v>
      </c>
      <c r="W314">
        <v>0.25</v>
      </c>
      <c r="X314">
        <v>0.1113</v>
      </c>
      <c r="Y314">
        <v>-0.446667</v>
      </c>
      <c r="Z314">
        <v>0.5983471074380166</v>
      </c>
      <c r="AA314">
        <v>0.1320450885668277</v>
      </c>
      <c r="AB314">
        <v>0.04180064308681672</v>
      </c>
      <c r="AC314">
        <v>0.9115755627009646</v>
      </c>
      <c r="AD314">
        <v>0.4405144694533762</v>
      </c>
    </row>
    <row r="315" spans="1:30">
      <c r="A315" s="1" t="s">
        <v>322</v>
      </c>
      <c r="B315">
        <f>HYPERLINK("https://www.suredividend.com/sure-analysis-LRCX/","Lam Research Corp.")</f>
        <v>0</v>
      </c>
      <c r="C315">
        <v>346.27</v>
      </c>
      <c r="D315">
        <v>50265.24574</v>
      </c>
      <c r="E315" t="s">
        <v>667</v>
      </c>
      <c r="F315" t="s">
        <v>631</v>
      </c>
      <c r="G315" t="s">
        <v>670</v>
      </c>
      <c r="H315" t="s">
        <v>701</v>
      </c>
      <c r="I315" t="s">
        <v>1015</v>
      </c>
      <c r="J315" t="s">
        <v>1317</v>
      </c>
      <c r="K315">
        <v>43958</v>
      </c>
      <c r="L315">
        <v>0.013140035232621</v>
      </c>
      <c r="M315">
        <v>-0.08098585040696082</v>
      </c>
      <c r="N315">
        <v>0.14</v>
      </c>
      <c r="O315">
        <v>0.06168525503093591</v>
      </c>
      <c r="P315" t="s">
        <v>383</v>
      </c>
      <c r="Q315" t="s">
        <v>558</v>
      </c>
      <c r="R315">
        <v>6</v>
      </c>
      <c r="S315">
        <v>0.3005284015852047</v>
      </c>
      <c r="T315">
        <v>227</v>
      </c>
      <c r="U315">
        <v>1.525418502202643</v>
      </c>
      <c r="V315">
        <v>14.4064</v>
      </c>
      <c r="W315">
        <v>15.14</v>
      </c>
      <c r="X315">
        <v>4.55</v>
      </c>
      <c r="Y315">
        <v>0.7468089999999999</v>
      </c>
      <c r="Z315">
        <v>0.1140495867768595</v>
      </c>
      <c r="AA315">
        <v>0.9855072463768115</v>
      </c>
      <c r="AB315">
        <v>0.9662379421221865</v>
      </c>
      <c r="AC315">
        <v>0.1479099678456592</v>
      </c>
      <c r="AD315">
        <v>0.4276527331189711</v>
      </c>
    </row>
    <row r="316" spans="1:30">
      <c r="A316" s="1" t="s">
        <v>323</v>
      </c>
      <c r="B316">
        <f>HYPERLINK("https://www.suredividend.com/sure-analysis-DOC/","Physicians Realty Trust")</f>
        <v>0</v>
      </c>
      <c r="C316">
        <v>17.4</v>
      </c>
      <c r="D316">
        <v>3524.5266</v>
      </c>
      <c r="E316" t="s">
        <v>664</v>
      </c>
      <c r="F316" t="s">
        <v>633</v>
      </c>
      <c r="G316" t="s">
        <v>670</v>
      </c>
      <c r="H316" t="s">
        <v>699</v>
      </c>
      <c r="I316" t="s">
        <v>1016</v>
      </c>
      <c r="J316" t="s">
        <v>1321</v>
      </c>
      <c r="K316">
        <v>43961</v>
      </c>
      <c r="L316">
        <v>0.05287356321839001</v>
      </c>
      <c r="M316">
        <v>-0.004640571552893102</v>
      </c>
      <c r="N316">
        <v>0.017</v>
      </c>
      <c r="O316">
        <v>0.05826306684799887</v>
      </c>
      <c r="P316" t="s">
        <v>383</v>
      </c>
      <c r="Q316" t="s">
        <v>636</v>
      </c>
      <c r="R316">
        <v>0</v>
      </c>
      <c r="S316">
        <v>0.8363636363636363</v>
      </c>
      <c r="T316">
        <v>17</v>
      </c>
      <c r="U316">
        <v>1.023529411764706</v>
      </c>
      <c r="V316">
        <v>0.4046</v>
      </c>
      <c r="W316">
        <v>1.1</v>
      </c>
      <c r="X316">
        <v>0.92</v>
      </c>
      <c r="Y316">
        <v>0.000575</v>
      </c>
      <c r="Z316">
        <v>0.6710743801652893</v>
      </c>
      <c r="AA316">
        <v>0.6859903381642511</v>
      </c>
      <c r="AB316">
        <v>0.114951768488746</v>
      </c>
      <c r="AC316">
        <v>0.5836012861736335</v>
      </c>
      <c r="AD316">
        <v>0.4067524115755627</v>
      </c>
    </row>
    <row r="317" spans="1:30">
      <c r="A317" s="1" t="s">
        <v>324</v>
      </c>
      <c r="B317">
        <f>HYPERLINK("https://www.suredividend.com/sure-analysis-COR/","CoreSite Realty Corp.")</f>
        <v>0</v>
      </c>
      <c r="C317">
        <v>120.2</v>
      </c>
      <c r="D317">
        <v>4555.98868</v>
      </c>
      <c r="E317" t="s">
        <v>669</v>
      </c>
      <c r="F317" t="s">
        <v>633</v>
      </c>
      <c r="G317" t="s">
        <v>670</v>
      </c>
      <c r="H317" t="s">
        <v>699</v>
      </c>
      <c r="I317" t="s">
        <v>1017</v>
      </c>
      <c r="J317" t="s">
        <v>1321</v>
      </c>
      <c r="K317">
        <v>43971</v>
      </c>
      <c r="L317">
        <v>0.04059900166389301</v>
      </c>
      <c r="M317">
        <v>-0.04001527747765343</v>
      </c>
      <c r="N317">
        <v>0.063</v>
      </c>
      <c r="O317">
        <v>0.05797835496390435</v>
      </c>
      <c r="P317" t="s">
        <v>383</v>
      </c>
      <c r="Q317" t="s">
        <v>383</v>
      </c>
      <c r="R317">
        <v>10</v>
      </c>
      <c r="S317">
        <v>0.9475728155339805</v>
      </c>
      <c r="T317">
        <v>98</v>
      </c>
      <c r="U317">
        <v>1.226530612244898</v>
      </c>
      <c r="V317">
        <v>2.0007</v>
      </c>
      <c r="W317">
        <v>5.15</v>
      </c>
      <c r="X317">
        <v>4.88</v>
      </c>
      <c r="Y317">
        <v>0.037638</v>
      </c>
      <c r="Z317">
        <v>0.5537190082644627</v>
      </c>
      <c r="AA317">
        <v>0.7391304347826088</v>
      </c>
      <c r="AB317">
        <v>0.6913183279742765</v>
      </c>
      <c r="AC317">
        <v>0.3408360128617363</v>
      </c>
      <c r="AD317">
        <v>0.4003215434083602</v>
      </c>
    </row>
    <row r="318" spans="1:30">
      <c r="A318" s="1" t="s">
        <v>325</v>
      </c>
      <c r="B318">
        <f>HYPERLINK("https://www.suredividend.com/sure-analysis-PHG/","Koninklijke Philips NV")</f>
        <v>0</v>
      </c>
      <c r="C318">
        <v>49.76</v>
      </c>
      <c r="D318">
        <v>45047.383113</v>
      </c>
      <c r="E318" t="s">
        <v>662</v>
      </c>
      <c r="F318" t="s">
        <v>631</v>
      </c>
      <c r="G318" t="s">
        <v>684</v>
      </c>
      <c r="H318" t="s">
        <v>699</v>
      </c>
      <c r="I318" t="s">
        <v>1018</v>
      </c>
      <c r="J318" t="s">
        <v>1314</v>
      </c>
      <c r="K318">
        <v>43966</v>
      </c>
      <c r="L318">
        <v>0.016419594051446</v>
      </c>
      <c r="M318">
        <v>-0.06268746330864328</v>
      </c>
      <c r="N318">
        <v>0.11</v>
      </c>
      <c r="O318">
        <v>0.05794356529099454</v>
      </c>
      <c r="P318" t="s">
        <v>383</v>
      </c>
      <c r="Q318" t="s">
        <v>558</v>
      </c>
      <c r="R318">
        <v>0</v>
      </c>
      <c r="S318">
        <v>0.4085195</v>
      </c>
      <c r="T318">
        <v>36</v>
      </c>
      <c r="U318">
        <v>1.382222222222222</v>
      </c>
      <c r="V318">
        <v>1.3683</v>
      </c>
      <c r="W318">
        <v>2</v>
      </c>
      <c r="X318">
        <v>0.817039</v>
      </c>
      <c r="Y318">
        <v>0.149988</v>
      </c>
      <c r="Z318">
        <v>0.1619834710743802</v>
      </c>
      <c r="AA318">
        <v>0.8325281803542672</v>
      </c>
      <c r="AB318">
        <v>0.9316720257234726</v>
      </c>
      <c r="AC318">
        <v>0.2154340836012862</v>
      </c>
      <c r="AD318">
        <v>0.3987138263665595</v>
      </c>
    </row>
    <row r="319" spans="1:30">
      <c r="A319" s="1" t="s">
        <v>326</v>
      </c>
      <c r="B319">
        <f>HYPERLINK("https://www.suredividend.com/sure-analysis-DEA/","Easterly Government Properties, Inc.")</f>
        <v>0</v>
      </c>
      <c r="C319">
        <v>22.7</v>
      </c>
      <c r="D319">
        <v>1902.028732</v>
      </c>
      <c r="E319" t="s">
        <v>669</v>
      </c>
      <c r="F319" t="s">
        <v>633</v>
      </c>
      <c r="G319" t="s">
        <v>670</v>
      </c>
      <c r="H319" t="s">
        <v>699</v>
      </c>
      <c r="I319" t="s">
        <v>1019</v>
      </c>
      <c r="J319" t="s">
        <v>1321</v>
      </c>
      <c r="K319">
        <v>44001</v>
      </c>
      <c r="L319">
        <v>0.045814977973568</v>
      </c>
      <c r="M319">
        <v>-0.02500850411023636</v>
      </c>
      <c r="N319">
        <v>0.034</v>
      </c>
      <c r="O319">
        <v>0.05541107793132793</v>
      </c>
      <c r="P319" t="s">
        <v>383</v>
      </c>
      <c r="Q319" t="s">
        <v>383</v>
      </c>
      <c r="R319">
        <v>0</v>
      </c>
      <c r="S319">
        <v>0.8455284552845529</v>
      </c>
      <c r="T319">
        <v>20</v>
      </c>
      <c r="U319">
        <v>1.135</v>
      </c>
      <c r="V319">
        <v>0.1303</v>
      </c>
      <c r="W319">
        <v>1.23</v>
      </c>
      <c r="X319">
        <v>1.04</v>
      </c>
      <c r="Y319">
        <v>0.213255</v>
      </c>
      <c r="Z319">
        <v>0.6115702479338843</v>
      </c>
      <c r="AA319">
        <v>0.8743961352657004</v>
      </c>
      <c r="AB319">
        <v>0.3014469453376206</v>
      </c>
      <c r="AC319">
        <v>0.4501607717041801</v>
      </c>
      <c r="AD319">
        <v>0.3842443729903537</v>
      </c>
    </row>
    <row r="320" spans="1:30">
      <c r="A320" s="1" t="s">
        <v>327</v>
      </c>
      <c r="B320">
        <f>HYPERLINK("https://www.suredividend.com/sure-analysis-CNP/","CenterPoint Energy, Inc.")</f>
        <v>0</v>
      </c>
      <c r="C320">
        <v>19.86</v>
      </c>
      <c r="D320">
        <v>10817.58312</v>
      </c>
      <c r="E320" t="s">
        <v>669</v>
      </c>
      <c r="F320" t="s">
        <v>631</v>
      </c>
      <c r="G320" t="s">
        <v>670</v>
      </c>
      <c r="H320" t="s">
        <v>699</v>
      </c>
      <c r="I320" t="s">
        <v>1020</v>
      </c>
      <c r="J320" t="s">
        <v>1315</v>
      </c>
      <c r="K320">
        <v>44001</v>
      </c>
      <c r="L320">
        <v>0.058031218529707</v>
      </c>
      <c r="M320">
        <v>-0.04230295432840536</v>
      </c>
      <c r="N320">
        <v>0.04</v>
      </c>
      <c r="O320">
        <v>0.05325732311376008</v>
      </c>
      <c r="P320" t="s">
        <v>383</v>
      </c>
      <c r="Q320" t="s">
        <v>636</v>
      </c>
      <c r="R320">
        <v>14</v>
      </c>
      <c r="S320">
        <v>0.8537037037037037</v>
      </c>
      <c r="T320">
        <v>16</v>
      </c>
      <c r="U320">
        <v>1.24125</v>
      </c>
      <c r="V320">
        <v>-1.3811</v>
      </c>
      <c r="W320">
        <v>1.35</v>
      </c>
      <c r="X320">
        <v>1.1525</v>
      </c>
      <c r="Y320">
        <v>-0.321026</v>
      </c>
      <c r="Z320">
        <v>0.7090909090909091</v>
      </c>
      <c r="AA320">
        <v>0.2624798711755233</v>
      </c>
      <c r="AB320">
        <v>0.3794212218649518</v>
      </c>
      <c r="AC320">
        <v>0.3183279742765273</v>
      </c>
      <c r="AD320">
        <v>0.3729903536977492</v>
      </c>
    </row>
    <row r="321" spans="1:30">
      <c r="A321" s="1" t="s">
        <v>328</v>
      </c>
      <c r="B321">
        <f>HYPERLINK("https://www.suredividend.com/sure-analysis-CMI/","Cummins, Inc.")</f>
        <v>0</v>
      </c>
      <c r="C321">
        <v>183.11</v>
      </c>
      <c r="D321">
        <v>27013.48586</v>
      </c>
      <c r="E321" t="s">
        <v>664</v>
      </c>
      <c r="F321" t="s">
        <v>631</v>
      </c>
      <c r="G321" t="s">
        <v>670</v>
      </c>
      <c r="H321" t="s">
        <v>699</v>
      </c>
      <c r="I321" t="s">
        <v>1021</v>
      </c>
      <c r="J321" t="s">
        <v>1313</v>
      </c>
      <c r="K321">
        <v>43949</v>
      </c>
      <c r="L321">
        <v>0.027704658402053</v>
      </c>
      <c r="M321">
        <v>-0.05363090900123491</v>
      </c>
      <c r="N321">
        <v>0.08</v>
      </c>
      <c r="O321">
        <v>0.05084792340976718</v>
      </c>
      <c r="P321" t="s">
        <v>383</v>
      </c>
      <c r="Q321" t="s">
        <v>300</v>
      </c>
      <c r="R321">
        <v>14</v>
      </c>
      <c r="S321">
        <v>0.7278335724533717</v>
      </c>
      <c r="T321">
        <v>139</v>
      </c>
      <c r="U321">
        <v>1.317338129496403</v>
      </c>
      <c r="V321">
        <v>13.681</v>
      </c>
      <c r="W321">
        <v>6.97</v>
      </c>
      <c r="X321">
        <v>5.073</v>
      </c>
      <c r="Y321">
        <v>0.09033000000000001</v>
      </c>
      <c r="Z321">
        <v>0.3652892561983471</v>
      </c>
      <c r="AA321">
        <v>0.7890499194847022</v>
      </c>
      <c r="AB321">
        <v>0.8127009646302251</v>
      </c>
      <c r="AC321">
        <v>0.2684887459807074</v>
      </c>
      <c r="AD321">
        <v>0.3601286173633441</v>
      </c>
    </row>
    <row r="322" spans="1:30">
      <c r="A322" s="1" t="s">
        <v>329</v>
      </c>
      <c r="B322">
        <f>HYPERLINK("https://www.suredividend.com/sure-analysis-MAR/","Marriott International, Inc.")</f>
        <v>0</v>
      </c>
      <c r="C322">
        <v>91.48</v>
      </c>
      <c r="D322">
        <v>29662.93888</v>
      </c>
      <c r="E322" t="s">
        <v>667</v>
      </c>
      <c r="F322" t="s">
        <v>631</v>
      </c>
      <c r="G322" t="s">
        <v>670</v>
      </c>
      <c r="H322" t="s">
        <v>701</v>
      </c>
      <c r="I322" t="s">
        <v>1022</v>
      </c>
      <c r="J322" t="s">
        <v>1312</v>
      </c>
      <c r="K322">
        <v>43993</v>
      </c>
      <c r="L322">
        <v>0.020988194140795</v>
      </c>
      <c r="M322">
        <v>-0.03137942621381962</v>
      </c>
      <c r="N322">
        <v>0.08</v>
      </c>
      <c r="O322">
        <v>0.05045529770885571</v>
      </c>
      <c r="P322" t="s">
        <v>383</v>
      </c>
      <c r="Q322" t="s">
        <v>558</v>
      </c>
      <c r="R322">
        <v>9</v>
      </c>
      <c r="S322">
        <v>0.4413793103448276</v>
      </c>
      <c r="T322">
        <v>78</v>
      </c>
      <c r="U322">
        <v>1.172820512820513</v>
      </c>
      <c r="V322">
        <v>2.8148</v>
      </c>
      <c r="W322">
        <v>4.35</v>
      </c>
      <c r="X322">
        <v>1.92</v>
      </c>
      <c r="Y322">
        <v>-0.345637</v>
      </c>
      <c r="Z322">
        <v>0.2628099173553719</v>
      </c>
      <c r="AA322">
        <v>0.2351046698872786</v>
      </c>
      <c r="AB322">
        <v>0.8127009646302251</v>
      </c>
      <c r="AC322">
        <v>0.4003215434083602</v>
      </c>
      <c r="AD322">
        <v>0.3569131832797428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55.7</v>
      </c>
      <c r="D323">
        <v>64842.535059</v>
      </c>
      <c r="E323" t="s">
        <v>662</v>
      </c>
      <c r="F323" t="s">
        <v>631</v>
      </c>
      <c r="G323" t="s">
        <v>673</v>
      </c>
      <c r="H323" t="s">
        <v>699</v>
      </c>
      <c r="I323" t="s">
        <v>1023</v>
      </c>
      <c r="J323" t="s">
        <v>1318</v>
      </c>
      <c r="K323">
        <v>43949</v>
      </c>
      <c r="L323">
        <v>0.032421903052064</v>
      </c>
      <c r="M323">
        <v>-0.04176624863066014</v>
      </c>
      <c r="N323">
        <v>0.06</v>
      </c>
      <c r="O323">
        <v>0.04817857842506479</v>
      </c>
      <c r="P323" t="s">
        <v>383</v>
      </c>
      <c r="Q323" t="s">
        <v>383</v>
      </c>
      <c r="R323">
        <v>4</v>
      </c>
      <c r="S323">
        <v>0.72236</v>
      </c>
      <c r="T323">
        <v>45</v>
      </c>
      <c r="U323">
        <v>1.237777777777778</v>
      </c>
      <c r="V323">
        <v>2.4082</v>
      </c>
      <c r="W323">
        <v>2.5</v>
      </c>
      <c r="X323">
        <v>1.8059</v>
      </c>
      <c r="Y323">
        <v>-0.120202</v>
      </c>
      <c r="Z323">
        <v>0.4297520661157025</v>
      </c>
      <c r="AA323">
        <v>0.5152979066022545</v>
      </c>
      <c r="AB323">
        <v>0.6463022508038585</v>
      </c>
      <c r="AC323">
        <v>0.3247588424437299</v>
      </c>
      <c r="AD323">
        <v>0.3440514469453376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73.48999999999999</v>
      </c>
      <c r="D324">
        <v>26368.212</v>
      </c>
      <c r="E324" t="s">
        <v>664</v>
      </c>
      <c r="F324" t="s">
        <v>631</v>
      </c>
      <c r="G324" t="s">
        <v>670</v>
      </c>
      <c r="H324" t="s">
        <v>701</v>
      </c>
      <c r="I324" t="s">
        <v>1024</v>
      </c>
      <c r="J324" t="s">
        <v>1313</v>
      </c>
      <c r="K324">
        <v>44019</v>
      </c>
      <c r="L324">
        <v>0.033746087903116</v>
      </c>
      <c r="M324">
        <v>-0.04623814482850985</v>
      </c>
      <c r="N324">
        <v>0.06</v>
      </c>
      <c r="O324">
        <v>0.04599650486327111</v>
      </c>
      <c r="P324" t="s">
        <v>383</v>
      </c>
      <c r="Q324" t="s">
        <v>300</v>
      </c>
      <c r="R324">
        <v>9</v>
      </c>
      <c r="S324">
        <v>0.8985507246376813</v>
      </c>
      <c r="T324">
        <v>58</v>
      </c>
      <c r="U324">
        <v>1.267068965517241</v>
      </c>
      <c r="V324">
        <v>3.0633</v>
      </c>
      <c r="W324">
        <v>2.76</v>
      </c>
      <c r="X324">
        <v>2.48</v>
      </c>
      <c r="Y324">
        <v>-0.141372</v>
      </c>
      <c r="Z324">
        <v>0.4578512396694215</v>
      </c>
      <c r="AA324">
        <v>0.4895330112721417</v>
      </c>
      <c r="AB324">
        <v>0.6463022508038585</v>
      </c>
      <c r="AC324">
        <v>0.3102893890675241</v>
      </c>
      <c r="AD324">
        <v>0.3199356913183279</v>
      </c>
    </row>
    <row r="325" spans="1:30">
      <c r="A325" s="1" t="s">
        <v>332</v>
      </c>
      <c r="B325">
        <f>HYPERLINK("https://www.suredividend.com/sure-analysis-FLO/","Flowers Foods, Inc.")</f>
        <v>0</v>
      </c>
      <c r="C325">
        <v>21.9</v>
      </c>
      <c r="D325">
        <v>4633.4706</v>
      </c>
      <c r="E325" t="s">
        <v>659</v>
      </c>
      <c r="F325" t="s">
        <v>631</v>
      </c>
      <c r="G325" t="s">
        <v>670</v>
      </c>
      <c r="H325" t="s">
        <v>699</v>
      </c>
      <c r="I325" t="s">
        <v>1025</v>
      </c>
      <c r="J325" t="s">
        <v>1318</v>
      </c>
      <c r="K325">
        <v>43971</v>
      </c>
      <c r="L325">
        <v>0.034703196347031</v>
      </c>
      <c r="M325">
        <v>-0.02800977536408322</v>
      </c>
      <c r="N325">
        <v>0.04</v>
      </c>
      <c r="O325">
        <v>0.04483136308055635</v>
      </c>
      <c r="P325" t="s">
        <v>383</v>
      </c>
      <c r="Q325" t="s">
        <v>383</v>
      </c>
      <c r="R325">
        <v>18</v>
      </c>
      <c r="S325">
        <v>0.7307692307692307</v>
      </c>
      <c r="T325">
        <v>19</v>
      </c>
      <c r="U325">
        <v>1.152631578947368</v>
      </c>
      <c r="V325">
        <v>0.4388</v>
      </c>
      <c r="W325">
        <v>1.04</v>
      </c>
      <c r="X325">
        <v>0.76</v>
      </c>
      <c r="Y325">
        <v>-0.071641</v>
      </c>
      <c r="Z325">
        <v>0.4727272727272727</v>
      </c>
      <c r="AA325">
        <v>0.5974235104669887</v>
      </c>
      <c r="AB325">
        <v>0.3794212218649518</v>
      </c>
      <c r="AC325">
        <v>0.4292604501607717</v>
      </c>
      <c r="AD325">
        <v>0.3135048231511254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64.64</v>
      </c>
      <c r="D326">
        <v>39421.93216</v>
      </c>
      <c r="E326" t="s">
        <v>662</v>
      </c>
      <c r="F326" t="s">
        <v>631</v>
      </c>
      <c r="G326" t="s">
        <v>670</v>
      </c>
      <c r="H326" t="s">
        <v>699</v>
      </c>
      <c r="I326" t="s">
        <v>1026</v>
      </c>
      <c r="J326" t="s">
        <v>1318</v>
      </c>
      <c r="K326">
        <v>44014</v>
      </c>
      <c r="L326">
        <v>0.030321782178217</v>
      </c>
      <c r="M326">
        <v>-0.01478734764774747</v>
      </c>
      <c r="N326">
        <v>0.03</v>
      </c>
      <c r="O326">
        <v>0.04281244798809958</v>
      </c>
      <c r="P326" t="s">
        <v>383</v>
      </c>
      <c r="Q326" t="s">
        <v>383</v>
      </c>
      <c r="R326">
        <v>0</v>
      </c>
      <c r="S326">
        <v>0.5521126760563381</v>
      </c>
      <c r="T326">
        <v>60</v>
      </c>
      <c r="U326">
        <v>1.077333333333333</v>
      </c>
      <c r="V326">
        <v>3.5865</v>
      </c>
      <c r="W326">
        <v>3.55</v>
      </c>
      <c r="X326">
        <v>1.96</v>
      </c>
      <c r="Y326">
        <v>0.213213</v>
      </c>
      <c r="Z326">
        <v>0.3983471074380165</v>
      </c>
      <c r="AA326">
        <v>0.8727858293075684</v>
      </c>
      <c r="AB326">
        <v>0.247588424437299</v>
      </c>
      <c r="AC326">
        <v>0.5192926045016076</v>
      </c>
      <c r="AD326">
        <v>0.3022508038585209</v>
      </c>
    </row>
    <row r="327" spans="1:30">
      <c r="A327" s="1" t="s">
        <v>334</v>
      </c>
      <c r="B327">
        <f>HYPERLINK("https://www.suredividend.com/sure-analysis-HPE/","Hewlett-Packard Enterprise Co.")</f>
        <v>0</v>
      </c>
      <c r="C327">
        <v>9.67</v>
      </c>
      <c r="D327">
        <v>12423.6292</v>
      </c>
      <c r="E327" t="s">
        <v>665</v>
      </c>
      <c r="F327" t="s">
        <v>631</v>
      </c>
      <c r="G327" t="s">
        <v>670</v>
      </c>
      <c r="H327" t="s">
        <v>699</v>
      </c>
      <c r="I327" t="s">
        <v>1027</v>
      </c>
      <c r="J327" t="s">
        <v>1317</v>
      </c>
      <c r="K327">
        <v>43993</v>
      </c>
      <c r="L327">
        <v>0.048086866597724</v>
      </c>
      <c r="M327">
        <v>0.001854535720177797</v>
      </c>
      <c r="N327">
        <v>-0.01</v>
      </c>
      <c r="O327">
        <v>0.04165313069257137</v>
      </c>
      <c r="P327" t="s">
        <v>383</v>
      </c>
      <c r="Q327" t="s">
        <v>383</v>
      </c>
      <c r="R327">
        <v>4</v>
      </c>
      <c r="S327">
        <v>0.3811475409836066</v>
      </c>
      <c r="T327">
        <v>9.76</v>
      </c>
      <c r="U327">
        <v>0.9907786885245902</v>
      </c>
      <c r="V327">
        <v>-0.0331</v>
      </c>
      <c r="W327">
        <v>1.22</v>
      </c>
      <c r="X327">
        <v>0.465</v>
      </c>
      <c r="Y327">
        <v>-0.344407</v>
      </c>
      <c r="Z327">
        <v>0.6380165289256198</v>
      </c>
      <c r="AA327">
        <v>0.2415458937198068</v>
      </c>
      <c r="AB327">
        <v>0.01768488745980707</v>
      </c>
      <c r="AC327">
        <v>0.6141479099678456</v>
      </c>
      <c r="AD327">
        <v>0.2893890675241158</v>
      </c>
    </row>
    <row r="328" spans="1:30">
      <c r="A328" s="1" t="s">
        <v>335</v>
      </c>
      <c r="B328">
        <f>HYPERLINK("https://www.suredividend.com/sure-analysis-SIEGY/","Siemens AG")</f>
        <v>0</v>
      </c>
      <c r="C328">
        <v>64.14</v>
      </c>
      <c r="D328">
        <v>104261.872883</v>
      </c>
      <c r="E328" t="s">
        <v>660</v>
      </c>
      <c r="F328" t="s">
        <v>631</v>
      </c>
      <c r="G328" t="s">
        <v>677</v>
      </c>
      <c r="H328" t="s">
        <v>700</v>
      </c>
      <c r="I328" t="s">
        <v>1028</v>
      </c>
      <c r="J328" t="s">
        <v>1313</v>
      </c>
      <c r="K328">
        <v>43974</v>
      </c>
      <c r="L328">
        <v>0.033038665419395</v>
      </c>
      <c r="M328">
        <v>-0.03743651460417052</v>
      </c>
      <c r="N328">
        <v>0.045</v>
      </c>
      <c r="O328">
        <v>0.0403579393483291</v>
      </c>
      <c r="P328" t="s">
        <v>383</v>
      </c>
      <c r="Q328" t="s">
        <v>300</v>
      </c>
      <c r="R328">
        <v>6</v>
      </c>
      <c r="S328">
        <v>0.8476399999999999</v>
      </c>
      <c r="T328">
        <v>53</v>
      </c>
      <c r="U328">
        <v>1.210188679245283</v>
      </c>
      <c r="V328">
        <v>3.6345</v>
      </c>
      <c r="W328">
        <v>2.5</v>
      </c>
      <c r="X328">
        <v>2.1191</v>
      </c>
      <c r="Y328">
        <v>0.143723</v>
      </c>
      <c r="Z328">
        <v>0.4429752066115702</v>
      </c>
      <c r="AA328">
        <v>0.8244766505636071</v>
      </c>
      <c r="AB328">
        <v>0.4381028938906752</v>
      </c>
      <c r="AC328">
        <v>0.3553054662379422</v>
      </c>
      <c r="AD328">
        <v>0.2845659163987138</v>
      </c>
    </row>
    <row r="329" spans="1:30">
      <c r="A329" s="1" t="s">
        <v>336</v>
      </c>
      <c r="B329">
        <f>HYPERLINK("https://www.suredividend.com/sure-analysis-PKX/","POSCO")</f>
        <v>0</v>
      </c>
      <c r="C329">
        <v>38.48</v>
      </c>
      <c r="D329">
        <v>12331.394076</v>
      </c>
      <c r="E329" t="s">
        <v>663</v>
      </c>
      <c r="F329" t="s">
        <v>631</v>
      </c>
      <c r="G329" t="s">
        <v>687</v>
      </c>
      <c r="H329" t="s">
        <v>699</v>
      </c>
      <c r="I329" t="s">
        <v>1029</v>
      </c>
      <c r="J329" t="s">
        <v>1319</v>
      </c>
      <c r="K329">
        <v>43963</v>
      </c>
      <c r="L329">
        <v>0.039979209979209</v>
      </c>
      <c r="M329">
        <v>-0.0187795381007031</v>
      </c>
      <c r="N329">
        <v>0.02</v>
      </c>
      <c r="O329">
        <v>0.04033754588833416</v>
      </c>
      <c r="P329" t="s">
        <v>383</v>
      </c>
      <c r="Q329" t="s">
        <v>383</v>
      </c>
      <c r="R329">
        <v>0</v>
      </c>
      <c r="S329">
        <v>0.41024</v>
      </c>
      <c r="T329">
        <v>35</v>
      </c>
      <c r="U329">
        <v>1.099428571428571</v>
      </c>
      <c r="V329">
        <v>3.9127</v>
      </c>
      <c r="W329">
        <v>3.75</v>
      </c>
      <c r="X329">
        <v>1.5384</v>
      </c>
      <c r="Y329">
        <v>-0.224663</v>
      </c>
      <c r="Z329">
        <v>0.5454545454545454</v>
      </c>
      <c r="AA329">
        <v>0.3735909822866345</v>
      </c>
      <c r="AB329">
        <v>0.157556270096463</v>
      </c>
      <c r="AC329">
        <v>0.4903536977491962</v>
      </c>
      <c r="AD329">
        <v>0.2829581993569132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133.89</v>
      </c>
      <c r="D330">
        <v>122880.62697</v>
      </c>
      <c r="E330" t="s">
        <v>660</v>
      </c>
      <c r="F330" t="s">
        <v>631</v>
      </c>
      <c r="G330" t="s">
        <v>670</v>
      </c>
      <c r="H330" t="s">
        <v>701</v>
      </c>
      <c r="I330" t="s">
        <v>1030</v>
      </c>
      <c r="J330" t="s">
        <v>1317</v>
      </c>
      <c r="K330">
        <v>43945</v>
      </c>
      <c r="L330">
        <v>0.024945851071775</v>
      </c>
      <c r="M330">
        <v>-0.06632637072312675</v>
      </c>
      <c r="N330">
        <v>0.08</v>
      </c>
      <c r="O330">
        <v>0.04022345893956958</v>
      </c>
      <c r="P330" t="s">
        <v>383</v>
      </c>
      <c r="Q330" t="s">
        <v>300</v>
      </c>
      <c r="R330">
        <v>16</v>
      </c>
      <c r="S330">
        <v>0.6549019607843137</v>
      </c>
      <c r="T330">
        <v>95</v>
      </c>
      <c r="U330">
        <v>1.409368421052631</v>
      </c>
      <c r="V330">
        <v>5.2883</v>
      </c>
      <c r="W330">
        <v>5.1</v>
      </c>
      <c r="X330">
        <v>3.34</v>
      </c>
      <c r="Y330">
        <v>0.129206</v>
      </c>
      <c r="Z330">
        <v>0.3322314049586776</v>
      </c>
      <c r="AA330">
        <v>0.8132045088566828</v>
      </c>
      <c r="AB330">
        <v>0.8127009646302251</v>
      </c>
      <c r="AC330">
        <v>0.2009646302250804</v>
      </c>
      <c r="AD330">
        <v>0.2813504823151126</v>
      </c>
    </row>
    <row r="331" spans="1:30">
      <c r="A331" s="1" t="s">
        <v>338</v>
      </c>
      <c r="B331">
        <f>HYPERLINK("https://www.suredividend.com/sure-analysis-SKM/","SK Telecom Co., Ltd.")</f>
        <v>0</v>
      </c>
      <c r="C331">
        <v>19.87</v>
      </c>
      <c r="D331">
        <v>13079.11982</v>
      </c>
      <c r="E331" t="s">
        <v>666</v>
      </c>
      <c r="F331" t="s">
        <v>631</v>
      </c>
      <c r="G331" t="s">
        <v>687</v>
      </c>
      <c r="H331" t="s">
        <v>699</v>
      </c>
      <c r="I331" t="s">
        <v>1031</v>
      </c>
      <c r="J331" t="s">
        <v>1320</v>
      </c>
      <c r="K331">
        <v>44007</v>
      </c>
      <c r="L331">
        <v>0.04078007045797601</v>
      </c>
      <c r="M331">
        <v>-0.0546803654816761</v>
      </c>
      <c r="N331">
        <v>0.05</v>
      </c>
      <c r="O331">
        <v>0.03973598459388406</v>
      </c>
      <c r="P331" t="s">
        <v>383</v>
      </c>
      <c r="Q331" t="s">
        <v>636</v>
      </c>
      <c r="R331">
        <v>0</v>
      </c>
      <c r="S331">
        <v>0.5402</v>
      </c>
      <c r="T331">
        <v>15</v>
      </c>
      <c r="U331">
        <v>1.324666666666667</v>
      </c>
      <c r="V331">
        <v>1.0436</v>
      </c>
      <c r="W331">
        <v>1.5</v>
      </c>
      <c r="X331">
        <v>0.8103</v>
      </c>
      <c r="Y331">
        <v>-0.185322</v>
      </c>
      <c r="Z331">
        <v>0.5619834710743802</v>
      </c>
      <c r="AA331">
        <v>0.428341384863124</v>
      </c>
      <c r="AB331">
        <v>0.5160771704180064</v>
      </c>
      <c r="AC331">
        <v>0.2556270096463023</v>
      </c>
      <c r="AD331">
        <v>0.2765273311897106</v>
      </c>
    </row>
    <row r="332" spans="1:30">
      <c r="A332" s="1" t="s">
        <v>339</v>
      </c>
      <c r="B332">
        <f>HYPERLINK("https://www.suredividend.com/sure-analysis-STZ/","Constellation Brands, Inc.")</f>
        <v>0</v>
      </c>
      <c r="C332">
        <v>180.61</v>
      </c>
      <c r="D332">
        <v>34855.874774</v>
      </c>
      <c r="E332" t="s">
        <v>659</v>
      </c>
      <c r="F332" t="s">
        <v>631</v>
      </c>
      <c r="G332" t="s">
        <v>670</v>
      </c>
      <c r="H332" t="s">
        <v>699</v>
      </c>
      <c r="I332" t="s">
        <v>1032</v>
      </c>
      <c r="J332" t="s">
        <v>1318</v>
      </c>
      <c r="K332">
        <v>44014</v>
      </c>
      <c r="L332">
        <v>0.016610375948175</v>
      </c>
      <c r="M332">
        <v>-0.02762995381235289</v>
      </c>
      <c r="N332">
        <v>0.05</v>
      </c>
      <c r="O332">
        <v>0.03814331804136195</v>
      </c>
      <c r="P332" t="s">
        <v>383</v>
      </c>
      <c r="Q332" t="s">
        <v>558</v>
      </c>
      <c r="R332">
        <v>4</v>
      </c>
      <c r="S332">
        <v>0.3448275862068966</v>
      </c>
      <c r="T332">
        <v>157</v>
      </c>
      <c r="U332">
        <v>1.150382165605096</v>
      </c>
      <c r="V332">
        <v>0.2977</v>
      </c>
      <c r="W332">
        <v>8.699999999999999</v>
      </c>
      <c r="X332">
        <v>3</v>
      </c>
      <c r="Y332">
        <v>-0.108539</v>
      </c>
      <c r="Z332">
        <v>0.1652892561983471</v>
      </c>
      <c r="AA332">
        <v>0.533011272141707</v>
      </c>
      <c r="AB332">
        <v>0.5160771704180064</v>
      </c>
      <c r="AC332">
        <v>0.4324758842443729</v>
      </c>
      <c r="AD332">
        <v>0.2684887459807074</v>
      </c>
    </row>
    <row r="333" spans="1:30">
      <c r="A333" s="1" t="s">
        <v>340</v>
      </c>
      <c r="B333">
        <f>HYPERLINK("https://www.suredividend.com/sure-analysis-MA/","Mastercard, Inc.")</f>
        <v>0</v>
      </c>
      <c r="C333">
        <v>304.06</v>
      </c>
      <c r="D333">
        <v>305288.70646</v>
      </c>
      <c r="E333" t="s">
        <v>664</v>
      </c>
      <c r="F333" t="s">
        <v>631</v>
      </c>
      <c r="G333" t="s">
        <v>670</v>
      </c>
      <c r="H333" t="s">
        <v>699</v>
      </c>
      <c r="I333" t="s">
        <v>1033</v>
      </c>
      <c r="J333" t="s">
        <v>1311</v>
      </c>
      <c r="K333">
        <v>43950</v>
      </c>
      <c r="L333">
        <v>0.004801683878181</v>
      </c>
      <c r="M333">
        <v>-0.1035817795951879</v>
      </c>
      <c r="N333">
        <v>0.15</v>
      </c>
      <c r="O333">
        <v>0.03800985985853989</v>
      </c>
      <c r="P333" t="s">
        <v>383</v>
      </c>
      <c r="Q333" t="s">
        <v>558</v>
      </c>
      <c r="R333">
        <v>8</v>
      </c>
      <c r="S333">
        <v>0.199181446111869</v>
      </c>
      <c r="T333">
        <v>176</v>
      </c>
      <c r="U333">
        <v>1.727613636363636</v>
      </c>
      <c r="V333">
        <v>7.8567</v>
      </c>
      <c r="W333">
        <v>7.33</v>
      </c>
      <c r="X333">
        <v>1.46</v>
      </c>
      <c r="Y333">
        <v>0.098562</v>
      </c>
      <c r="Z333">
        <v>0.01818181818181818</v>
      </c>
      <c r="AA333">
        <v>0.7954911433172304</v>
      </c>
      <c r="AB333">
        <v>0.9766881028938907</v>
      </c>
      <c r="AC333">
        <v>0.07395498392282958</v>
      </c>
      <c r="AD333">
        <v>0.2668810289389068</v>
      </c>
    </row>
    <row r="334" spans="1:30">
      <c r="A334" s="1" t="s">
        <v>341</v>
      </c>
      <c r="B334">
        <f>HYPERLINK("https://www.suredividend.com/sure-analysis-V/","Visa, Inc.")</f>
        <v>0</v>
      </c>
      <c r="C334">
        <v>195.09</v>
      </c>
      <c r="D334">
        <v>379156.489883</v>
      </c>
      <c r="E334" t="s">
        <v>659</v>
      </c>
      <c r="F334" t="s">
        <v>631</v>
      </c>
      <c r="G334" t="s">
        <v>670</v>
      </c>
      <c r="H334" t="s">
        <v>699</v>
      </c>
      <c r="I334" t="s">
        <v>1034</v>
      </c>
      <c r="J334" t="s">
        <v>1311</v>
      </c>
      <c r="K334">
        <v>43958</v>
      </c>
      <c r="L334">
        <v>0.005638423291814</v>
      </c>
      <c r="M334">
        <v>-0.09720286829172964</v>
      </c>
      <c r="N334">
        <v>0.14</v>
      </c>
      <c r="O334">
        <v>0.03778987509480092</v>
      </c>
      <c r="P334" t="s">
        <v>383</v>
      </c>
      <c r="Q334" t="s">
        <v>558</v>
      </c>
      <c r="R334">
        <v>12</v>
      </c>
      <c r="S334">
        <v>0.2075471698113208</v>
      </c>
      <c r="T334">
        <v>117</v>
      </c>
      <c r="U334">
        <v>1.667435897435897</v>
      </c>
      <c r="V334">
        <v>5.5661</v>
      </c>
      <c r="W334">
        <v>5.3</v>
      </c>
      <c r="X334">
        <v>1.1</v>
      </c>
      <c r="Y334">
        <v>0.080651</v>
      </c>
      <c r="Z334">
        <v>0.02148760330578512</v>
      </c>
      <c r="AA334">
        <v>0.7793880837359098</v>
      </c>
      <c r="AB334">
        <v>0.9662379421221865</v>
      </c>
      <c r="AC334">
        <v>0.09163987138263666</v>
      </c>
      <c r="AD334">
        <v>0.2652733118971061</v>
      </c>
    </row>
    <row r="335" spans="1:30">
      <c r="A335" s="1" t="s">
        <v>342</v>
      </c>
      <c r="B335">
        <f>HYPERLINK("https://www.suredividend.com/sure-analysis-CAG/","Conagra Brands, Inc.")</f>
        <v>0</v>
      </c>
      <c r="C335">
        <v>36.58</v>
      </c>
      <c r="D335">
        <v>17817.24008</v>
      </c>
      <c r="E335" t="s">
        <v>659</v>
      </c>
      <c r="F335" t="s">
        <v>631</v>
      </c>
      <c r="G335" t="s">
        <v>670</v>
      </c>
      <c r="H335" t="s">
        <v>699</v>
      </c>
      <c r="I335" t="s">
        <v>1035</v>
      </c>
      <c r="J335" t="s">
        <v>1318</v>
      </c>
      <c r="K335">
        <v>44014</v>
      </c>
      <c r="L335">
        <v>0.023236741388737</v>
      </c>
      <c r="M335">
        <v>-0.02639845267944163</v>
      </c>
      <c r="N335">
        <v>0.04</v>
      </c>
      <c r="O335">
        <v>0.03611696381208707</v>
      </c>
      <c r="P335" t="s">
        <v>383</v>
      </c>
      <c r="Q335" t="s">
        <v>300</v>
      </c>
      <c r="R335">
        <v>0</v>
      </c>
      <c r="S335">
        <v>0.3728070175438597</v>
      </c>
      <c r="T335">
        <v>32</v>
      </c>
      <c r="U335">
        <v>1.143125</v>
      </c>
      <c r="V335">
        <v>1.724</v>
      </c>
      <c r="W335">
        <v>2.28</v>
      </c>
      <c r="X335">
        <v>0.85</v>
      </c>
      <c r="Y335">
        <v>0.256613</v>
      </c>
      <c r="Z335">
        <v>0.3107438016528926</v>
      </c>
      <c r="AA335">
        <v>0.9033816425120773</v>
      </c>
      <c r="AB335">
        <v>0.3794212218649518</v>
      </c>
      <c r="AC335">
        <v>0.4421221864951769</v>
      </c>
      <c r="AD335">
        <v>0.2572347266881029</v>
      </c>
    </row>
    <row r="336" spans="1:30">
      <c r="A336" s="1" t="s">
        <v>343</v>
      </c>
      <c r="B336">
        <f>HYPERLINK("https://www.suredividend.com/sure-analysis-AEP/","American Electric Power Co., Inc.")</f>
        <v>0</v>
      </c>
      <c r="C336">
        <v>87.51000000000001</v>
      </c>
      <c r="D336">
        <v>43368.46833</v>
      </c>
      <c r="E336" t="s">
        <v>669</v>
      </c>
      <c r="F336" t="s">
        <v>631</v>
      </c>
      <c r="G336" t="s">
        <v>670</v>
      </c>
      <c r="H336" t="s">
        <v>699</v>
      </c>
      <c r="I336" t="s">
        <v>1036</v>
      </c>
      <c r="J336" t="s">
        <v>1315</v>
      </c>
      <c r="K336">
        <v>43998</v>
      </c>
      <c r="L336">
        <v>0.031653525311392</v>
      </c>
      <c r="M336">
        <v>-0.04095246598947822</v>
      </c>
      <c r="N336">
        <v>0.045</v>
      </c>
      <c r="O336">
        <v>0.03561962940389263</v>
      </c>
      <c r="P336" t="s">
        <v>383</v>
      </c>
      <c r="Q336" t="s">
        <v>383</v>
      </c>
      <c r="R336">
        <v>16</v>
      </c>
      <c r="S336">
        <v>0.6610978520286396</v>
      </c>
      <c r="T336">
        <v>71</v>
      </c>
      <c r="U336">
        <v>1.232535211267606</v>
      </c>
      <c r="V336">
        <v>3.7318</v>
      </c>
      <c r="W336">
        <v>4.19</v>
      </c>
      <c r="X336">
        <v>2.77</v>
      </c>
      <c r="Y336">
        <v>-0.046316</v>
      </c>
      <c r="Z336">
        <v>0.4198347107438016</v>
      </c>
      <c r="AA336">
        <v>0.6312399355877617</v>
      </c>
      <c r="AB336">
        <v>0.4381028938906752</v>
      </c>
      <c r="AC336">
        <v>0.3327974276527331</v>
      </c>
      <c r="AD336">
        <v>0.2540192926045016</v>
      </c>
    </row>
    <row r="337" spans="1:30">
      <c r="A337" s="1" t="s">
        <v>344</v>
      </c>
      <c r="B337">
        <f>HYPERLINK("https://www.suredividend.com/sure-analysis-ASML/","ASML Holding NV")</f>
        <v>0</v>
      </c>
      <c r="C337">
        <v>383.59</v>
      </c>
      <c r="D337">
        <v>161035.302257</v>
      </c>
      <c r="E337" t="s">
        <v>663</v>
      </c>
      <c r="F337" t="s">
        <v>631</v>
      </c>
      <c r="G337" t="s">
        <v>684</v>
      </c>
      <c r="H337" t="s">
        <v>701</v>
      </c>
      <c r="I337" t="s">
        <v>1037</v>
      </c>
      <c r="J337" t="s">
        <v>1317</v>
      </c>
      <c r="K337">
        <v>43945</v>
      </c>
      <c r="L337">
        <v>0.00684950076905</v>
      </c>
      <c r="M337">
        <v>-0.08501586035950981</v>
      </c>
      <c r="N337">
        <v>0.12</v>
      </c>
      <c r="O337">
        <v>0.03438730846963556</v>
      </c>
      <c r="P337" t="s">
        <v>383</v>
      </c>
      <c r="Q337" t="s">
        <v>558</v>
      </c>
      <c r="R337">
        <v>5</v>
      </c>
      <c r="S337">
        <v>0.3434509803921569</v>
      </c>
      <c r="T337">
        <v>246</v>
      </c>
      <c r="U337">
        <v>1.559308943089431</v>
      </c>
      <c r="V337">
        <v>7.6429</v>
      </c>
      <c r="W337">
        <v>7.65</v>
      </c>
      <c r="X337">
        <v>2.6274</v>
      </c>
      <c r="Y337">
        <v>0.692433</v>
      </c>
      <c r="Z337">
        <v>0.03140495867768595</v>
      </c>
      <c r="AA337">
        <v>0.9838969404186796</v>
      </c>
      <c r="AB337">
        <v>0.9461414790996784</v>
      </c>
      <c r="AC337">
        <v>0.1366559485530547</v>
      </c>
      <c r="AD337">
        <v>0.2508038585209003</v>
      </c>
    </row>
    <row r="338" spans="1:30">
      <c r="A338" s="1" t="s">
        <v>345</v>
      </c>
      <c r="B338">
        <f>HYPERLINK("https://www.suredividend.com/sure-analysis-ERIC/","Telefonaktiebolaget LM Ericsson")</f>
        <v>0</v>
      </c>
      <c r="C338">
        <v>10.89</v>
      </c>
      <c r="D338">
        <v>33343.732697</v>
      </c>
      <c r="E338" t="s">
        <v>662</v>
      </c>
      <c r="F338" t="s">
        <v>631</v>
      </c>
      <c r="G338" t="s">
        <v>688</v>
      </c>
      <c r="H338" t="s">
        <v>701</v>
      </c>
      <c r="I338" t="s">
        <v>1038</v>
      </c>
      <c r="J338" t="s">
        <v>1317</v>
      </c>
      <c r="K338">
        <v>43955</v>
      </c>
      <c r="L338">
        <v>0.006859504132231</v>
      </c>
      <c r="M338">
        <v>-0.05286901954770806</v>
      </c>
      <c r="N338">
        <v>0.08</v>
      </c>
      <c r="O338">
        <v>0.03098048244186491</v>
      </c>
      <c r="P338" t="s">
        <v>383</v>
      </c>
      <c r="Q338" t="s">
        <v>558</v>
      </c>
      <c r="R338">
        <v>0</v>
      </c>
      <c r="S338">
        <v>0.1436538461538462</v>
      </c>
      <c r="T338">
        <v>8.300000000000001</v>
      </c>
      <c r="U338">
        <v>1.312048192771084</v>
      </c>
      <c r="V338">
        <v>0.08610000000000001</v>
      </c>
      <c r="W338">
        <v>0.52</v>
      </c>
      <c r="X338">
        <v>0.0747</v>
      </c>
      <c r="Y338">
        <v>0.2319</v>
      </c>
      <c r="Z338">
        <v>0.03305785123966942</v>
      </c>
      <c r="AA338">
        <v>0.8888888888888888</v>
      </c>
      <c r="AB338">
        <v>0.8127009646302251</v>
      </c>
      <c r="AC338">
        <v>0.2733118971061093</v>
      </c>
      <c r="AD338">
        <v>0.2395498392282958</v>
      </c>
    </row>
    <row r="339" spans="1:30">
      <c r="A339" s="1" t="s">
        <v>346</v>
      </c>
      <c r="B339">
        <f>HYPERLINK("https://www.suredividend.com/sure-analysis-CME/","CME Group, Inc.")</f>
        <v>0</v>
      </c>
      <c r="C339">
        <v>166.62</v>
      </c>
      <c r="D339">
        <v>59747.4327</v>
      </c>
      <c r="E339" t="s">
        <v>669</v>
      </c>
      <c r="F339" t="s">
        <v>631</v>
      </c>
      <c r="G339" t="s">
        <v>670</v>
      </c>
      <c r="H339" t="s">
        <v>701</v>
      </c>
      <c r="I339" t="s">
        <v>1039</v>
      </c>
      <c r="J339" t="s">
        <v>1311</v>
      </c>
      <c r="K339">
        <v>44001</v>
      </c>
      <c r="L339">
        <v>0.018605209458648</v>
      </c>
      <c r="M339">
        <v>-0.03421561110829452</v>
      </c>
      <c r="N339">
        <v>0.043</v>
      </c>
      <c r="O339">
        <v>0.028901989805179</v>
      </c>
      <c r="P339" t="s">
        <v>383</v>
      </c>
      <c r="Q339" t="s">
        <v>558</v>
      </c>
      <c r="R339">
        <v>16</v>
      </c>
      <c r="S339">
        <v>0.4428571428571429</v>
      </c>
      <c r="T339">
        <v>140</v>
      </c>
      <c r="U339">
        <v>1.190142857142857</v>
      </c>
      <c r="V339">
        <v>6.6768</v>
      </c>
      <c r="W339">
        <v>7</v>
      </c>
      <c r="X339">
        <v>3.1</v>
      </c>
      <c r="Y339">
        <v>-0.192185</v>
      </c>
      <c r="Z339">
        <v>0.2148760330578512</v>
      </c>
      <c r="AA339">
        <v>0.4202898550724637</v>
      </c>
      <c r="AB339">
        <v>0.4340836012861736</v>
      </c>
      <c r="AC339">
        <v>0.3762057877813505</v>
      </c>
      <c r="AD339">
        <v>0.2266881028938907</v>
      </c>
    </row>
    <row r="340" spans="1:30">
      <c r="A340" s="1" t="s">
        <v>347</v>
      </c>
      <c r="B340">
        <f>HYPERLINK("https://www.suredividend.com/sure-analysis-HBI/","Hanesbrands, Inc.")</f>
        <v>0</v>
      </c>
      <c r="C340">
        <v>14.02</v>
      </c>
      <c r="D340">
        <v>4879.4507</v>
      </c>
      <c r="E340" t="s">
        <v>662</v>
      </c>
      <c r="F340" t="s">
        <v>631</v>
      </c>
      <c r="G340" t="s">
        <v>670</v>
      </c>
      <c r="H340" t="s">
        <v>699</v>
      </c>
      <c r="I340" t="s">
        <v>1040</v>
      </c>
      <c r="J340" t="s">
        <v>1312</v>
      </c>
      <c r="K340">
        <v>43964</v>
      </c>
      <c r="L340">
        <v>0.042796005706134</v>
      </c>
      <c r="M340">
        <v>-0.1061422814506133</v>
      </c>
      <c r="N340">
        <v>0.1</v>
      </c>
      <c r="O340">
        <v>0.02718941393889263</v>
      </c>
      <c r="P340" t="s">
        <v>383</v>
      </c>
      <c r="Q340" t="s">
        <v>383</v>
      </c>
      <c r="R340">
        <v>0</v>
      </c>
      <c r="S340">
        <v>0.7500000000000001</v>
      </c>
      <c r="T340">
        <v>8</v>
      </c>
      <c r="U340">
        <v>1.7525</v>
      </c>
      <c r="V340">
        <v>1.4221</v>
      </c>
      <c r="W340">
        <v>0.8</v>
      </c>
      <c r="X340">
        <v>0.6000000000000001</v>
      </c>
      <c r="Y340">
        <v>-0.148238</v>
      </c>
      <c r="Z340">
        <v>0.5801652892561984</v>
      </c>
      <c r="AA340">
        <v>0.4766505636070854</v>
      </c>
      <c r="AB340">
        <v>0.9051446945337621</v>
      </c>
      <c r="AC340">
        <v>0.06430868167202572</v>
      </c>
      <c r="AD340">
        <v>0.2218649517684887</v>
      </c>
    </row>
    <row r="341" spans="1:30">
      <c r="A341" s="1" t="s">
        <v>348</v>
      </c>
      <c r="B341">
        <f>HYPERLINK("https://www.suredividend.com/sure-analysis-CCI/","Crown Castle International Corp.")</f>
        <v>0</v>
      </c>
      <c r="C341">
        <v>168.96</v>
      </c>
      <c r="D341">
        <v>70414.24896</v>
      </c>
      <c r="E341" t="s">
        <v>663</v>
      </c>
      <c r="F341" t="s">
        <v>633</v>
      </c>
      <c r="G341" t="s">
        <v>670</v>
      </c>
      <c r="H341" t="s">
        <v>699</v>
      </c>
      <c r="I341" t="s">
        <v>1041</v>
      </c>
      <c r="J341" t="s">
        <v>1321</v>
      </c>
      <c r="K341">
        <v>43976</v>
      </c>
      <c r="L341">
        <v>0.027521306818181</v>
      </c>
      <c r="M341">
        <v>-0.05401290088240229</v>
      </c>
      <c r="N341">
        <v>0.05</v>
      </c>
      <c r="O341">
        <v>0.02684952443249067</v>
      </c>
      <c r="P341" t="s">
        <v>383</v>
      </c>
      <c r="Q341" t="s">
        <v>300</v>
      </c>
      <c r="R341">
        <v>6</v>
      </c>
      <c r="S341">
        <v>0.7622950819672132</v>
      </c>
      <c r="T341">
        <v>128</v>
      </c>
      <c r="U341">
        <v>1.32</v>
      </c>
      <c r="V341">
        <v>1.9207</v>
      </c>
      <c r="W341">
        <v>6.1</v>
      </c>
      <c r="X341">
        <v>4.65</v>
      </c>
      <c r="Y341">
        <v>0.331757</v>
      </c>
      <c r="Z341">
        <v>0.3586776859504132</v>
      </c>
      <c r="AA341">
        <v>0.924315619967794</v>
      </c>
      <c r="AB341">
        <v>0.5160771704180064</v>
      </c>
      <c r="AC341">
        <v>0.2652733118971061</v>
      </c>
      <c r="AD341">
        <v>0.2186495176848874</v>
      </c>
    </row>
    <row r="342" spans="1:30">
      <c r="A342" s="1" t="s">
        <v>349</v>
      </c>
      <c r="B342">
        <f>HYPERLINK("https://www.suredividend.com/sure-analysis-TT/","Trane Technologies Plc")</f>
        <v>0</v>
      </c>
      <c r="C342">
        <v>102.45</v>
      </c>
      <c r="D342">
        <v>24506.8596</v>
      </c>
      <c r="E342" t="s">
        <v>659</v>
      </c>
      <c r="F342" t="s">
        <v>631</v>
      </c>
      <c r="G342" t="s">
        <v>675</v>
      </c>
      <c r="H342" t="s">
        <v>699</v>
      </c>
      <c r="I342" t="s">
        <v>1042</v>
      </c>
      <c r="J342" t="s">
        <v>1313</v>
      </c>
      <c r="K342">
        <v>43958</v>
      </c>
      <c r="L342">
        <v>0.020693020985846</v>
      </c>
      <c r="M342">
        <v>-0.08980676718937775</v>
      </c>
      <c r="N342">
        <v>0.1</v>
      </c>
      <c r="O342">
        <v>0.02597313830386105</v>
      </c>
      <c r="P342" t="s">
        <v>383</v>
      </c>
      <c r="Q342" t="s">
        <v>558</v>
      </c>
      <c r="R342">
        <v>9</v>
      </c>
      <c r="S342">
        <v>0.53</v>
      </c>
      <c r="T342">
        <v>64</v>
      </c>
      <c r="U342">
        <v>1.60078125</v>
      </c>
      <c r="V342">
        <v>4.9028</v>
      </c>
      <c r="W342">
        <v>4</v>
      </c>
      <c r="X342">
        <v>2.12</v>
      </c>
      <c r="Y342">
        <v>0.054382</v>
      </c>
      <c r="Z342">
        <v>0.2561983471074381</v>
      </c>
      <c r="AA342">
        <v>0.7520128824476651</v>
      </c>
      <c r="AB342">
        <v>0.9051446945337621</v>
      </c>
      <c r="AC342">
        <v>0.1157556270096463</v>
      </c>
      <c r="AD342">
        <v>0.2090032154340836</v>
      </c>
    </row>
    <row r="343" spans="1:30">
      <c r="A343" s="1" t="s">
        <v>350</v>
      </c>
      <c r="B343">
        <f>HYPERLINK("https://www.suredividend.com/sure-analysis-VALE/","Vale SA")</f>
        <v>0</v>
      </c>
      <c r="C343">
        <v>11.31</v>
      </c>
      <c r="D343">
        <v>58019.351905</v>
      </c>
      <c r="E343" t="s">
        <v>660</v>
      </c>
      <c r="F343" t="s">
        <v>631</v>
      </c>
      <c r="G343" t="s">
        <v>689</v>
      </c>
      <c r="H343" t="s">
        <v>699</v>
      </c>
      <c r="I343" t="s">
        <v>1043</v>
      </c>
      <c r="J343" t="s">
        <v>1319</v>
      </c>
      <c r="K343">
        <v>43959</v>
      </c>
      <c r="L343">
        <v>0.030707338638373</v>
      </c>
      <c r="M343">
        <v>-0.02431982851890713</v>
      </c>
      <c r="N343">
        <v>0.02</v>
      </c>
      <c r="O343">
        <v>0.024913173339008</v>
      </c>
      <c r="P343" t="s">
        <v>383</v>
      </c>
      <c r="Q343" t="s">
        <v>300</v>
      </c>
      <c r="R343">
        <v>0</v>
      </c>
      <c r="S343">
        <v>0.27784</v>
      </c>
      <c r="T343">
        <v>10</v>
      </c>
      <c r="U343">
        <v>1.131</v>
      </c>
      <c r="V343">
        <v>0.03870000000000001</v>
      </c>
      <c r="W343">
        <v>1.25</v>
      </c>
      <c r="X343">
        <v>0.3473</v>
      </c>
      <c r="Y343">
        <v>-0.192719</v>
      </c>
      <c r="Z343">
        <v>0.4049586776859504</v>
      </c>
      <c r="AA343">
        <v>0.4186795491143318</v>
      </c>
      <c r="AB343">
        <v>0.157556270096463</v>
      </c>
      <c r="AC343">
        <v>0.4517684887459807</v>
      </c>
      <c r="AD343">
        <v>0.202572347266881</v>
      </c>
    </row>
    <row r="344" spans="1:30">
      <c r="A344" s="1" t="s">
        <v>351</v>
      </c>
      <c r="B344">
        <f>HYPERLINK("https://www.suredividend.com/sure-analysis-MRVL/","Marvell Technology Group Ltd.")</f>
        <v>0</v>
      </c>
      <c r="C344">
        <v>36.52</v>
      </c>
      <c r="D344">
        <v>24296.756</v>
      </c>
      <c r="E344" t="s">
        <v>667</v>
      </c>
      <c r="F344" t="s">
        <v>631</v>
      </c>
      <c r="G344" t="s">
        <v>679</v>
      </c>
      <c r="H344" t="s">
        <v>701</v>
      </c>
      <c r="I344" t="s">
        <v>1044</v>
      </c>
      <c r="J344" t="s">
        <v>1317</v>
      </c>
      <c r="K344">
        <v>43993</v>
      </c>
      <c r="L344">
        <v>0.0065717415115</v>
      </c>
      <c r="M344">
        <v>-0.1521523070547013</v>
      </c>
      <c r="N344">
        <v>0.2</v>
      </c>
      <c r="O344">
        <v>0.0234777553274248</v>
      </c>
      <c r="P344" t="s">
        <v>383</v>
      </c>
      <c r="Q344" t="s">
        <v>558</v>
      </c>
      <c r="R344">
        <v>0</v>
      </c>
      <c r="S344">
        <v>0.2580645161290323</v>
      </c>
      <c r="T344">
        <v>16</v>
      </c>
      <c r="U344">
        <v>2.2825</v>
      </c>
      <c r="V344">
        <v>2.2832</v>
      </c>
      <c r="W344">
        <v>0.93</v>
      </c>
      <c r="X344">
        <v>0.24</v>
      </c>
      <c r="Y344">
        <v>0.383858</v>
      </c>
      <c r="Z344">
        <v>0.02644628099173554</v>
      </c>
      <c r="AA344">
        <v>0.9323671497584541</v>
      </c>
      <c r="AB344">
        <v>0.9911575562700965</v>
      </c>
      <c r="AC344">
        <v>0.02090032154340836</v>
      </c>
      <c r="AD344">
        <v>0.1993569131832797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143.75</v>
      </c>
      <c r="D345">
        <v>38569.99375</v>
      </c>
      <c r="E345" t="s">
        <v>659</v>
      </c>
      <c r="F345" t="s">
        <v>633</v>
      </c>
      <c r="G345" t="s">
        <v>670</v>
      </c>
      <c r="H345" t="s">
        <v>699</v>
      </c>
      <c r="I345" t="s">
        <v>1045</v>
      </c>
      <c r="J345" t="s">
        <v>1321</v>
      </c>
      <c r="K345">
        <v>43964</v>
      </c>
      <c r="L345">
        <v>0.030330434782608</v>
      </c>
      <c r="M345">
        <v>-0.0894014986533046</v>
      </c>
      <c r="N345">
        <v>0.08</v>
      </c>
      <c r="O345">
        <v>0.0203988595017297</v>
      </c>
      <c r="P345" t="s">
        <v>383</v>
      </c>
      <c r="Q345" t="s">
        <v>383</v>
      </c>
      <c r="R345">
        <v>16</v>
      </c>
      <c r="S345">
        <v>0.7266666666666667</v>
      </c>
      <c r="T345">
        <v>90</v>
      </c>
      <c r="U345">
        <v>1.597222222222222</v>
      </c>
      <c r="V345">
        <v>2.8161</v>
      </c>
      <c r="W345">
        <v>6</v>
      </c>
      <c r="X345">
        <v>4.36</v>
      </c>
      <c r="Y345">
        <v>0.195227</v>
      </c>
      <c r="Z345">
        <v>0.4</v>
      </c>
      <c r="AA345">
        <v>0.8566827697262479</v>
      </c>
      <c r="AB345">
        <v>0.8127009646302251</v>
      </c>
      <c r="AC345">
        <v>0.1189710610932476</v>
      </c>
      <c r="AD345">
        <v>0.184887459807074</v>
      </c>
    </row>
    <row r="346" spans="1:30">
      <c r="A346" s="1" t="s">
        <v>353</v>
      </c>
      <c r="B346">
        <f>HYPERLINK("https://www.suredividend.com/sure-analysis-BEP/","Brookfield Renewable Partners LP")</f>
        <v>0</v>
      </c>
      <c r="C346">
        <v>55.73</v>
      </c>
      <c r="D346">
        <v>17202.49247</v>
      </c>
      <c r="E346" t="s">
        <v>662</v>
      </c>
      <c r="F346" t="s">
        <v>632</v>
      </c>
      <c r="G346" t="s">
        <v>679</v>
      </c>
      <c r="H346" t="s">
        <v>699</v>
      </c>
      <c r="I346" t="s">
        <v>1046</v>
      </c>
      <c r="J346" t="s">
        <v>1315</v>
      </c>
      <c r="K346">
        <v>43971</v>
      </c>
      <c r="L346">
        <v>0.037607573006549</v>
      </c>
      <c r="M346">
        <v>-0.08368944014434976</v>
      </c>
      <c r="N346">
        <v>0.06</v>
      </c>
      <c r="O346">
        <v>0.01726940412837519</v>
      </c>
      <c r="P346" t="s">
        <v>383</v>
      </c>
      <c r="Q346" t="s">
        <v>383</v>
      </c>
      <c r="R346">
        <v>11</v>
      </c>
      <c r="S346">
        <v>0.8061038629442423</v>
      </c>
      <c r="T346">
        <v>36</v>
      </c>
      <c r="U346">
        <v>1.548055555555556</v>
      </c>
      <c r="V346">
        <v>-0.2738</v>
      </c>
      <c r="W346">
        <v>2.6</v>
      </c>
      <c r="X346">
        <v>2.09587004365503</v>
      </c>
      <c r="Y346">
        <v>0.542485</v>
      </c>
      <c r="Z346">
        <v>0.5190082644628099</v>
      </c>
      <c r="AA346">
        <v>0.9726247987117553</v>
      </c>
      <c r="AB346">
        <v>0.6463022508038585</v>
      </c>
      <c r="AC346">
        <v>0.1414790996784566</v>
      </c>
      <c r="AD346">
        <v>0.1688102893890675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79.43000000000001</v>
      </c>
      <c r="D347">
        <v>27461.09561</v>
      </c>
      <c r="E347" t="s">
        <v>659</v>
      </c>
      <c r="F347" t="s">
        <v>631</v>
      </c>
      <c r="G347" t="s">
        <v>670</v>
      </c>
      <c r="H347" t="s">
        <v>701</v>
      </c>
      <c r="I347" t="s">
        <v>1047</v>
      </c>
      <c r="J347" t="s">
        <v>1313</v>
      </c>
      <c r="K347">
        <v>43944</v>
      </c>
      <c r="L347">
        <v>0.016114818078811</v>
      </c>
      <c r="M347">
        <v>-0.1034909998965095</v>
      </c>
      <c r="N347">
        <v>0.1</v>
      </c>
      <c r="O347">
        <v>0.01274434631793597</v>
      </c>
      <c r="P347" t="s">
        <v>383</v>
      </c>
      <c r="Q347" t="s">
        <v>558</v>
      </c>
      <c r="R347">
        <v>10</v>
      </c>
      <c r="S347">
        <v>0.3657142857142857</v>
      </c>
      <c r="T347">
        <v>46</v>
      </c>
      <c r="U347">
        <v>1.726739130434783</v>
      </c>
      <c r="V347">
        <v>6.1082</v>
      </c>
      <c r="W347">
        <v>3.5</v>
      </c>
      <c r="X347">
        <v>1.28</v>
      </c>
      <c r="Y347">
        <v>0.149826</v>
      </c>
      <c r="Z347">
        <v>0.1520661157024794</v>
      </c>
      <c r="AA347">
        <v>0.8309178743961353</v>
      </c>
      <c r="AB347">
        <v>0.9051446945337621</v>
      </c>
      <c r="AC347">
        <v>0.07556270096463023</v>
      </c>
      <c r="AD347">
        <v>0.1559485530546624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62.92</v>
      </c>
      <c r="D348">
        <v>50498.6482</v>
      </c>
      <c r="E348" t="s">
        <v>660</v>
      </c>
      <c r="F348" t="s">
        <v>631</v>
      </c>
      <c r="G348" t="s">
        <v>670</v>
      </c>
      <c r="H348" t="s">
        <v>699</v>
      </c>
      <c r="I348" t="s">
        <v>1048</v>
      </c>
      <c r="J348" t="s">
        <v>1319</v>
      </c>
      <c r="K348">
        <v>43971</v>
      </c>
      <c r="L348">
        <v>0.008900190718372001</v>
      </c>
      <c r="M348">
        <v>-0.05269352741402644</v>
      </c>
      <c r="N348">
        <v>0.05</v>
      </c>
      <c r="O348">
        <v>0.01235471626952855</v>
      </c>
      <c r="P348" t="s">
        <v>383</v>
      </c>
      <c r="Q348" t="s">
        <v>558</v>
      </c>
      <c r="R348">
        <v>5</v>
      </c>
      <c r="S348">
        <v>0.2434782608695653</v>
      </c>
      <c r="T348">
        <v>48</v>
      </c>
      <c r="U348">
        <v>1.310833333333333</v>
      </c>
      <c r="V348">
        <v>4.3328</v>
      </c>
      <c r="W348">
        <v>2.3</v>
      </c>
      <c r="X348">
        <v>0.5600000000000001</v>
      </c>
      <c r="Y348">
        <v>0.5848869999999999</v>
      </c>
      <c r="Z348">
        <v>0.05950413223140496</v>
      </c>
      <c r="AA348">
        <v>0.9774557165861514</v>
      </c>
      <c r="AB348">
        <v>0.5160771704180064</v>
      </c>
      <c r="AC348">
        <v>0.2797427652733119</v>
      </c>
      <c r="AD348">
        <v>0.1543408360128617</v>
      </c>
    </row>
    <row r="349" spans="1:30">
      <c r="A349" s="1" t="s">
        <v>356</v>
      </c>
      <c r="B349">
        <f>HYPERLINK("https://www.suredividend.com/sure-analysis-HMC/","Honda Motor Co., Ltd.")</f>
        <v>0</v>
      </c>
      <c r="C349">
        <v>26.23</v>
      </c>
      <c r="D349">
        <v>45289.015868</v>
      </c>
      <c r="E349" t="s">
        <v>664</v>
      </c>
      <c r="F349" t="s">
        <v>631</v>
      </c>
      <c r="G349" t="s">
        <v>690</v>
      </c>
      <c r="H349" t="s">
        <v>699</v>
      </c>
      <c r="I349" t="s">
        <v>1049</v>
      </c>
      <c r="J349" t="s">
        <v>1312</v>
      </c>
      <c r="K349">
        <v>43966</v>
      </c>
      <c r="L349">
        <v>0.029466260007624</v>
      </c>
      <c r="M349">
        <v>-0.06245728821916274</v>
      </c>
      <c r="N349">
        <v>0.029</v>
      </c>
      <c r="O349">
        <v>0.009796657548726495</v>
      </c>
      <c r="P349" t="s">
        <v>383</v>
      </c>
      <c r="Q349" t="s">
        <v>300</v>
      </c>
      <c r="R349">
        <v>5</v>
      </c>
      <c r="S349">
        <v>0.3419911504424779</v>
      </c>
      <c r="T349">
        <v>19</v>
      </c>
      <c r="U349">
        <v>1.380526315789474</v>
      </c>
      <c r="V349">
        <v>2.386</v>
      </c>
      <c r="W349">
        <v>2.26</v>
      </c>
      <c r="X349">
        <v>0.7729</v>
      </c>
      <c r="Y349">
        <v>0.018245</v>
      </c>
      <c r="Z349">
        <v>0.3884297520661157</v>
      </c>
      <c r="AA349">
        <v>0.7101449275362319</v>
      </c>
      <c r="AB349">
        <v>0.202572347266881</v>
      </c>
      <c r="AC349">
        <v>0.2202572347266881</v>
      </c>
      <c r="AD349">
        <v>0.1463022508038585</v>
      </c>
    </row>
    <row r="350" spans="1:30">
      <c r="A350" s="1" t="s">
        <v>357</v>
      </c>
      <c r="B350">
        <f>HYPERLINK("https://www.suredividend.com/sure-analysis-DE/","Deere &amp; Co.")</f>
        <v>0</v>
      </c>
      <c r="C350">
        <v>176.51</v>
      </c>
      <c r="D350">
        <v>55222.74209</v>
      </c>
      <c r="E350" t="s">
        <v>659</v>
      </c>
      <c r="F350" t="s">
        <v>631</v>
      </c>
      <c r="G350" t="s">
        <v>670</v>
      </c>
      <c r="H350" t="s">
        <v>699</v>
      </c>
      <c r="I350" t="s">
        <v>1050</v>
      </c>
      <c r="J350" t="s">
        <v>1313</v>
      </c>
      <c r="K350">
        <v>43979</v>
      </c>
      <c r="L350">
        <v>0.017222820236813</v>
      </c>
      <c r="M350">
        <v>-0.08696013184536422</v>
      </c>
      <c r="N350">
        <v>0.08</v>
      </c>
      <c r="O350">
        <v>0.00698631052627996</v>
      </c>
      <c r="P350" t="s">
        <v>383</v>
      </c>
      <c r="Q350" t="s">
        <v>300</v>
      </c>
      <c r="R350">
        <v>3</v>
      </c>
      <c r="S350">
        <v>0.5428571428571429</v>
      </c>
      <c r="T350">
        <v>112</v>
      </c>
      <c r="U350">
        <v>1.575982142857143</v>
      </c>
      <c r="V350">
        <v>8.9125</v>
      </c>
      <c r="W350">
        <v>5.6</v>
      </c>
      <c r="X350">
        <v>3.04</v>
      </c>
      <c r="Y350">
        <v>0.081291</v>
      </c>
      <c r="Z350">
        <v>0.1735537190082645</v>
      </c>
      <c r="AA350">
        <v>0.7809983896940419</v>
      </c>
      <c r="AB350">
        <v>0.8127009646302251</v>
      </c>
      <c r="AC350">
        <v>0.1318327974276527</v>
      </c>
      <c r="AD350">
        <v>0.135048231511254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43.41</v>
      </c>
      <c r="D351">
        <v>13010.02041</v>
      </c>
      <c r="E351" t="s">
        <v>660</v>
      </c>
      <c r="F351" t="s">
        <v>631</v>
      </c>
      <c r="G351" t="s">
        <v>670</v>
      </c>
      <c r="H351" t="s">
        <v>701</v>
      </c>
      <c r="I351" t="s">
        <v>1051</v>
      </c>
      <c r="J351" t="s">
        <v>1317</v>
      </c>
      <c r="K351">
        <v>43960</v>
      </c>
      <c r="L351">
        <v>0.046072333563695</v>
      </c>
      <c r="M351">
        <v>-0.05916809078235541</v>
      </c>
      <c r="N351">
        <v>0.07000000000000001</v>
      </c>
      <c r="O351">
        <v>0.006690142862879833</v>
      </c>
      <c r="P351" t="s">
        <v>383</v>
      </c>
      <c r="Q351" t="s">
        <v>636</v>
      </c>
      <c r="R351">
        <v>0</v>
      </c>
      <c r="S351">
        <v>0.625</v>
      </c>
      <c r="T351">
        <v>32</v>
      </c>
      <c r="U351">
        <v>1.3565625</v>
      </c>
      <c r="V351">
        <v>-2.0121</v>
      </c>
      <c r="W351">
        <v>3.2</v>
      </c>
      <c r="X351">
        <v>2</v>
      </c>
      <c r="Y351">
        <v>-0.179179</v>
      </c>
      <c r="Z351">
        <v>0.6132231404958678</v>
      </c>
      <c r="AA351">
        <v>0.4363929146537842</v>
      </c>
      <c r="AB351">
        <v>0.7387459807073955</v>
      </c>
      <c r="AC351">
        <v>0.2331189710610932</v>
      </c>
      <c r="AD351">
        <v>0.1334405144694534</v>
      </c>
    </row>
    <row r="352" spans="1:30">
      <c r="A352" s="1" t="s">
        <v>359</v>
      </c>
      <c r="B352">
        <f>HYPERLINK("https://www.suredividend.com/sure-analysis-FAST/","Fastenal Co.")</f>
        <v>0</v>
      </c>
      <c r="C352">
        <v>44.2</v>
      </c>
      <c r="D352">
        <v>25351.8382</v>
      </c>
      <c r="E352" t="s">
        <v>659</v>
      </c>
      <c r="F352" t="s">
        <v>631</v>
      </c>
      <c r="G352" t="s">
        <v>670</v>
      </c>
      <c r="H352" t="s">
        <v>701</v>
      </c>
      <c r="I352" t="s">
        <v>1052</v>
      </c>
      <c r="J352" t="s">
        <v>1313</v>
      </c>
      <c r="K352">
        <v>44028</v>
      </c>
      <c r="L352">
        <v>0.021266968325791</v>
      </c>
      <c r="M352">
        <v>-0.08725985521458901</v>
      </c>
      <c r="N352">
        <v>0.07000000000000001</v>
      </c>
      <c r="O352">
        <v>0.003967618414765894</v>
      </c>
      <c r="P352" t="s">
        <v>383</v>
      </c>
      <c r="Q352" t="s">
        <v>300</v>
      </c>
      <c r="R352">
        <v>20</v>
      </c>
      <c r="S352">
        <v>0.6962962962962963</v>
      </c>
      <c r="T352">
        <v>28</v>
      </c>
      <c r="U352">
        <v>1.578571428571429</v>
      </c>
      <c r="V352">
        <v>1.4534</v>
      </c>
      <c r="W352">
        <v>1.35</v>
      </c>
      <c r="X352">
        <v>0.9400000000000001</v>
      </c>
      <c r="Y352">
        <v>0.458746</v>
      </c>
      <c r="Z352">
        <v>0.2694214876033058</v>
      </c>
      <c r="AA352">
        <v>0.9516908212560387</v>
      </c>
      <c r="AB352">
        <v>0.7387459807073955</v>
      </c>
      <c r="AC352">
        <v>0.1302250803858521</v>
      </c>
      <c r="AD352">
        <v>0.1302250803858521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121.75</v>
      </c>
      <c r="D353">
        <v>14773.99725</v>
      </c>
      <c r="E353" t="s">
        <v>659</v>
      </c>
      <c r="F353" t="s">
        <v>631</v>
      </c>
      <c r="G353" t="s">
        <v>670</v>
      </c>
      <c r="H353" t="s">
        <v>699</v>
      </c>
      <c r="I353" t="s">
        <v>1053</v>
      </c>
      <c r="J353" t="s">
        <v>1312</v>
      </c>
      <c r="K353">
        <v>43993</v>
      </c>
      <c r="L353">
        <v>0.019055441478439</v>
      </c>
      <c r="M353">
        <v>-0.08055828573574098</v>
      </c>
      <c r="N353">
        <v>0.06</v>
      </c>
      <c r="O353">
        <v>-0.002693671019572852</v>
      </c>
      <c r="P353" t="s">
        <v>383</v>
      </c>
      <c r="Q353" t="s">
        <v>300</v>
      </c>
      <c r="R353">
        <v>17</v>
      </c>
      <c r="S353">
        <v>0.9279999999999999</v>
      </c>
      <c r="T353">
        <v>80</v>
      </c>
      <c r="U353">
        <v>1.521875</v>
      </c>
      <c r="V353">
        <v>2.9153</v>
      </c>
      <c r="W353">
        <v>2.5</v>
      </c>
      <c r="X353">
        <v>2.32</v>
      </c>
      <c r="Y353">
        <v>0.306891</v>
      </c>
      <c r="Z353">
        <v>0.2247933884297521</v>
      </c>
      <c r="AA353">
        <v>0.9162640901771337</v>
      </c>
      <c r="AB353">
        <v>0.6463022508038585</v>
      </c>
      <c r="AC353">
        <v>0.1527331189710611</v>
      </c>
      <c r="AD353">
        <v>0.1109324758842444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221.94</v>
      </c>
      <c r="D354">
        <v>141197.56218</v>
      </c>
      <c r="E354" t="s">
        <v>660</v>
      </c>
      <c r="F354" t="s">
        <v>631</v>
      </c>
      <c r="G354" t="s">
        <v>675</v>
      </c>
      <c r="H354" t="s">
        <v>699</v>
      </c>
      <c r="I354" t="s">
        <v>1054</v>
      </c>
      <c r="J354" t="s">
        <v>1317</v>
      </c>
      <c r="K354">
        <v>44015</v>
      </c>
      <c r="L354">
        <v>0.017392087951698</v>
      </c>
      <c r="M354">
        <v>-0.09065496283131291</v>
      </c>
      <c r="N354">
        <v>0.075</v>
      </c>
      <c r="O354">
        <v>-0.003222660916161524</v>
      </c>
      <c r="P354" t="s">
        <v>383</v>
      </c>
      <c r="Q354" t="s">
        <v>558</v>
      </c>
      <c r="R354">
        <v>9</v>
      </c>
      <c r="S354">
        <v>0.5052356020942408</v>
      </c>
      <c r="T354">
        <v>138</v>
      </c>
      <c r="U354">
        <v>1.608260869565217</v>
      </c>
      <c r="V354">
        <v>7.7766</v>
      </c>
      <c r="W354">
        <v>7.64</v>
      </c>
      <c r="X354">
        <v>3.86</v>
      </c>
      <c r="Y354">
        <v>0.139205</v>
      </c>
      <c r="Z354">
        <v>0.1768595041322314</v>
      </c>
      <c r="AA354">
        <v>0.821256038647343</v>
      </c>
      <c r="AB354">
        <v>0.7781350482315113</v>
      </c>
      <c r="AC354">
        <v>0.1141479099678457</v>
      </c>
      <c r="AD354">
        <v>0.1077170418006431</v>
      </c>
    </row>
    <row r="355" spans="1:30">
      <c r="A355" s="1" t="s">
        <v>362</v>
      </c>
      <c r="B355">
        <f>HYPERLINK("https://www.suredividend.com/sure-analysis-RACE/","Ferrari NV")</f>
        <v>0</v>
      </c>
      <c r="C355">
        <v>177.56</v>
      </c>
      <c r="D355">
        <v>31175.622045</v>
      </c>
      <c r="E355" t="s">
        <v>664</v>
      </c>
      <c r="F355" t="s">
        <v>631</v>
      </c>
      <c r="G355" t="s">
        <v>691</v>
      </c>
      <c r="H355" t="s">
        <v>699</v>
      </c>
      <c r="I355" t="s">
        <v>1055</v>
      </c>
      <c r="J355" t="s">
        <v>1312</v>
      </c>
      <c r="K355">
        <v>43956</v>
      </c>
      <c r="L355">
        <v>0.006364045956296</v>
      </c>
      <c r="M355">
        <v>-0.1102704563402243</v>
      </c>
      <c r="N355">
        <v>0.075</v>
      </c>
      <c r="O355">
        <v>-0.03350610616064931</v>
      </c>
      <c r="P355" t="s">
        <v>383</v>
      </c>
      <c r="Q355" t="s">
        <v>558</v>
      </c>
      <c r="R355">
        <v>3</v>
      </c>
      <c r="S355">
        <v>0.2860759493670886</v>
      </c>
      <c r="T355">
        <v>99</v>
      </c>
      <c r="U355">
        <v>1.793535353535354</v>
      </c>
      <c r="V355">
        <v>4.0814</v>
      </c>
      <c r="W355">
        <v>3.95</v>
      </c>
      <c r="X355">
        <v>1.13</v>
      </c>
      <c r="Y355">
        <v>0.052519</v>
      </c>
      <c r="Z355">
        <v>0.02479338842975207</v>
      </c>
      <c r="AA355">
        <v>0.750402576489533</v>
      </c>
      <c r="AB355">
        <v>0.7781350482315113</v>
      </c>
      <c r="AC355">
        <v>0.05787781350482315</v>
      </c>
      <c r="AD355">
        <v>0.04823151125401929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76.08</v>
      </c>
      <c r="D356">
        <v>92829.860977</v>
      </c>
      <c r="E356" t="s">
        <v>664</v>
      </c>
      <c r="F356" t="s">
        <v>631</v>
      </c>
      <c r="G356" t="s">
        <v>690</v>
      </c>
      <c r="H356" t="s">
        <v>699</v>
      </c>
      <c r="I356" t="s">
        <v>1056</v>
      </c>
      <c r="J356" t="s">
        <v>1317</v>
      </c>
      <c r="K356">
        <v>43968</v>
      </c>
      <c r="L356">
        <v>0.005407465825446001</v>
      </c>
      <c r="M356">
        <v>-0.05611111853781092</v>
      </c>
      <c r="N356">
        <v>0.017</v>
      </c>
      <c r="O356">
        <v>-0.03413549176268738</v>
      </c>
      <c r="P356" t="s">
        <v>383</v>
      </c>
      <c r="Q356" t="s">
        <v>558</v>
      </c>
      <c r="R356">
        <v>2</v>
      </c>
      <c r="S356">
        <v>0.09392694063926942</v>
      </c>
      <c r="T356">
        <v>57</v>
      </c>
      <c r="U356">
        <v>1.334736842105263</v>
      </c>
      <c r="V356">
        <v>4.338</v>
      </c>
      <c r="W356">
        <v>4.38</v>
      </c>
      <c r="X356">
        <v>0.4114</v>
      </c>
      <c r="Y356">
        <v>0.410195</v>
      </c>
      <c r="Z356">
        <v>0.01983471074380165</v>
      </c>
      <c r="AA356">
        <v>0.9436392914653784</v>
      </c>
      <c r="AB356">
        <v>0.114951768488746</v>
      </c>
      <c r="AC356">
        <v>0.2427652733118971</v>
      </c>
      <c r="AD356">
        <v>0.04662379421221865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8.1</v>
      </c>
      <c r="D357">
        <v>510.36318</v>
      </c>
      <c r="E357" t="s">
        <v>659</v>
      </c>
      <c r="F357" t="s">
        <v>631</v>
      </c>
      <c r="G357" t="s">
        <v>670</v>
      </c>
      <c r="H357" t="s">
        <v>699</v>
      </c>
      <c r="I357" t="s">
        <v>1057</v>
      </c>
      <c r="J357" t="s">
        <v>1314</v>
      </c>
      <c r="K357">
        <v>43964</v>
      </c>
      <c r="L357">
        <v>0.001234567901234</v>
      </c>
      <c r="M357">
        <v>-0.0919766908577796</v>
      </c>
      <c r="N357">
        <v>0.06</v>
      </c>
      <c r="O357">
        <v>-0.0360610937740995</v>
      </c>
      <c r="P357" t="s">
        <v>383</v>
      </c>
      <c r="Q357" t="s">
        <v>558</v>
      </c>
      <c r="R357">
        <v>0</v>
      </c>
      <c r="S357">
        <v>0.01818181818181818</v>
      </c>
      <c r="T357">
        <v>5</v>
      </c>
      <c r="U357">
        <v>1.62</v>
      </c>
      <c r="V357">
        <v>-0.9912000000000001</v>
      </c>
      <c r="W357">
        <v>0.55</v>
      </c>
      <c r="X357">
        <v>0.01</v>
      </c>
      <c r="Y357">
        <v>2.068182</v>
      </c>
      <c r="Z357">
        <v>0.001652892561983471</v>
      </c>
      <c r="AA357">
        <v>0.9983896940418679</v>
      </c>
      <c r="AB357">
        <v>0.6463022508038585</v>
      </c>
      <c r="AC357">
        <v>0.1093247588424437</v>
      </c>
      <c r="AD357">
        <v>0.04340836012861736</v>
      </c>
    </row>
    <row r="358" spans="1:30">
      <c r="A358" s="1" t="s">
        <v>365</v>
      </c>
      <c r="B358">
        <f>HYPERLINK("https://www.suredividend.com/sure-analysis-NVDA/","NVIDIA Corp.")</f>
        <v>0</v>
      </c>
      <c r="C358">
        <v>408.06</v>
      </c>
      <c r="D358">
        <v>250956.9</v>
      </c>
      <c r="E358" t="s">
        <v>660</v>
      </c>
      <c r="F358" t="s">
        <v>631</v>
      </c>
      <c r="G358" t="s">
        <v>670</v>
      </c>
      <c r="H358" t="s">
        <v>701</v>
      </c>
      <c r="I358" t="s">
        <v>1058</v>
      </c>
      <c r="J358" t="s">
        <v>1317</v>
      </c>
      <c r="K358">
        <v>43976</v>
      </c>
      <c r="L358">
        <v>0.001568396804391</v>
      </c>
      <c r="M358">
        <v>-0.1636299179714189</v>
      </c>
      <c r="N358">
        <v>0.15</v>
      </c>
      <c r="O358">
        <v>-0.03634873710068831</v>
      </c>
      <c r="P358" t="s">
        <v>383</v>
      </c>
      <c r="Q358" t="s">
        <v>558</v>
      </c>
      <c r="R358">
        <v>7</v>
      </c>
      <c r="S358">
        <v>0.08421052631578949</v>
      </c>
      <c r="T358">
        <v>167</v>
      </c>
      <c r="U358">
        <v>2.443473053892216</v>
      </c>
      <c r="V358">
        <v>5.4259</v>
      </c>
      <c r="W358">
        <v>7.6</v>
      </c>
      <c r="X358">
        <v>0.64</v>
      </c>
      <c r="Y358">
        <v>1.397814</v>
      </c>
      <c r="Z358">
        <v>0.003305785123966942</v>
      </c>
      <c r="AA358">
        <v>0.996779388083736</v>
      </c>
      <c r="AB358">
        <v>0.9766881028938907</v>
      </c>
      <c r="AC358">
        <v>0.01446945337620579</v>
      </c>
      <c r="AD358">
        <v>0.04019292604501608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70.76000000000001</v>
      </c>
      <c r="D359">
        <v>35081.039</v>
      </c>
      <c r="E359" t="s">
        <v>666</v>
      </c>
      <c r="F359" t="s">
        <v>631</v>
      </c>
      <c r="G359" t="s">
        <v>671</v>
      </c>
      <c r="H359" t="s">
        <v>699</v>
      </c>
      <c r="I359" t="s">
        <v>1059</v>
      </c>
      <c r="J359" t="s">
        <v>1313</v>
      </c>
      <c r="K359">
        <v>44000</v>
      </c>
      <c r="L359">
        <v>0.020690460671739</v>
      </c>
      <c r="M359">
        <v>-0.1123222044055516</v>
      </c>
      <c r="N359">
        <v>0.05</v>
      </c>
      <c r="O359">
        <v>-0.03910541781353971</v>
      </c>
      <c r="P359" t="s">
        <v>383</v>
      </c>
      <c r="Q359" t="s">
        <v>300</v>
      </c>
      <c r="R359">
        <v>27</v>
      </c>
      <c r="S359">
        <v>0.8366039983613085</v>
      </c>
      <c r="T359">
        <v>39</v>
      </c>
      <c r="U359">
        <v>1.814358974358975</v>
      </c>
      <c r="V359">
        <v>3.3246</v>
      </c>
      <c r="W359">
        <v>1.75</v>
      </c>
      <c r="X359">
        <v>1.46405699713229</v>
      </c>
      <c r="Y359">
        <v>0.035714</v>
      </c>
      <c r="Z359">
        <v>0.2545454545454545</v>
      </c>
      <c r="AA359">
        <v>0.7342995169082126</v>
      </c>
      <c r="AB359">
        <v>0.5160771704180064</v>
      </c>
      <c r="AC359">
        <v>0.05305466237942122</v>
      </c>
      <c r="AD359">
        <v>0.03697749196141479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69.98</v>
      </c>
      <c r="D360">
        <v>11679.476763</v>
      </c>
      <c r="E360" t="s">
        <v>664</v>
      </c>
      <c r="F360" t="s">
        <v>631</v>
      </c>
      <c r="G360" t="s">
        <v>674</v>
      </c>
      <c r="H360" t="s">
        <v>701</v>
      </c>
      <c r="I360" t="s">
        <v>1060</v>
      </c>
      <c r="J360" t="s">
        <v>1317</v>
      </c>
      <c r="K360">
        <v>43966</v>
      </c>
      <c r="L360">
        <v>0.010431551871963</v>
      </c>
      <c r="M360">
        <v>-0.1196698882458423</v>
      </c>
      <c r="N360">
        <v>0.07000000000000001</v>
      </c>
      <c r="O360">
        <v>-0.04084764553280718</v>
      </c>
      <c r="P360" t="s">
        <v>383</v>
      </c>
      <c r="Q360" t="s">
        <v>558</v>
      </c>
      <c r="R360">
        <v>6</v>
      </c>
      <c r="S360">
        <v>0.3596059113300493</v>
      </c>
      <c r="T360">
        <v>37</v>
      </c>
      <c r="U360">
        <v>1.891351351351351</v>
      </c>
      <c r="V360">
        <v>2.6925</v>
      </c>
      <c r="W360">
        <v>2.03</v>
      </c>
      <c r="X360">
        <v>0.73</v>
      </c>
      <c r="Y360">
        <v>0.788855</v>
      </c>
      <c r="Z360">
        <v>0.07603305785123968</v>
      </c>
      <c r="AA360">
        <v>0.9887278582930757</v>
      </c>
      <c r="AB360">
        <v>0.7387459807073955</v>
      </c>
      <c r="AC360">
        <v>0.04019292604501608</v>
      </c>
      <c r="AD360">
        <v>0.03376205787781351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5.58</v>
      </c>
      <c r="D361">
        <v>5310.19026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1319</v>
      </c>
      <c r="K361">
        <v>43971</v>
      </c>
      <c r="L361">
        <v>0.006805980861305001</v>
      </c>
      <c r="M361">
        <v>-0.1097662007023142</v>
      </c>
      <c r="N361">
        <v>0.018</v>
      </c>
      <c r="O361">
        <v>-0.04812845894879192</v>
      </c>
      <c r="P361" t="s">
        <v>383</v>
      </c>
      <c r="Q361" t="s">
        <v>558</v>
      </c>
      <c r="R361">
        <v>1</v>
      </c>
      <c r="S361">
        <v>0.008534241169906967</v>
      </c>
      <c r="T361">
        <v>3.12</v>
      </c>
      <c r="U361">
        <v>1.788461538461538</v>
      </c>
      <c r="V361">
        <v>0.2893</v>
      </c>
      <c r="W361">
        <v>4.45</v>
      </c>
      <c r="X361">
        <v>0.037977373206086</v>
      </c>
      <c r="Y361">
        <v>0.944251</v>
      </c>
      <c r="Z361">
        <v>0.02975206611570248</v>
      </c>
      <c r="AA361">
        <v>0.9919484702093397</v>
      </c>
      <c r="AB361">
        <v>0.1181672025723473</v>
      </c>
      <c r="AC361">
        <v>0.05948553054662379</v>
      </c>
      <c r="AD361">
        <v>0.02411575562700964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27.34</v>
      </c>
      <c r="D362">
        <v>48611.6136</v>
      </c>
      <c r="E362" t="s">
        <v>663</v>
      </c>
      <c r="F362" t="s">
        <v>631</v>
      </c>
      <c r="G362" t="s">
        <v>671</v>
      </c>
      <c r="H362" t="s">
        <v>699</v>
      </c>
      <c r="I362" t="s">
        <v>1062</v>
      </c>
      <c r="J362" t="s">
        <v>1319</v>
      </c>
      <c r="K362">
        <v>43966</v>
      </c>
      <c r="L362">
        <v>0.008533202105153001</v>
      </c>
      <c r="M362">
        <v>-0.1016112714832579</v>
      </c>
      <c r="N362">
        <v>0</v>
      </c>
      <c r="O362">
        <v>-0.08457859892147623</v>
      </c>
      <c r="P362" t="s">
        <v>383</v>
      </c>
      <c r="Q362" t="s">
        <v>558</v>
      </c>
      <c r="R362">
        <v>3</v>
      </c>
      <c r="S362">
        <v>0.2916221819436338</v>
      </c>
      <c r="T362">
        <v>16</v>
      </c>
      <c r="U362">
        <v>1.70875</v>
      </c>
      <c r="V362">
        <v>2.4125</v>
      </c>
      <c r="W362">
        <v>0.8</v>
      </c>
      <c r="X362">
        <v>0.233297745554907</v>
      </c>
      <c r="Y362">
        <v>0.587689</v>
      </c>
      <c r="Z362">
        <v>0.05619834710743801</v>
      </c>
      <c r="AA362">
        <v>0.9790660225442833</v>
      </c>
      <c r="AB362">
        <v>0.04180064308681672</v>
      </c>
      <c r="AC362">
        <v>0.08038585209003216</v>
      </c>
      <c r="AD362">
        <v>0.009646302250803859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48.17</v>
      </c>
      <c r="D363">
        <v>21597.11584</v>
      </c>
      <c r="E363" t="s">
        <v>663</v>
      </c>
      <c r="F363" t="s">
        <v>631</v>
      </c>
      <c r="G363" t="s">
        <v>671</v>
      </c>
      <c r="H363" t="s">
        <v>699</v>
      </c>
      <c r="I363" t="s">
        <v>1063</v>
      </c>
      <c r="J363" t="s">
        <v>1319</v>
      </c>
      <c r="K363">
        <v>43977</v>
      </c>
      <c r="L363">
        <v>0.007857606315192001</v>
      </c>
      <c r="M363">
        <v>-0.1229331985978034</v>
      </c>
      <c r="N363">
        <v>0</v>
      </c>
      <c r="O363">
        <v>-0.1072319246151255</v>
      </c>
      <c r="P363" t="s">
        <v>383</v>
      </c>
      <c r="Q363" t="s">
        <v>558</v>
      </c>
      <c r="R363">
        <v>1</v>
      </c>
      <c r="S363">
        <v>0.4205565513364567</v>
      </c>
      <c r="T363">
        <v>25</v>
      </c>
      <c r="U363">
        <v>1.9268</v>
      </c>
      <c r="V363">
        <v>0.2754</v>
      </c>
      <c r="W363">
        <v>0.9</v>
      </c>
      <c r="X363">
        <v>0.378500896202811</v>
      </c>
      <c r="Y363">
        <v>0.784735</v>
      </c>
      <c r="Z363">
        <v>0.0512396694214876</v>
      </c>
      <c r="AA363">
        <v>0.9871175523349436</v>
      </c>
      <c r="AB363">
        <v>0.04180064308681672</v>
      </c>
      <c r="AC363">
        <v>0.03536977491961415</v>
      </c>
      <c r="AD363">
        <v>0.008038585209003215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3.78</v>
      </c>
      <c r="D364">
        <v>1265.00346</v>
      </c>
      <c r="E364" t="s">
        <v>664</v>
      </c>
      <c r="F364" t="s">
        <v>631</v>
      </c>
      <c r="G364" t="s">
        <v>673</v>
      </c>
      <c r="H364" t="s">
        <v>699</v>
      </c>
      <c r="I364" t="s">
        <v>1064</v>
      </c>
      <c r="J364" t="s">
        <v>1317</v>
      </c>
      <c r="K364">
        <v>43979</v>
      </c>
      <c r="L364">
        <v>0.306058201058201</v>
      </c>
      <c r="M364">
        <v>0.2381697146550998</v>
      </c>
      <c r="N364">
        <v>0.03</v>
      </c>
      <c r="O364">
        <v>0.275314806094753</v>
      </c>
      <c r="P364" t="s">
        <v>300</v>
      </c>
      <c r="Q364" t="s">
        <v>635</v>
      </c>
      <c r="R364">
        <v>0</v>
      </c>
      <c r="S364">
        <v>0.9640833333333334</v>
      </c>
      <c r="T364">
        <v>11</v>
      </c>
      <c r="U364">
        <v>0.3436363636363637</v>
      </c>
      <c r="V364">
        <v>-3.0086</v>
      </c>
      <c r="W364">
        <v>1.2</v>
      </c>
      <c r="X364">
        <v>1.1569</v>
      </c>
      <c r="Y364">
        <v>-0.818531</v>
      </c>
      <c r="Z364">
        <v>0.9950413223140495</v>
      </c>
      <c r="AA364">
        <v>0.001610305958132045</v>
      </c>
      <c r="AB364">
        <v>0.247588424437299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11.18</v>
      </c>
      <c r="D365">
        <v>10429.507607</v>
      </c>
      <c r="E365" t="s">
        <v>668</v>
      </c>
      <c r="F365" t="s">
        <v>633</v>
      </c>
      <c r="G365" t="s">
        <v>679</v>
      </c>
      <c r="H365" t="s">
        <v>701</v>
      </c>
      <c r="I365" t="s">
        <v>1065</v>
      </c>
      <c r="J365" t="s">
        <v>1321</v>
      </c>
      <c r="K365">
        <v>43964</v>
      </c>
      <c r="L365">
        <v>0.118291592128801</v>
      </c>
      <c r="M365">
        <v>0.1343720001812858</v>
      </c>
      <c r="N365">
        <v>0.05</v>
      </c>
      <c r="O365">
        <v>0.2513190357873296</v>
      </c>
      <c r="P365" t="s">
        <v>300</v>
      </c>
      <c r="Q365" t="s">
        <v>636</v>
      </c>
      <c r="R365">
        <v>13</v>
      </c>
      <c r="S365">
        <v>1.191441441441441</v>
      </c>
      <c r="T365">
        <v>21</v>
      </c>
      <c r="U365">
        <v>0.5323809523809524</v>
      </c>
      <c r="V365">
        <v>1.0858</v>
      </c>
      <c r="W365">
        <v>1.11</v>
      </c>
      <c r="X365">
        <v>1.3225</v>
      </c>
      <c r="Y365">
        <v>-0.410026</v>
      </c>
      <c r="Z365">
        <v>0.9008264462809917</v>
      </c>
      <c r="AA365">
        <v>0.1578099838969404</v>
      </c>
      <c r="AB365">
        <v>0.5160771704180064</v>
      </c>
      <c r="AC365">
        <v>0.9919614147909968</v>
      </c>
      <c r="AD365">
        <v>0.9967845659163987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36.3</v>
      </c>
      <c r="D366">
        <v>48915.339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1311</v>
      </c>
      <c r="K366">
        <v>43971</v>
      </c>
      <c r="L366">
        <v>0.049586776859504</v>
      </c>
      <c r="M366">
        <v>0.1130047374516758</v>
      </c>
      <c r="N366">
        <v>0.07000000000000001</v>
      </c>
      <c r="O366">
        <v>0.2182563968076066</v>
      </c>
      <c r="P366" t="s">
        <v>300</v>
      </c>
      <c r="Q366" t="s">
        <v>383</v>
      </c>
      <c r="R366">
        <v>10</v>
      </c>
      <c r="S366">
        <v>0.5642633228840126</v>
      </c>
      <c r="T366">
        <v>62</v>
      </c>
      <c r="U366">
        <v>0.5854838709677419</v>
      </c>
      <c r="V366">
        <v>3.1228</v>
      </c>
      <c r="W366">
        <v>3.19</v>
      </c>
      <c r="X366">
        <v>1.8</v>
      </c>
      <c r="Y366">
        <v>-0.288654</v>
      </c>
      <c r="Z366">
        <v>0.6512396694214876</v>
      </c>
      <c r="AA366">
        <v>0.2979066022544283</v>
      </c>
      <c r="AB366">
        <v>0.7387459807073955</v>
      </c>
      <c r="AC366">
        <v>0.9855305466237942</v>
      </c>
      <c r="AD366">
        <v>0.9919614147909968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93.95</v>
      </c>
      <c r="D367">
        <v>2038.75258</v>
      </c>
      <c r="E367" t="s">
        <v>665</v>
      </c>
      <c r="F367" t="s">
        <v>633</v>
      </c>
      <c r="G367" t="s">
        <v>670</v>
      </c>
      <c r="H367" t="s">
        <v>699</v>
      </c>
      <c r="I367" t="s">
        <v>1067</v>
      </c>
      <c r="J367" t="s">
        <v>1321</v>
      </c>
      <c r="K367">
        <v>43991</v>
      </c>
      <c r="L367">
        <v>0.035976583288983</v>
      </c>
      <c r="M367">
        <v>-0.06260544688105663</v>
      </c>
      <c r="N367">
        <v>0.25</v>
      </c>
      <c r="O367">
        <v>0.205768651641409</v>
      </c>
      <c r="P367" t="s">
        <v>300</v>
      </c>
      <c r="Q367" t="s">
        <v>300</v>
      </c>
      <c r="R367">
        <v>4</v>
      </c>
      <c r="S367">
        <v>0.7511111111111111</v>
      </c>
      <c r="T367">
        <v>68</v>
      </c>
      <c r="U367">
        <v>1.381617647058824</v>
      </c>
      <c r="V367">
        <v>2.3806</v>
      </c>
      <c r="W367">
        <v>4.5</v>
      </c>
      <c r="X367">
        <v>3.38</v>
      </c>
      <c r="Y367">
        <v>-0.239887</v>
      </c>
      <c r="Z367">
        <v>0.4942148760330579</v>
      </c>
      <c r="AA367">
        <v>0.3510466988727858</v>
      </c>
      <c r="AB367">
        <v>0.997588424437299</v>
      </c>
      <c r="AC367">
        <v>0.2170418006430868</v>
      </c>
      <c r="AD367">
        <v>0.9871382636655949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10.49</v>
      </c>
      <c r="D368">
        <v>4813.81904</v>
      </c>
      <c r="E368" t="s">
        <v>660</v>
      </c>
      <c r="F368" t="s">
        <v>631</v>
      </c>
      <c r="G368" t="s">
        <v>670</v>
      </c>
      <c r="H368" t="s">
        <v>699</v>
      </c>
      <c r="I368" t="s">
        <v>1068</v>
      </c>
      <c r="J368" t="s">
        <v>1311</v>
      </c>
      <c r="K368">
        <v>43946</v>
      </c>
      <c r="L368">
        <v>0.118207816968541</v>
      </c>
      <c r="M368">
        <v>0.137760629268022</v>
      </c>
      <c r="N368">
        <v>0.02</v>
      </c>
      <c r="O368">
        <v>0.1936369843324379</v>
      </c>
      <c r="P368" t="s">
        <v>300</v>
      </c>
      <c r="Q368" t="s">
        <v>636</v>
      </c>
      <c r="R368">
        <v>0</v>
      </c>
      <c r="S368">
        <v>0.6888888888888889</v>
      </c>
      <c r="T368">
        <v>20</v>
      </c>
      <c r="U368">
        <v>0.5245</v>
      </c>
      <c r="V368">
        <v>1.0288</v>
      </c>
      <c r="W368">
        <v>1.8</v>
      </c>
      <c r="X368">
        <v>1.24</v>
      </c>
      <c r="Y368">
        <v>-0.466701</v>
      </c>
      <c r="Z368">
        <v>0.8991735537190082</v>
      </c>
      <c r="AA368">
        <v>0.1095008051529791</v>
      </c>
      <c r="AB368">
        <v>0.157556270096463</v>
      </c>
      <c r="AC368">
        <v>0.9935691318327975</v>
      </c>
      <c r="AD368">
        <v>0.9839228295819936</v>
      </c>
    </row>
    <row r="369" spans="1:30">
      <c r="A369" s="1" t="s">
        <v>376</v>
      </c>
      <c r="B369">
        <f>HYPERLINK("https://www.suredividend.com/sure-analysis-HEP/","Holly Energy Partners LP")</f>
        <v>0</v>
      </c>
      <c r="C369">
        <v>13.02</v>
      </c>
      <c r="D369">
        <v>1372.8288</v>
      </c>
      <c r="E369" t="s">
        <v>662</v>
      </c>
      <c r="F369" t="s">
        <v>632</v>
      </c>
      <c r="G369" t="s">
        <v>670</v>
      </c>
      <c r="H369" t="s">
        <v>699</v>
      </c>
      <c r="I369" t="s">
        <v>1069</v>
      </c>
      <c r="J369" t="s">
        <v>1316</v>
      </c>
      <c r="K369">
        <v>43958</v>
      </c>
      <c r="L369">
        <v>0.206413210445468</v>
      </c>
      <c r="M369">
        <v>0.07852079543857893</v>
      </c>
      <c r="N369">
        <v>0.04</v>
      </c>
      <c r="O369">
        <v>0.191358731205606</v>
      </c>
      <c r="P369" t="s">
        <v>300</v>
      </c>
      <c r="Q369" t="s">
        <v>636</v>
      </c>
      <c r="R369">
        <v>0</v>
      </c>
      <c r="S369">
        <v>1.279761904761905</v>
      </c>
      <c r="T369">
        <v>19</v>
      </c>
      <c r="U369">
        <v>0.6852631578947368</v>
      </c>
      <c r="V369">
        <v>1.8832</v>
      </c>
      <c r="W369">
        <v>2.1</v>
      </c>
      <c r="X369">
        <v>2.6875</v>
      </c>
      <c r="Y369">
        <v>-0.551034</v>
      </c>
      <c r="Z369">
        <v>0.9768595041322314</v>
      </c>
      <c r="AA369">
        <v>0.05797101449275362</v>
      </c>
      <c r="AB369">
        <v>0.3794212218649518</v>
      </c>
      <c r="AC369">
        <v>0.9453376205787781</v>
      </c>
      <c r="AD369">
        <v>0.982315112540193</v>
      </c>
    </row>
    <row r="370" spans="1:30">
      <c r="A370" s="1" t="s">
        <v>377</v>
      </c>
      <c r="B370">
        <f>HYPERLINK("https://www.suredividend.com/sure-analysis-SPH/","Suburban Propane Partners LP")</f>
        <v>0</v>
      </c>
      <c r="C370">
        <v>14.32</v>
      </c>
      <c r="D370">
        <v>889.725944</v>
      </c>
      <c r="E370" t="s">
        <v>663</v>
      </c>
      <c r="F370" t="s">
        <v>632</v>
      </c>
      <c r="G370" t="s">
        <v>670</v>
      </c>
      <c r="H370" t="s">
        <v>699</v>
      </c>
      <c r="I370" t="s">
        <v>1070</v>
      </c>
      <c r="J370" t="s">
        <v>1315</v>
      </c>
      <c r="K370">
        <v>43964</v>
      </c>
      <c r="L370">
        <v>0.167597765363128</v>
      </c>
      <c r="M370">
        <v>0.04680526290373677</v>
      </c>
      <c r="N370">
        <v>0.04</v>
      </c>
      <c r="O370">
        <v>0.1880937225610868</v>
      </c>
      <c r="P370" t="s">
        <v>300</v>
      </c>
      <c r="Q370" t="s">
        <v>636</v>
      </c>
      <c r="R370">
        <v>0</v>
      </c>
      <c r="S370">
        <v>0.8727272727272727</v>
      </c>
      <c r="T370">
        <v>18</v>
      </c>
      <c r="U370">
        <v>0.7955555555555556</v>
      </c>
      <c r="V370">
        <v>0.5967</v>
      </c>
      <c r="W370">
        <v>2.75</v>
      </c>
      <c r="X370">
        <v>2.4</v>
      </c>
      <c r="Y370">
        <v>-0.401338</v>
      </c>
      <c r="Z370">
        <v>0.9570247933884297</v>
      </c>
      <c r="AA370">
        <v>0.1626409017713366</v>
      </c>
      <c r="AB370">
        <v>0.3794212218649518</v>
      </c>
      <c r="AC370">
        <v>0.8520900321543408</v>
      </c>
      <c r="AD370">
        <v>0.9790996784565916</v>
      </c>
    </row>
    <row r="371" spans="1:30">
      <c r="A371" s="1" t="s">
        <v>378</v>
      </c>
      <c r="B371">
        <f>HYPERLINK("https://www.suredividend.com/sure-analysis-USAC/","USA Compression Partners LP")</f>
        <v>0</v>
      </c>
      <c r="C371">
        <v>11.2</v>
      </c>
      <c r="D371">
        <v>1083.27856</v>
      </c>
      <c r="E371" t="s">
        <v>666</v>
      </c>
      <c r="F371" t="s">
        <v>632</v>
      </c>
      <c r="G371" t="s">
        <v>670</v>
      </c>
      <c r="H371" t="s">
        <v>699</v>
      </c>
      <c r="I371" t="s">
        <v>1071</v>
      </c>
      <c r="J371" t="s">
        <v>1316</v>
      </c>
      <c r="K371">
        <v>43993</v>
      </c>
      <c r="L371">
        <v>0.1875</v>
      </c>
      <c r="M371">
        <v>0.05732557823340656</v>
      </c>
      <c r="N371">
        <v>0.01</v>
      </c>
      <c r="O371">
        <v>0.1839529394049269</v>
      </c>
      <c r="P371" t="s">
        <v>300</v>
      </c>
      <c r="Q371" t="s">
        <v>636</v>
      </c>
      <c r="R371">
        <v>0</v>
      </c>
      <c r="S371">
        <v>0.9952606635071091</v>
      </c>
      <c r="T371">
        <v>14.8</v>
      </c>
      <c r="U371">
        <v>0.7567567567567567</v>
      </c>
      <c r="V371">
        <v>-6.3974</v>
      </c>
      <c r="W371">
        <v>2.11</v>
      </c>
      <c r="X371">
        <v>2.1</v>
      </c>
      <c r="Y371">
        <v>-0.38292</v>
      </c>
      <c r="Z371">
        <v>0.965289256198347</v>
      </c>
      <c r="AA371">
        <v>0.178743961352657</v>
      </c>
      <c r="AB371">
        <v>0.0819935691318328</v>
      </c>
      <c r="AC371">
        <v>0.8890675241157556</v>
      </c>
      <c r="AD371">
        <v>0.9758842443729904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23.21</v>
      </c>
      <c r="D372">
        <v>13547.86268</v>
      </c>
      <c r="E372" t="s">
        <v>660</v>
      </c>
      <c r="F372" t="s">
        <v>631</v>
      </c>
      <c r="G372" t="s">
        <v>670</v>
      </c>
      <c r="H372" t="s">
        <v>699</v>
      </c>
      <c r="I372" t="s">
        <v>1072</v>
      </c>
      <c r="J372" t="s">
        <v>1311</v>
      </c>
      <c r="K372">
        <v>43946</v>
      </c>
      <c r="L372">
        <v>0.037483843171046</v>
      </c>
      <c r="M372">
        <v>0.09175571014082839</v>
      </c>
      <c r="N372">
        <v>0.05</v>
      </c>
      <c r="O372">
        <v>0.1714873436574991</v>
      </c>
      <c r="P372" t="s">
        <v>300</v>
      </c>
      <c r="Q372" t="s">
        <v>300</v>
      </c>
      <c r="R372">
        <v>4</v>
      </c>
      <c r="S372">
        <v>0.58</v>
      </c>
      <c r="T372">
        <v>36</v>
      </c>
      <c r="U372">
        <v>0.6447222222222222</v>
      </c>
      <c r="V372">
        <v>4.4623</v>
      </c>
      <c r="W372">
        <v>1.5</v>
      </c>
      <c r="X372">
        <v>0.87</v>
      </c>
      <c r="Y372">
        <v>-0.356886</v>
      </c>
      <c r="Z372">
        <v>0.5157024793388429</v>
      </c>
      <c r="AA372">
        <v>0.2077294685990338</v>
      </c>
      <c r="AB372">
        <v>0.5160771704180064</v>
      </c>
      <c r="AC372">
        <v>0.9646302250803859</v>
      </c>
      <c r="AD372">
        <v>0.9630225080385852</v>
      </c>
    </row>
    <row r="373" spans="1:30">
      <c r="A373" s="1" t="s">
        <v>380</v>
      </c>
      <c r="B373">
        <f>HYPERLINK("https://www.suredividend.com/sure-analysis-PACW/","PacWest Bancorp")</f>
        <v>0</v>
      </c>
      <c r="C373">
        <v>18.56</v>
      </c>
      <c r="D373">
        <v>2197.04</v>
      </c>
      <c r="E373" t="s">
        <v>663</v>
      </c>
      <c r="F373" t="s">
        <v>631</v>
      </c>
      <c r="G373" t="s">
        <v>670</v>
      </c>
      <c r="H373" t="s">
        <v>701</v>
      </c>
      <c r="I373" t="s">
        <v>1073</v>
      </c>
      <c r="J373" t="s">
        <v>1311</v>
      </c>
      <c r="K373">
        <v>43947</v>
      </c>
      <c r="L373">
        <v>0.110452586206896</v>
      </c>
      <c r="M373">
        <v>0.1008005973645589</v>
      </c>
      <c r="N373">
        <v>0</v>
      </c>
      <c r="O373">
        <v>0.1601419914994857</v>
      </c>
      <c r="P373" t="s">
        <v>300</v>
      </c>
      <c r="Q373" t="s">
        <v>636</v>
      </c>
      <c r="R373">
        <v>2</v>
      </c>
      <c r="S373">
        <v>0.9318181818181817</v>
      </c>
      <c r="T373">
        <v>30</v>
      </c>
      <c r="U373">
        <v>0.6186666666666666</v>
      </c>
      <c r="V373">
        <v>-10.042</v>
      </c>
      <c r="W373">
        <v>2.2</v>
      </c>
      <c r="X373">
        <v>2.05</v>
      </c>
      <c r="Y373">
        <v>-0.50612</v>
      </c>
      <c r="Z373">
        <v>0.8942148760330579</v>
      </c>
      <c r="AA373">
        <v>0.08212560386473429</v>
      </c>
      <c r="AB373">
        <v>0.04180064308681672</v>
      </c>
      <c r="AC373">
        <v>0.9710610932475885</v>
      </c>
      <c r="AD373">
        <v>0.9533762057877813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11.49</v>
      </c>
      <c r="D374">
        <v>1394.44938</v>
      </c>
      <c r="E374" t="s">
        <v>665</v>
      </c>
      <c r="F374" t="s">
        <v>633</v>
      </c>
      <c r="G374" t="s">
        <v>670</v>
      </c>
      <c r="H374" t="s">
        <v>699</v>
      </c>
      <c r="I374" t="s">
        <v>1074</v>
      </c>
      <c r="J374" t="s">
        <v>1321</v>
      </c>
      <c r="K374">
        <v>43991</v>
      </c>
      <c r="L374">
        <v>0.16710182767624</v>
      </c>
      <c r="M374">
        <v>0.008723743571266818</v>
      </c>
      <c r="N374">
        <v>0.03</v>
      </c>
      <c r="O374">
        <v>0.1583016325069184</v>
      </c>
      <c r="P374" t="s">
        <v>300</v>
      </c>
      <c r="Q374" t="s">
        <v>636</v>
      </c>
      <c r="R374">
        <v>0</v>
      </c>
      <c r="S374">
        <v>0.8347826086956522</v>
      </c>
      <c r="T374">
        <v>12</v>
      </c>
      <c r="U374">
        <v>0.9575</v>
      </c>
      <c r="V374">
        <v>1.2671</v>
      </c>
      <c r="W374">
        <v>2.3</v>
      </c>
      <c r="X374">
        <v>1.92</v>
      </c>
      <c r="Y374">
        <v>-0.352311</v>
      </c>
      <c r="Z374">
        <v>0.9553719008264463</v>
      </c>
      <c r="AA374">
        <v>0.2190016103059581</v>
      </c>
      <c r="AB374">
        <v>0.247588424437299</v>
      </c>
      <c r="AC374">
        <v>0.6527331189710611</v>
      </c>
      <c r="AD374">
        <v>0.9485530546623794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35.04</v>
      </c>
      <c r="D375">
        <v>143492.304</v>
      </c>
      <c r="E375" t="s">
        <v>666</v>
      </c>
      <c r="F375" t="s">
        <v>631</v>
      </c>
      <c r="G375" t="s">
        <v>692</v>
      </c>
      <c r="H375" t="s">
        <v>699</v>
      </c>
      <c r="J375" t="s">
        <v>1320</v>
      </c>
      <c r="K375">
        <v>44007</v>
      </c>
      <c r="L375">
        <v>0.053563670091324</v>
      </c>
      <c r="M375">
        <v>0.07369561975748784</v>
      </c>
      <c r="N375">
        <v>0.042</v>
      </c>
      <c r="O375">
        <v>0.1574920093692513</v>
      </c>
      <c r="P375" t="s">
        <v>300</v>
      </c>
      <c r="Q375" t="s">
        <v>383</v>
      </c>
      <c r="R375">
        <v>0</v>
      </c>
      <c r="S375">
        <v>0.46921775</v>
      </c>
      <c r="T375">
        <v>50</v>
      </c>
      <c r="U375">
        <v>0.7008</v>
      </c>
      <c r="V375">
        <v>3.7744</v>
      </c>
      <c r="W375">
        <v>4</v>
      </c>
      <c r="X375">
        <v>1.876871</v>
      </c>
      <c r="Y375">
        <v>-0.22306</v>
      </c>
      <c r="Z375">
        <v>0.6793388429752066</v>
      </c>
      <c r="AA375">
        <v>0.3768115942028985</v>
      </c>
      <c r="AB375">
        <v>0.4324758842443729</v>
      </c>
      <c r="AC375">
        <v>0.9372990353697749</v>
      </c>
      <c r="AD375">
        <v>0.9469453376205788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50.22</v>
      </c>
      <c r="D376">
        <v>104553.018</v>
      </c>
      <c r="E376" t="s">
        <v>663</v>
      </c>
      <c r="F376" t="s">
        <v>631</v>
      </c>
      <c r="G376" t="s">
        <v>670</v>
      </c>
      <c r="H376" t="s">
        <v>699</v>
      </c>
      <c r="I376" t="s">
        <v>1075</v>
      </c>
      <c r="J376" t="s">
        <v>1311</v>
      </c>
      <c r="K376">
        <v>44027</v>
      </c>
      <c r="L376">
        <v>0.040621266427718</v>
      </c>
      <c r="M376">
        <v>0.06249388902002861</v>
      </c>
      <c r="N376">
        <v>0.06</v>
      </c>
      <c r="O376">
        <v>0.156576069449299</v>
      </c>
      <c r="P376" t="s">
        <v>300</v>
      </c>
      <c r="Q376" t="s">
        <v>300</v>
      </c>
      <c r="R376">
        <v>6</v>
      </c>
      <c r="S376">
        <v>0.6181818181818183</v>
      </c>
      <c r="T376">
        <v>68</v>
      </c>
      <c r="U376">
        <v>0.7385294117647059</v>
      </c>
      <c r="V376">
        <v>5.8074</v>
      </c>
      <c r="W376">
        <v>3.3</v>
      </c>
      <c r="X376">
        <v>2.04</v>
      </c>
      <c r="Y376">
        <v>-0.30046</v>
      </c>
      <c r="Z376">
        <v>0.5553719008264463</v>
      </c>
      <c r="AA376">
        <v>0.28341384863124</v>
      </c>
      <c r="AB376">
        <v>0.6463022508038585</v>
      </c>
      <c r="AC376">
        <v>0.9035369774919615</v>
      </c>
      <c r="AD376">
        <v>0.9453376205787781</v>
      </c>
    </row>
    <row r="377" spans="1:30">
      <c r="A377" s="1" t="s">
        <v>384</v>
      </c>
      <c r="B377">
        <f>HYPERLINK("https://www.suredividend.com/sure-analysis-UBA/","Urstadt Biddle Properties, Inc.")</f>
        <v>0</v>
      </c>
      <c r="C377">
        <v>10.32</v>
      </c>
      <c r="D377">
        <v>413.482152</v>
      </c>
      <c r="E377" t="s">
        <v>669</v>
      </c>
      <c r="F377" t="s">
        <v>633</v>
      </c>
      <c r="G377" t="s">
        <v>670</v>
      </c>
      <c r="H377" t="s">
        <v>699</v>
      </c>
      <c r="I377" t="s">
        <v>1076</v>
      </c>
      <c r="J377" t="s">
        <v>1321</v>
      </c>
      <c r="K377">
        <v>44013</v>
      </c>
      <c r="L377">
        <v>0.107558139534883</v>
      </c>
      <c r="M377">
        <v>0.1049785431314096</v>
      </c>
      <c r="N377">
        <v>0</v>
      </c>
      <c r="O377">
        <v>0.1552131035528121</v>
      </c>
      <c r="P377" t="s">
        <v>300</v>
      </c>
      <c r="Q377" t="s">
        <v>636</v>
      </c>
      <c r="R377">
        <v>0</v>
      </c>
      <c r="S377">
        <v>1.11</v>
      </c>
      <c r="T377">
        <v>17</v>
      </c>
      <c r="U377">
        <v>0.6070588235294118</v>
      </c>
      <c r="V377">
        <v>0.4748</v>
      </c>
      <c r="W377">
        <v>1</v>
      </c>
      <c r="X377">
        <v>1.11</v>
      </c>
      <c r="Y377">
        <v>-0.5179819999999999</v>
      </c>
      <c r="Z377">
        <v>0.8892561983471075</v>
      </c>
      <c r="AA377">
        <v>0.07407407407407407</v>
      </c>
      <c r="AB377">
        <v>0.04180064308681672</v>
      </c>
      <c r="AC377">
        <v>0.977491961414791</v>
      </c>
      <c r="AD377">
        <v>0.9389067524115755</v>
      </c>
    </row>
    <row r="378" spans="1:30">
      <c r="A378" s="1" t="s">
        <v>385</v>
      </c>
      <c r="B378">
        <f>HYPERLINK("https://www.suredividend.com/sure-analysis-CTL/","CenturyLink, Inc.")</f>
        <v>0</v>
      </c>
      <c r="C378">
        <v>9.800000000000001</v>
      </c>
      <c r="D378">
        <v>10755.5</v>
      </c>
      <c r="E378" t="s">
        <v>666</v>
      </c>
      <c r="F378" t="s">
        <v>631</v>
      </c>
      <c r="G378" t="s">
        <v>670</v>
      </c>
      <c r="H378" t="s">
        <v>699</v>
      </c>
      <c r="I378" t="s">
        <v>1077</v>
      </c>
      <c r="J378" t="s">
        <v>1320</v>
      </c>
      <c r="K378">
        <v>43993</v>
      </c>
      <c r="L378">
        <v>0.10204081632653</v>
      </c>
      <c r="M378">
        <v>0.05650784672251463</v>
      </c>
      <c r="N378">
        <v>0.03</v>
      </c>
      <c r="O378">
        <v>0.1528254220502148</v>
      </c>
      <c r="P378" t="s">
        <v>300</v>
      </c>
      <c r="Q378" t="s">
        <v>636</v>
      </c>
      <c r="R378">
        <v>0</v>
      </c>
      <c r="S378">
        <v>0.7751937984496123</v>
      </c>
      <c r="T378">
        <v>12.9</v>
      </c>
      <c r="U378">
        <v>0.7596899224806202</v>
      </c>
      <c r="V378">
        <v>1.1277</v>
      </c>
      <c r="W378">
        <v>1.29</v>
      </c>
      <c r="X378">
        <v>1</v>
      </c>
      <c r="Y378">
        <v>-0.140351</v>
      </c>
      <c r="Z378">
        <v>0.8793388429752066</v>
      </c>
      <c r="AA378">
        <v>0.4911433172302738</v>
      </c>
      <c r="AB378">
        <v>0.247588424437299</v>
      </c>
      <c r="AC378">
        <v>0.8826366559485531</v>
      </c>
      <c r="AD378">
        <v>0.932475884244373</v>
      </c>
    </row>
    <row r="379" spans="1:30">
      <c r="A379" s="1" t="s">
        <v>386</v>
      </c>
      <c r="B379">
        <f>HYPERLINK("https://www.suredividend.com/sure-analysis-DIN/","Dine Brands Global, Inc.")</f>
        <v>0</v>
      </c>
      <c r="C379">
        <v>38.71</v>
      </c>
      <c r="D379">
        <v>635.5562640000001</v>
      </c>
      <c r="E379" t="s">
        <v>660</v>
      </c>
      <c r="F379" t="s">
        <v>631</v>
      </c>
      <c r="G379" t="s">
        <v>670</v>
      </c>
      <c r="H379" t="s">
        <v>699</v>
      </c>
      <c r="I379" t="s">
        <v>1078</v>
      </c>
      <c r="J379" t="s">
        <v>1312</v>
      </c>
      <c r="K379">
        <v>43961</v>
      </c>
      <c r="L379">
        <v>0.073107724102299</v>
      </c>
      <c r="M379">
        <v>0.112613058471819</v>
      </c>
      <c r="N379">
        <v>0.035</v>
      </c>
      <c r="O379">
        <v>0.1515545155183324</v>
      </c>
      <c r="P379" t="s">
        <v>300</v>
      </c>
      <c r="Q379" t="s">
        <v>383</v>
      </c>
      <c r="R379">
        <v>0</v>
      </c>
      <c r="S379">
        <v>0.9129032258064516</v>
      </c>
      <c r="T379">
        <v>66</v>
      </c>
      <c r="U379">
        <v>0.5865151515151515</v>
      </c>
      <c r="V379">
        <v>5.519600000000001</v>
      </c>
      <c r="W379">
        <v>3.1</v>
      </c>
      <c r="X379">
        <v>2.83</v>
      </c>
      <c r="Y379">
        <v>-0.587797</v>
      </c>
      <c r="Z379">
        <v>0.8</v>
      </c>
      <c r="AA379">
        <v>0.04830917874396135</v>
      </c>
      <c r="AB379">
        <v>0.3086816720257235</v>
      </c>
      <c r="AC379">
        <v>0.9839228295819936</v>
      </c>
      <c r="AD379">
        <v>0.9292604501607716</v>
      </c>
    </row>
    <row r="380" spans="1:30">
      <c r="A380" s="1" t="s">
        <v>387</v>
      </c>
      <c r="B380">
        <f>HYPERLINK("https://www.suredividend.com/sure-analysis-PSX/","Phillips 66")</f>
        <v>0</v>
      </c>
      <c r="C380">
        <v>63.84</v>
      </c>
      <c r="D380">
        <v>27877.332</v>
      </c>
      <c r="E380" t="s">
        <v>662</v>
      </c>
      <c r="F380" t="s">
        <v>631</v>
      </c>
      <c r="G380" t="s">
        <v>670</v>
      </c>
      <c r="H380" t="s">
        <v>699</v>
      </c>
      <c r="I380" t="s">
        <v>1079</v>
      </c>
      <c r="J380" t="s">
        <v>1316</v>
      </c>
      <c r="K380">
        <v>43957</v>
      </c>
      <c r="L380">
        <v>0.05639097744360901</v>
      </c>
      <c r="M380">
        <v>0.05642162229904302</v>
      </c>
      <c r="N380">
        <v>0.05</v>
      </c>
      <c r="O380">
        <v>0.1494199597357766</v>
      </c>
      <c r="P380" t="s">
        <v>300</v>
      </c>
      <c r="Q380" t="s">
        <v>383</v>
      </c>
      <c r="R380">
        <v>8</v>
      </c>
      <c r="S380">
        <v>1.44</v>
      </c>
      <c r="T380">
        <v>84</v>
      </c>
      <c r="U380">
        <v>0.76</v>
      </c>
      <c r="V380">
        <v>0.7084</v>
      </c>
      <c r="W380">
        <v>2.5</v>
      </c>
      <c r="X380">
        <v>3.6</v>
      </c>
      <c r="Y380">
        <v>-0.373626</v>
      </c>
      <c r="Z380">
        <v>0.6958677685950413</v>
      </c>
      <c r="AA380">
        <v>0.1900161030595813</v>
      </c>
      <c r="AB380">
        <v>0.5160771704180064</v>
      </c>
      <c r="AC380">
        <v>0.8810289389067525</v>
      </c>
      <c r="AD380">
        <v>0.9244372990353698</v>
      </c>
    </row>
    <row r="381" spans="1:30">
      <c r="A381" s="1" t="s">
        <v>388</v>
      </c>
      <c r="B381">
        <f>HYPERLINK("https://www.suredividend.com/sure-analysis-IMBBY/","Imperial Brands Plc")</f>
        <v>0</v>
      </c>
      <c r="C381">
        <v>17.83</v>
      </c>
      <c r="D381">
        <v>16874.45464</v>
      </c>
      <c r="E381" t="s">
        <v>664</v>
      </c>
      <c r="F381" t="s">
        <v>631</v>
      </c>
      <c r="G381" t="s">
        <v>673</v>
      </c>
      <c r="H381" t="s">
        <v>700</v>
      </c>
      <c r="I381" t="s">
        <v>1080</v>
      </c>
      <c r="J381" t="s">
        <v>1318</v>
      </c>
      <c r="K381">
        <v>43972</v>
      </c>
      <c r="L381">
        <v>0.139534492428491</v>
      </c>
      <c r="M381">
        <v>0.05224119074958611</v>
      </c>
      <c r="N381">
        <v>0.03</v>
      </c>
      <c r="O381">
        <v>0.1448281457173095</v>
      </c>
      <c r="P381" t="s">
        <v>300</v>
      </c>
      <c r="Q381" t="s">
        <v>636</v>
      </c>
      <c r="R381">
        <v>0</v>
      </c>
      <c r="S381">
        <v>0.6930083565459609</v>
      </c>
      <c r="T381">
        <v>23</v>
      </c>
      <c r="U381">
        <v>0.7752173913043477</v>
      </c>
      <c r="V381">
        <v>1.1502</v>
      </c>
      <c r="W381">
        <v>3.59</v>
      </c>
      <c r="X381">
        <v>2.4879</v>
      </c>
      <c r="Y381">
        <v>-0.344003</v>
      </c>
      <c r="Z381">
        <v>0.9223140495867769</v>
      </c>
      <c r="AA381">
        <v>0.2431561996779388</v>
      </c>
      <c r="AB381">
        <v>0.247588424437299</v>
      </c>
      <c r="AC381">
        <v>0.8649517684887459</v>
      </c>
      <c r="AD381">
        <v>0.9083601286173634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62.4</v>
      </c>
      <c r="D382">
        <v>41061.659683</v>
      </c>
      <c r="E382" t="s">
        <v>669</v>
      </c>
      <c r="F382" t="s">
        <v>633</v>
      </c>
      <c r="G382" t="s">
        <v>670</v>
      </c>
      <c r="H382" t="s">
        <v>699</v>
      </c>
      <c r="I382" t="s">
        <v>1081</v>
      </c>
      <c r="J382" t="s">
        <v>1321</v>
      </c>
      <c r="K382">
        <v>44012</v>
      </c>
      <c r="L382">
        <v>0.133814102564102</v>
      </c>
      <c r="M382">
        <v>0.06376786616906682</v>
      </c>
      <c r="N382">
        <v>0.019</v>
      </c>
      <c r="O382">
        <v>0.1430129207979964</v>
      </c>
      <c r="P382" t="s">
        <v>300</v>
      </c>
      <c r="Q382" t="s">
        <v>636</v>
      </c>
      <c r="R382">
        <v>10</v>
      </c>
      <c r="S382">
        <v>0.835</v>
      </c>
      <c r="T382">
        <v>85</v>
      </c>
      <c r="U382">
        <v>0.7341176470588235</v>
      </c>
      <c r="V382">
        <v>6.4145</v>
      </c>
      <c r="W382">
        <v>10</v>
      </c>
      <c r="X382">
        <v>8.35</v>
      </c>
      <c r="Y382">
        <v>-0.608507</v>
      </c>
      <c r="Z382">
        <v>0.9173553719008264</v>
      </c>
      <c r="AA382">
        <v>0.04025764895330113</v>
      </c>
      <c r="AB382">
        <v>0.1221864951768489</v>
      </c>
      <c r="AC382">
        <v>0.9067524115755627</v>
      </c>
      <c r="AD382">
        <v>0.9051446945337621</v>
      </c>
    </row>
    <row r="383" spans="1:30">
      <c r="A383" s="1" t="s">
        <v>390</v>
      </c>
      <c r="B383">
        <f>HYPERLINK("https://www.suredividend.com/sure-analysis-IPPLF/","Inter Pipeline Ltd.")</f>
        <v>0</v>
      </c>
      <c r="C383">
        <v>9.42</v>
      </c>
      <c r="D383">
        <v>4043.064</v>
      </c>
      <c r="E383" t="s">
        <v>668</v>
      </c>
      <c r="F383" t="s">
        <v>631</v>
      </c>
      <c r="G383" t="s">
        <v>671</v>
      </c>
      <c r="H383" t="s">
        <v>700</v>
      </c>
      <c r="I383" t="s">
        <v>1082</v>
      </c>
      <c r="J383" t="s">
        <v>1316</v>
      </c>
      <c r="K383">
        <v>43979</v>
      </c>
      <c r="L383">
        <v>0.136404501233977</v>
      </c>
      <c r="M383">
        <v>0.08246889731087204</v>
      </c>
      <c r="N383">
        <v>0.03</v>
      </c>
      <c r="O383">
        <v>0.1416593989877821</v>
      </c>
      <c r="P383" t="s">
        <v>300</v>
      </c>
      <c r="Q383" t="s">
        <v>635</v>
      </c>
      <c r="R383">
        <v>0</v>
      </c>
      <c r="S383">
        <v>1.003851876268805</v>
      </c>
      <c r="T383">
        <v>14</v>
      </c>
      <c r="U383">
        <v>0.6728571428571428</v>
      </c>
      <c r="V383">
        <v>0.9586</v>
      </c>
      <c r="W383">
        <v>1.28</v>
      </c>
      <c r="X383">
        <v>1.28493040162407</v>
      </c>
      <c r="Y383">
        <v>-0.452771</v>
      </c>
      <c r="Z383">
        <v>0.9206611570247933</v>
      </c>
      <c r="AA383">
        <v>0.1272141706924316</v>
      </c>
      <c r="AB383">
        <v>0.247588424437299</v>
      </c>
      <c r="AC383">
        <v>0.9549839228295819</v>
      </c>
      <c r="AD383">
        <v>0.9019292604501608</v>
      </c>
    </row>
    <row r="384" spans="1:30">
      <c r="A384" s="1" t="s">
        <v>391</v>
      </c>
      <c r="B384">
        <f>HYPERLINK("https://www.suredividend.com/sure-analysis-TEF/","Telefónica SA")</f>
        <v>0</v>
      </c>
      <c r="C384">
        <v>4.73</v>
      </c>
      <c r="D384">
        <v>24836.649936</v>
      </c>
      <c r="E384" t="s">
        <v>660</v>
      </c>
      <c r="F384" t="s">
        <v>631</v>
      </c>
      <c r="G384" t="s">
        <v>678</v>
      </c>
      <c r="H384" t="s">
        <v>699</v>
      </c>
      <c r="I384" t="s">
        <v>1083</v>
      </c>
      <c r="J384" t="s">
        <v>1320</v>
      </c>
      <c r="K384">
        <v>43973</v>
      </c>
      <c r="L384">
        <v>0.06835412262156401</v>
      </c>
      <c r="M384">
        <v>0.05899980891348511</v>
      </c>
      <c r="N384">
        <v>0.02</v>
      </c>
      <c r="O384">
        <v>0.1412115767175333</v>
      </c>
      <c r="P384" t="s">
        <v>300</v>
      </c>
      <c r="Q384" t="s">
        <v>636</v>
      </c>
      <c r="R384">
        <v>0</v>
      </c>
      <c r="S384">
        <v>0.4618785714285714</v>
      </c>
      <c r="T384">
        <v>6.3</v>
      </c>
      <c r="U384">
        <v>0.7507936507936509</v>
      </c>
      <c r="V384">
        <v>0.2067</v>
      </c>
      <c r="W384">
        <v>0.7</v>
      </c>
      <c r="X384">
        <v>0.323315</v>
      </c>
      <c r="Y384">
        <v>-0.424574</v>
      </c>
      <c r="Z384">
        <v>0.7834710743801652</v>
      </c>
      <c r="AA384">
        <v>0.1465378421900161</v>
      </c>
      <c r="AB384">
        <v>0.157556270096463</v>
      </c>
      <c r="AC384">
        <v>0.8938906752411576</v>
      </c>
      <c r="AD384">
        <v>0.8987138263665595</v>
      </c>
    </row>
    <row r="385" spans="1:30">
      <c r="A385" s="1" t="s">
        <v>392</v>
      </c>
      <c r="B385">
        <f>HYPERLINK("https://www.suredividend.com/sure-analysis-ALLY/","Ally Financial, Inc.")</f>
        <v>0</v>
      </c>
      <c r="C385">
        <v>21.29</v>
      </c>
      <c r="D385">
        <v>7944.49124</v>
      </c>
      <c r="E385" t="s">
        <v>660</v>
      </c>
      <c r="F385" t="s">
        <v>631</v>
      </c>
      <c r="G385" t="s">
        <v>670</v>
      </c>
      <c r="H385" t="s">
        <v>699</v>
      </c>
      <c r="I385" t="s">
        <v>1084</v>
      </c>
      <c r="J385" t="s">
        <v>1311</v>
      </c>
      <c r="K385">
        <v>43958</v>
      </c>
      <c r="L385">
        <v>0.033818694222639</v>
      </c>
      <c r="M385">
        <v>0.05632236253760814</v>
      </c>
      <c r="N385">
        <v>0.05</v>
      </c>
      <c r="O385">
        <v>0.1390922677263942</v>
      </c>
      <c r="P385" t="s">
        <v>300</v>
      </c>
      <c r="Q385" t="s">
        <v>300</v>
      </c>
      <c r="R385">
        <v>4</v>
      </c>
      <c r="S385">
        <v>0.6</v>
      </c>
      <c r="T385">
        <v>28</v>
      </c>
      <c r="U385">
        <v>0.7603571428571428</v>
      </c>
      <c r="V385">
        <v>1.7626</v>
      </c>
      <c r="W385">
        <v>1.2</v>
      </c>
      <c r="X385">
        <v>0.72</v>
      </c>
      <c r="Y385">
        <v>-0.364288</v>
      </c>
      <c r="Z385">
        <v>0.459504132231405</v>
      </c>
      <c r="AA385">
        <v>0.1996779388083736</v>
      </c>
      <c r="AB385">
        <v>0.5160771704180064</v>
      </c>
      <c r="AC385">
        <v>0.8794212218649519</v>
      </c>
      <c r="AD385">
        <v>0.8954983922829582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6.73</v>
      </c>
      <c r="D386">
        <v>1107.52918</v>
      </c>
      <c r="E386" t="s">
        <v>660</v>
      </c>
      <c r="F386" t="s">
        <v>633</v>
      </c>
      <c r="G386" t="s">
        <v>670</v>
      </c>
      <c r="H386" t="s">
        <v>701</v>
      </c>
      <c r="I386" t="s">
        <v>1085</v>
      </c>
      <c r="J386" t="s">
        <v>1321</v>
      </c>
      <c r="K386">
        <v>43976</v>
      </c>
      <c r="L386">
        <v>0.242199108469539</v>
      </c>
      <c r="M386">
        <v>0.1131060806876401</v>
      </c>
      <c r="N386">
        <v>0.02</v>
      </c>
      <c r="O386">
        <v>0.1389227040211209</v>
      </c>
      <c r="P386" t="s">
        <v>300</v>
      </c>
      <c r="Q386" t="s">
        <v>636</v>
      </c>
      <c r="R386">
        <v>0</v>
      </c>
      <c r="S386">
        <v>1.086666666666667</v>
      </c>
      <c r="T386">
        <v>11.5</v>
      </c>
      <c r="U386">
        <v>0.5852173913043479</v>
      </c>
      <c r="V386">
        <v>0.002</v>
      </c>
      <c r="W386">
        <v>1.5</v>
      </c>
      <c r="X386">
        <v>1.63</v>
      </c>
      <c r="Y386">
        <v>-0.727641</v>
      </c>
      <c r="Z386">
        <v>0.9884297520661157</v>
      </c>
      <c r="AA386">
        <v>0.01449275362318841</v>
      </c>
      <c r="AB386">
        <v>0.157556270096463</v>
      </c>
      <c r="AC386">
        <v>0.9871382636655949</v>
      </c>
      <c r="AD386">
        <v>0.8938906752411576</v>
      </c>
    </row>
    <row r="387" spans="1:30">
      <c r="A387" s="1" t="s">
        <v>394</v>
      </c>
      <c r="B387">
        <f>HYPERLINK("https://www.suredividend.com/sure-analysis-PFE/","Pfizer Inc.")</f>
        <v>0</v>
      </c>
      <c r="C387">
        <v>36.25</v>
      </c>
      <c r="D387">
        <v>201362.5875</v>
      </c>
      <c r="E387" t="s">
        <v>661</v>
      </c>
      <c r="F387" t="s">
        <v>631</v>
      </c>
      <c r="G387" t="s">
        <v>670</v>
      </c>
      <c r="H387" t="s">
        <v>699</v>
      </c>
      <c r="I387" t="s">
        <v>1086</v>
      </c>
      <c r="J387" t="s">
        <v>1314</v>
      </c>
      <c r="K387">
        <v>44007</v>
      </c>
      <c r="L387">
        <v>0.04082758620689601</v>
      </c>
      <c r="M387">
        <v>0.04879344456984835</v>
      </c>
      <c r="N387">
        <v>0.06</v>
      </c>
      <c r="O387">
        <v>0.1386918329441065</v>
      </c>
      <c r="P387" t="s">
        <v>300</v>
      </c>
      <c r="Q387" t="s">
        <v>383</v>
      </c>
      <c r="R387">
        <v>10</v>
      </c>
      <c r="S387">
        <v>0.550185873605948</v>
      </c>
      <c r="T387">
        <v>46</v>
      </c>
      <c r="U387">
        <v>0.7880434782608695</v>
      </c>
      <c r="V387">
        <v>2.8425</v>
      </c>
      <c r="W387">
        <v>2.69</v>
      </c>
      <c r="X387">
        <v>1.48</v>
      </c>
      <c r="Y387">
        <v>-0.158151</v>
      </c>
      <c r="Z387">
        <v>0.5636363636363637</v>
      </c>
      <c r="AA387">
        <v>0.462157809983897</v>
      </c>
      <c r="AB387">
        <v>0.6463022508038585</v>
      </c>
      <c r="AC387">
        <v>0.8536977491961415</v>
      </c>
      <c r="AD387">
        <v>0.892282958199357</v>
      </c>
    </row>
    <row r="388" spans="1:30">
      <c r="A388" s="1" t="s">
        <v>395</v>
      </c>
      <c r="B388">
        <f>HYPERLINK("https://www.suredividend.com/sure-analysis-KTB/","Kontoor Brands, Inc.")</f>
        <v>0</v>
      </c>
      <c r="C388">
        <v>17.17</v>
      </c>
      <c r="D388">
        <v>980.491133</v>
      </c>
      <c r="E388" t="s">
        <v>660</v>
      </c>
      <c r="F388" t="s">
        <v>631</v>
      </c>
      <c r="G388" t="s">
        <v>670</v>
      </c>
      <c r="H388" t="s">
        <v>699</v>
      </c>
      <c r="I388" t="s">
        <v>1087</v>
      </c>
      <c r="J388" t="s">
        <v>1312</v>
      </c>
      <c r="K388">
        <v>43976</v>
      </c>
      <c r="L388">
        <v>0.09784507862550901</v>
      </c>
      <c r="M388">
        <v>0.1027512208003409</v>
      </c>
      <c r="N388">
        <v>0.03</v>
      </c>
      <c r="O388">
        <v>0.1358337574243513</v>
      </c>
      <c r="P388" t="s">
        <v>300</v>
      </c>
      <c r="Q388" t="s">
        <v>636</v>
      </c>
      <c r="R388">
        <v>0</v>
      </c>
      <c r="S388">
        <v>0.9081081081081082</v>
      </c>
      <c r="T388">
        <v>28</v>
      </c>
      <c r="U388">
        <v>0.6132142857142858</v>
      </c>
      <c r="V388">
        <v>1.3852</v>
      </c>
      <c r="W388">
        <v>1.85</v>
      </c>
      <c r="X388">
        <v>1.68</v>
      </c>
      <c r="Y388">
        <v>-0.414593</v>
      </c>
      <c r="Z388">
        <v>0.8644628099173554</v>
      </c>
      <c r="AA388">
        <v>0.1529790660225443</v>
      </c>
      <c r="AB388">
        <v>0.247588424437299</v>
      </c>
      <c r="AC388">
        <v>0.9726688102893891</v>
      </c>
      <c r="AD388">
        <v>0.8826366559485531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14.92</v>
      </c>
      <c r="D389">
        <v>33741.4308</v>
      </c>
      <c r="E389" t="s">
        <v>669</v>
      </c>
      <c r="F389" t="s">
        <v>631</v>
      </c>
      <c r="G389" t="s">
        <v>670</v>
      </c>
      <c r="H389" t="s">
        <v>699</v>
      </c>
      <c r="I389" t="s">
        <v>1088</v>
      </c>
      <c r="J389" t="s">
        <v>1316</v>
      </c>
      <c r="K389">
        <v>43963</v>
      </c>
      <c r="L389">
        <v>0.06702412868632701</v>
      </c>
      <c r="M389">
        <v>0.06035730949780627</v>
      </c>
      <c r="N389">
        <v>0.019</v>
      </c>
      <c r="O389">
        <v>0.1302532188346701</v>
      </c>
      <c r="P389" t="s">
        <v>300</v>
      </c>
      <c r="Q389" t="s">
        <v>636</v>
      </c>
      <c r="R389">
        <v>2</v>
      </c>
      <c r="S389">
        <v>0.5</v>
      </c>
      <c r="T389">
        <v>20</v>
      </c>
      <c r="U389">
        <v>0.746</v>
      </c>
      <c r="V389">
        <v>0.5814</v>
      </c>
      <c r="W389">
        <v>2</v>
      </c>
      <c r="X389">
        <v>1</v>
      </c>
      <c r="Y389">
        <v>-0.269344</v>
      </c>
      <c r="Z389">
        <v>0.7719008264462811</v>
      </c>
      <c r="AA389">
        <v>0.3140096618357488</v>
      </c>
      <c r="AB389">
        <v>0.1221864951768489</v>
      </c>
      <c r="AC389">
        <v>0.8987138263665595</v>
      </c>
      <c r="AD389">
        <v>0.860128617363344</v>
      </c>
    </row>
    <row r="390" spans="1:30">
      <c r="A390" s="1" t="s">
        <v>397</v>
      </c>
      <c r="B390">
        <f>HYPERLINK("https://www.suredividend.com/sure-analysis-STWD/","Starwood Property Trust, Inc.")</f>
        <v>0</v>
      </c>
      <c r="C390">
        <v>14.69</v>
      </c>
      <c r="D390">
        <v>4146.31126</v>
      </c>
      <c r="E390" t="s">
        <v>669</v>
      </c>
      <c r="F390" t="s">
        <v>633</v>
      </c>
      <c r="G390" t="s">
        <v>670</v>
      </c>
      <c r="H390" t="s">
        <v>699</v>
      </c>
      <c r="I390" t="s">
        <v>1089</v>
      </c>
      <c r="J390" t="s">
        <v>1321</v>
      </c>
      <c r="K390">
        <v>44013</v>
      </c>
      <c r="L390">
        <v>0.130701157249829</v>
      </c>
      <c r="M390">
        <v>0.01723111850068881</v>
      </c>
      <c r="N390">
        <v>0.014</v>
      </c>
      <c r="O390">
        <v>0.1273694177963951</v>
      </c>
      <c r="P390" t="s">
        <v>300</v>
      </c>
      <c r="Q390" t="s">
        <v>636</v>
      </c>
      <c r="R390">
        <v>0</v>
      </c>
      <c r="S390">
        <v>1.054945054945055</v>
      </c>
      <c r="T390">
        <v>16</v>
      </c>
      <c r="U390">
        <v>0.918125</v>
      </c>
      <c r="V390">
        <v>1.3125</v>
      </c>
      <c r="W390">
        <v>1.82</v>
      </c>
      <c r="X390">
        <v>1.92</v>
      </c>
      <c r="Y390">
        <v>-0.364344</v>
      </c>
      <c r="Z390">
        <v>0.912396694214876</v>
      </c>
      <c r="AA390">
        <v>0.1980676328502415</v>
      </c>
      <c r="AB390">
        <v>0.1028938906752412</v>
      </c>
      <c r="AC390">
        <v>0.702572347266881</v>
      </c>
      <c r="AD390">
        <v>0.8488745980707395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27.05</v>
      </c>
      <c r="D391">
        <v>3554.829877</v>
      </c>
      <c r="E391" t="s">
        <v>667</v>
      </c>
      <c r="F391" t="s">
        <v>633</v>
      </c>
      <c r="G391" t="s">
        <v>670</v>
      </c>
      <c r="H391" t="s">
        <v>699</v>
      </c>
      <c r="I391" t="s">
        <v>1090</v>
      </c>
      <c r="J391" t="s">
        <v>1321</v>
      </c>
      <c r="K391">
        <v>43993</v>
      </c>
      <c r="L391">
        <v>0.069593345656192</v>
      </c>
      <c r="M391">
        <v>0.05288310041551392</v>
      </c>
      <c r="N391">
        <v>0.02</v>
      </c>
      <c r="O391">
        <v>0.1249531196917668</v>
      </c>
      <c r="P391" t="s">
        <v>300</v>
      </c>
      <c r="Q391" t="s">
        <v>383</v>
      </c>
      <c r="R391">
        <v>3</v>
      </c>
      <c r="S391">
        <v>0.8044871794871795</v>
      </c>
      <c r="T391">
        <v>35</v>
      </c>
      <c r="U391">
        <v>0.7728571428571429</v>
      </c>
      <c r="V391">
        <v>0.3282</v>
      </c>
      <c r="W391">
        <v>2.34</v>
      </c>
      <c r="X391">
        <v>1.8825</v>
      </c>
      <c r="Y391">
        <v>-0.09743099999999999</v>
      </c>
      <c r="Z391">
        <v>0.7884297520661157</v>
      </c>
      <c r="AA391">
        <v>0.5507246376811594</v>
      </c>
      <c r="AB391">
        <v>0.157556270096463</v>
      </c>
      <c r="AC391">
        <v>0.8697749196141479</v>
      </c>
      <c r="AD391">
        <v>0.8408360128617364</v>
      </c>
    </row>
    <row r="392" spans="1:30">
      <c r="A392" s="1" t="s">
        <v>399</v>
      </c>
      <c r="B392">
        <f>HYPERLINK("https://www.suredividend.com/sure-analysis-XRX/","Xerox Holdings Corp.")</f>
        <v>0</v>
      </c>
      <c r="C392">
        <v>17.35</v>
      </c>
      <c r="D392">
        <v>3694.42225</v>
      </c>
      <c r="E392" t="s">
        <v>663</v>
      </c>
      <c r="F392" t="s">
        <v>631</v>
      </c>
      <c r="G392" t="s">
        <v>670</v>
      </c>
      <c r="H392" t="s">
        <v>699</v>
      </c>
      <c r="I392" t="s">
        <v>1091</v>
      </c>
      <c r="J392" t="s">
        <v>1317</v>
      </c>
      <c r="K392">
        <v>43954</v>
      </c>
      <c r="L392">
        <v>0.057636887608069</v>
      </c>
      <c r="M392">
        <v>0.08426333916784556</v>
      </c>
      <c r="N392">
        <v>0</v>
      </c>
      <c r="O392">
        <v>0.1230845244979741</v>
      </c>
      <c r="P392" t="s">
        <v>300</v>
      </c>
      <c r="Q392" t="s">
        <v>383</v>
      </c>
      <c r="R392">
        <v>0</v>
      </c>
      <c r="S392">
        <v>0.6666666666666666</v>
      </c>
      <c r="T392">
        <v>26</v>
      </c>
      <c r="U392">
        <v>0.6673076923076924</v>
      </c>
      <c r="V392">
        <v>2.6161</v>
      </c>
      <c r="W392">
        <v>1.5</v>
      </c>
      <c r="X392">
        <v>1</v>
      </c>
      <c r="Y392">
        <v>-0.5071019999999999</v>
      </c>
      <c r="Z392">
        <v>0.7074380165289256</v>
      </c>
      <c r="AA392">
        <v>0.08051529790660225</v>
      </c>
      <c r="AB392">
        <v>0.04180064308681672</v>
      </c>
      <c r="AC392">
        <v>0.9565916398713825</v>
      </c>
      <c r="AD392">
        <v>0.8344051446945338</v>
      </c>
    </row>
    <row r="393" spans="1:30">
      <c r="A393" s="1" t="s">
        <v>400</v>
      </c>
      <c r="B393">
        <f>HYPERLINK("https://www.suredividend.com/sure-analysis-STOR/","STORE Capital Corp.")</f>
        <v>0</v>
      </c>
      <c r="C393">
        <v>22.83</v>
      </c>
      <c r="D393">
        <v>5582.04915</v>
      </c>
      <c r="E393" t="s">
        <v>669</v>
      </c>
      <c r="F393" t="s">
        <v>633</v>
      </c>
      <c r="G393" t="s">
        <v>670</v>
      </c>
      <c r="H393" t="s">
        <v>699</v>
      </c>
      <c r="I393" t="s">
        <v>1092</v>
      </c>
      <c r="J393" t="s">
        <v>1321</v>
      </c>
      <c r="K393">
        <v>44012</v>
      </c>
      <c r="L393">
        <v>0.06044678055190501</v>
      </c>
      <c r="M393">
        <v>0.04167064105596197</v>
      </c>
      <c r="N393">
        <v>0.035</v>
      </c>
      <c r="O393">
        <v>0.1230271978225641</v>
      </c>
      <c r="P393" t="s">
        <v>300</v>
      </c>
      <c r="Q393" t="s">
        <v>383</v>
      </c>
      <c r="R393">
        <v>5</v>
      </c>
      <c r="S393">
        <v>0.7459459459459459</v>
      </c>
      <c r="T393">
        <v>28</v>
      </c>
      <c r="U393">
        <v>0.8153571428571428</v>
      </c>
      <c r="V393">
        <v>1.2879</v>
      </c>
      <c r="W393">
        <v>1.85</v>
      </c>
      <c r="X393">
        <v>1.38</v>
      </c>
      <c r="Y393">
        <v>-0.327144</v>
      </c>
      <c r="Z393">
        <v>0.7206611570247934</v>
      </c>
      <c r="AA393">
        <v>0.2544283413848631</v>
      </c>
      <c r="AB393">
        <v>0.3086816720257235</v>
      </c>
      <c r="AC393">
        <v>0.8263665594855305</v>
      </c>
      <c r="AD393">
        <v>0.8327974276527331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27.27</v>
      </c>
      <c r="D394">
        <v>7850.56941</v>
      </c>
      <c r="E394" t="s">
        <v>660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43962</v>
      </c>
      <c r="L394">
        <v>0.09017235056839</v>
      </c>
      <c r="M394">
        <v>0.0259715337960551</v>
      </c>
      <c r="N394">
        <v>0.03</v>
      </c>
      <c r="O394">
        <v>0.1228554715833265</v>
      </c>
      <c r="P394" t="s">
        <v>300</v>
      </c>
      <c r="Q394" t="s">
        <v>636</v>
      </c>
      <c r="R394">
        <v>10</v>
      </c>
      <c r="S394">
        <v>0.8335593220338983</v>
      </c>
      <c r="T394">
        <v>31</v>
      </c>
      <c r="U394">
        <v>0.8796774193548387</v>
      </c>
      <c r="V394">
        <v>1.0506</v>
      </c>
      <c r="W394">
        <v>2.95</v>
      </c>
      <c r="X394">
        <v>2.459</v>
      </c>
      <c r="Y394">
        <v>-0.107073</v>
      </c>
      <c r="Z394">
        <v>0.8512396694214875</v>
      </c>
      <c r="AA394">
        <v>0.534621578099839</v>
      </c>
      <c r="AB394">
        <v>0.247588424437299</v>
      </c>
      <c r="AC394">
        <v>0.752411575562701</v>
      </c>
      <c r="AD394">
        <v>0.8311897106109325</v>
      </c>
    </row>
    <row r="395" spans="1:30">
      <c r="A395" s="1" t="s">
        <v>402</v>
      </c>
      <c r="B395">
        <f>HYPERLINK("https://www.suredividend.com/sure-analysis-OUT/","OUTFRONT Media, Inc.")</f>
        <v>0</v>
      </c>
      <c r="C395">
        <v>14.48</v>
      </c>
      <c r="D395">
        <v>2090.24592</v>
      </c>
      <c r="E395" t="s">
        <v>660</v>
      </c>
      <c r="F395" t="s">
        <v>631</v>
      </c>
      <c r="G395" t="s">
        <v>670</v>
      </c>
      <c r="H395" t="s">
        <v>699</v>
      </c>
      <c r="I395" t="s">
        <v>1094</v>
      </c>
      <c r="J395" t="s">
        <v>1321</v>
      </c>
      <c r="K395">
        <v>44029</v>
      </c>
      <c r="L395">
        <v>0.100828729281767</v>
      </c>
      <c r="M395">
        <v>0.06672454149717999</v>
      </c>
      <c r="N395">
        <v>0.01</v>
      </c>
      <c r="O395">
        <v>0.1184286890321686</v>
      </c>
      <c r="P395" t="s">
        <v>300</v>
      </c>
      <c r="Q395" t="s">
        <v>636</v>
      </c>
      <c r="R395">
        <v>0</v>
      </c>
      <c r="S395">
        <v>0.768421052631579</v>
      </c>
      <c r="T395">
        <v>20</v>
      </c>
      <c r="U395">
        <v>0.724</v>
      </c>
      <c r="V395">
        <v>0.9665</v>
      </c>
      <c r="W395">
        <v>1.9</v>
      </c>
      <c r="X395">
        <v>1.46</v>
      </c>
      <c r="Y395">
        <v>-0.447539</v>
      </c>
      <c r="Z395">
        <v>0.8760330578512396</v>
      </c>
      <c r="AA395">
        <v>0.1304347826086956</v>
      </c>
      <c r="AB395">
        <v>0.0819935691318328</v>
      </c>
      <c r="AC395">
        <v>0.9163987138263665</v>
      </c>
      <c r="AD395">
        <v>0.8167202572347267</v>
      </c>
    </row>
    <row r="396" spans="1:30">
      <c r="A396" s="1" t="s">
        <v>403</v>
      </c>
      <c r="B396">
        <f>HYPERLINK("https://www.suredividend.com/sure-analysis-WMB/","The Williams Cos., Inc.")</f>
        <v>0</v>
      </c>
      <c r="C396">
        <v>19.77</v>
      </c>
      <c r="D396">
        <v>23984.964</v>
      </c>
      <c r="E396" t="s">
        <v>662</v>
      </c>
      <c r="F396" t="s">
        <v>631</v>
      </c>
      <c r="G396" t="s">
        <v>670</v>
      </c>
      <c r="H396" t="s">
        <v>699</v>
      </c>
      <c r="I396" t="s">
        <v>1095</v>
      </c>
      <c r="J396" t="s">
        <v>1316</v>
      </c>
      <c r="K396">
        <v>43966</v>
      </c>
      <c r="L396">
        <v>0.077895801719777</v>
      </c>
      <c r="M396">
        <v>0.002316005080314598</v>
      </c>
      <c r="N396">
        <v>0.05</v>
      </c>
      <c r="O396">
        <v>0.117179681578472</v>
      </c>
      <c r="P396" t="s">
        <v>300</v>
      </c>
      <c r="Q396" t="s">
        <v>636</v>
      </c>
      <c r="R396">
        <v>3</v>
      </c>
      <c r="S396">
        <v>0.5767790262172285</v>
      </c>
      <c r="T396">
        <v>20</v>
      </c>
      <c r="U396">
        <v>0.9884999999999999</v>
      </c>
      <c r="V396">
        <v>0.1117</v>
      </c>
      <c r="W396">
        <v>2.67</v>
      </c>
      <c r="X396">
        <v>1.54</v>
      </c>
      <c r="Y396">
        <v>-0.282656</v>
      </c>
      <c r="Z396">
        <v>0.8181818181818181</v>
      </c>
      <c r="AA396">
        <v>0.3043478260869565</v>
      </c>
      <c r="AB396">
        <v>0.5160771704180064</v>
      </c>
      <c r="AC396">
        <v>0.6157556270096464</v>
      </c>
      <c r="AD396">
        <v>0.8135048231511255</v>
      </c>
    </row>
    <row r="397" spans="1:30">
      <c r="A397" s="1" t="s">
        <v>404</v>
      </c>
      <c r="B397">
        <f>HYPERLINK("https://www.suredividend.com/sure-analysis-SKT/","Tanger Factory Outlet Centers, Inc.")</f>
        <v>0</v>
      </c>
      <c r="C397">
        <v>6.45</v>
      </c>
      <c r="D397">
        <v>602.8557</v>
      </c>
      <c r="E397" t="s">
        <v>666</v>
      </c>
      <c r="F397" t="s">
        <v>633</v>
      </c>
      <c r="G397" t="s">
        <v>670</v>
      </c>
      <c r="H397" t="s">
        <v>699</v>
      </c>
      <c r="I397" t="s">
        <v>1096</v>
      </c>
      <c r="J397" t="s">
        <v>1321</v>
      </c>
      <c r="K397">
        <v>43971</v>
      </c>
      <c r="L397">
        <v>0.220542635658914</v>
      </c>
      <c r="M397">
        <v>0.04401335567882669</v>
      </c>
      <c r="N397">
        <v>-0.028</v>
      </c>
      <c r="O397">
        <v>0.1141063356101866</v>
      </c>
      <c r="P397" t="s">
        <v>300</v>
      </c>
      <c r="Q397" t="s">
        <v>635</v>
      </c>
      <c r="R397">
        <v>27</v>
      </c>
      <c r="S397">
        <v>1.236956521739131</v>
      </c>
      <c r="T397">
        <v>8</v>
      </c>
      <c r="U397">
        <v>0.80625</v>
      </c>
      <c r="V397">
        <v>-0.0296</v>
      </c>
      <c r="W397">
        <v>1.15</v>
      </c>
      <c r="X397">
        <v>1.4225</v>
      </c>
      <c r="Y397">
        <v>-0.603321</v>
      </c>
      <c r="Z397">
        <v>0.9818181818181819</v>
      </c>
      <c r="AA397">
        <v>0.04186795491143317</v>
      </c>
      <c r="AB397">
        <v>0.0112540192926045</v>
      </c>
      <c r="AC397">
        <v>0.8360128617363344</v>
      </c>
      <c r="AD397">
        <v>0.802250803858521</v>
      </c>
    </row>
    <row r="398" spans="1:30">
      <c r="A398" s="1" t="s">
        <v>405</v>
      </c>
      <c r="B398">
        <f>HYPERLINK("https://www.suredividend.com/sure-analysis-PSEC/","Prospect Capital Corp.")</f>
        <v>0</v>
      </c>
      <c r="C398">
        <v>4.91</v>
      </c>
      <c r="D398">
        <v>1820.74584</v>
      </c>
      <c r="E398" t="s">
        <v>663</v>
      </c>
      <c r="F398" t="s">
        <v>634</v>
      </c>
      <c r="G398" t="s">
        <v>670</v>
      </c>
      <c r="H398" t="s">
        <v>701</v>
      </c>
      <c r="I398" t="s">
        <v>1097</v>
      </c>
      <c r="J398" t="s">
        <v>1311</v>
      </c>
      <c r="K398">
        <v>43963</v>
      </c>
      <c r="L398">
        <v>0.146639511201629</v>
      </c>
      <c r="M398">
        <v>-0.004521352549778479</v>
      </c>
      <c r="N398">
        <v>0</v>
      </c>
      <c r="O398">
        <v>0.1133701123375339</v>
      </c>
      <c r="P398" t="s">
        <v>300</v>
      </c>
      <c r="Q398" t="s">
        <v>636</v>
      </c>
      <c r="R398">
        <v>0</v>
      </c>
      <c r="S398">
        <v>1.058823529411764</v>
      </c>
      <c r="T398">
        <v>4.8</v>
      </c>
      <c r="U398">
        <v>1.022916666666667</v>
      </c>
      <c r="V398">
        <v>-0.3804</v>
      </c>
      <c r="W398">
        <v>0.68</v>
      </c>
      <c r="X398">
        <v>0.72</v>
      </c>
      <c r="Y398">
        <v>-0.261654</v>
      </c>
      <c r="Z398">
        <v>0.9371900826446281</v>
      </c>
      <c r="AA398">
        <v>0.320450885668277</v>
      </c>
      <c r="AB398">
        <v>0.04180064308681672</v>
      </c>
      <c r="AC398">
        <v>0.5852090032154341</v>
      </c>
      <c r="AD398">
        <v>0.797427652733119</v>
      </c>
    </row>
    <row r="399" spans="1:30">
      <c r="A399" s="1" t="s">
        <v>406</v>
      </c>
      <c r="B399">
        <f>HYPERLINK("https://www.suredividend.com/sure-analysis-AXS/","AXIS Capital Holdings Ltd.")</f>
        <v>0</v>
      </c>
      <c r="C399">
        <v>40.84</v>
      </c>
      <c r="D399">
        <v>3442.905932</v>
      </c>
      <c r="E399" t="s">
        <v>663</v>
      </c>
      <c r="F399" t="s">
        <v>631</v>
      </c>
      <c r="G399" t="s">
        <v>679</v>
      </c>
      <c r="H399" t="s">
        <v>699</v>
      </c>
      <c r="I399" t="s">
        <v>1098</v>
      </c>
      <c r="J399" t="s">
        <v>1311</v>
      </c>
      <c r="K399">
        <v>43956</v>
      </c>
      <c r="L399">
        <v>0.039666993143976</v>
      </c>
      <c r="M399">
        <v>0.0284955687911872</v>
      </c>
      <c r="N399">
        <v>0.05</v>
      </c>
      <c r="O399">
        <v>0.1121653430354612</v>
      </c>
      <c r="P399" t="s">
        <v>300</v>
      </c>
      <c r="Q399" t="s">
        <v>300</v>
      </c>
      <c r="R399">
        <v>18</v>
      </c>
      <c r="S399">
        <v>1.2</v>
      </c>
      <c r="T399">
        <v>47</v>
      </c>
      <c r="U399">
        <v>0.868936170212766</v>
      </c>
      <c r="V399">
        <v>-0.0097</v>
      </c>
      <c r="W399">
        <v>1.35</v>
      </c>
      <c r="X399">
        <v>1.62</v>
      </c>
      <c r="Y399">
        <v>-0.318652</v>
      </c>
      <c r="Z399">
        <v>0.5371900826446281</v>
      </c>
      <c r="AA399">
        <v>0.2640901771336554</v>
      </c>
      <c r="AB399">
        <v>0.5160771704180064</v>
      </c>
      <c r="AC399">
        <v>0.7620578778135048</v>
      </c>
      <c r="AD399">
        <v>0.787781350482315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30.88</v>
      </c>
      <c r="D400">
        <v>7006.73376</v>
      </c>
      <c r="E400" t="s">
        <v>663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43960</v>
      </c>
      <c r="L400">
        <v>0.08646373056994801</v>
      </c>
      <c r="M400">
        <v>0.0253642007312771</v>
      </c>
      <c r="N400">
        <v>0.02</v>
      </c>
      <c r="O400">
        <v>0.1118089361807781</v>
      </c>
      <c r="P400" t="s">
        <v>300</v>
      </c>
      <c r="Q400" t="s">
        <v>636</v>
      </c>
      <c r="R400">
        <v>17</v>
      </c>
      <c r="S400">
        <v>0.9206896551724137</v>
      </c>
      <c r="T400">
        <v>35</v>
      </c>
      <c r="U400">
        <v>0.8822857142857142</v>
      </c>
      <c r="V400">
        <v>1.6494</v>
      </c>
      <c r="W400">
        <v>2.9</v>
      </c>
      <c r="X400">
        <v>2.67</v>
      </c>
      <c r="Y400">
        <v>-0.173448</v>
      </c>
      <c r="Z400">
        <v>0.8396694214876033</v>
      </c>
      <c r="AA400">
        <v>0.4412238325281803</v>
      </c>
      <c r="AB400">
        <v>0.157556270096463</v>
      </c>
      <c r="AC400">
        <v>0.7491961414790996</v>
      </c>
      <c r="AD400">
        <v>0.7845659163987138</v>
      </c>
    </row>
    <row r="401" spans="1:30">
      <c r="A401" s="1" t="s">
        <v>408</v>
      </c>
      <c r="B401">
        <f>HYPERLINK("https://www.suredividend.com/sure-analysis-USB/","U.S. Bancorp")</f>
        <v>0</v>
      </c>
      <c r="C401">
        <v>36.03</v>
      </c>
      <c r="D401">
        <v>54271.6287</v>
      </c>
      <c r="E401" t="s">
        <v>663</v>
      </c>
      <c r="F401" t="s">
        <v>631</v>
      </c>
      <c r="G401" t="s">
        <v>670</v>
      </c>
      <c r="H401" t="s">
        <v>699</v>
      </c>
      <c r="I401" t="s">
        <v>1100</v>
      </c>
      <c r="J401" t="s">
        <v>1311</v>
      </c>
      <c r="K401">
        <v>44028</v>
      </c>
      <c r="L401">
        <v>0.04662781015820101</v>
      </c>
      <c r="M401">
        <v>0.02112555670819982</v>
      </c>
      <c r="N401">
        <v>0.05</v>
      </c>
      <c r="O401">
        <v>0.1113937016459501</v>
      </c>
      <c r="P401" t="s">
        <v>300</v>
      </c>
      <c r="Q401" t="s">
        <v>383</v>
      </c>
      <c r="R401">
        <v>10</v>
      </c>
      <c r="S401">
        <v>0.7000000000000001</v>
      </c>
      <c r="T401">
        <v>40</v>
      </c>
      <c r="U401">
        <v>0.9007500000000001</v>
      </c>
      <c r="V401">
        <v>3.1855</v>
      </c>
      <c r="W401">
        <v>2.4</v>
      </c>
      <c r="X401">
        <v>1.68</v>
      </c>
      <c r="Y401">
        <v>-0.347164</v>
      </c>
      <c r="Z401">
        <v>0.6165289256198347</v>
      </c>
      <c r="AA401">
        <v>0.2334943639291465</v>
      </c>
      <c r="AB401">
        <v>0.5160771704180064</v>
      </c>
      <c r="AC401">
        <v>0.7266881028938907</v>
      </c>
      <c r="AD401">
        <v>0.7781350482315113</v>
      </c>
    </row>
    <row r="402" spans="1:30">
      <c r="A402" s="1" t="s">
        <v>409</v>
      </c>
      <c r="B402">
        <f>HYPERLINK("https://www.suredividend.com/sure-analysis-GLAD/","Gladstone Capital Corp.")</f>
        <v>0</v>
      </c>
      <c r="C402">
        <v>7.36</v>
      </c>
      <c r="D402">
        <v>229.577536</v>
      </c>
      <c r="E402" t="s">
        <v>663</v>
      </c>
      <c r="F402" t="s">
        <v>631</v>
      </c>
      <c r="G402" t="s">
        <v>670</v>
      </c>
      <c r="H402" t="s">
        <v>701</v>
      </c>
      <c r="I402" t="s">
        <v>1101</v>
      </c>
      <c r="J402" t="s">
        <v>1311</v>
      </c>
      <c r="K402">
        <v>43960</v>
      </c>
      <c r="L402">
        <v>0.112092391304347</v>
      </c>
      <c r="M402">
        <v>0.01681614782195462</v>
      </c>
      <c r="N402">
        <v>0.01</v>
      </c>
      <c r="O402">
        <v>0.108313190644387</v>
      </c>
      <c r="P402" t="s">
        <v>300</v>
      </c>
      <c r="Q402" t="s">
        <v>636</v>
      </c>
      <c r="R402">
        <v>0</v>
      </c>
      <c r="S402">
        <v>1.03125</v>
      </c>
      <c r="T402">
        <v>8</v>
      </c>
      <c r="U402">
        <v>0.92</v>
      </c>
      <c r="V402">
        <v>-0.391</v>
      </c>
      <c r="W402">
        <v>0.8</v>
      </c>
      <c r="X402">
        <v>0.8250000000000001</v>
      </c>
      <c r="Y402">
        <v>-0.226078</v>
      </c>
      <c r="Z402">
        <v>0.8958677685950412</v>
      </c>
      <c r="AA402">
        <v>0.3719806763285024</v>
      </c>
      <c r="AB402">
        <v>0.0819935691318328</v>
      </c>
      <c r="AC402">
        <v>0.6985530546623794</v>
      </c>
      <c r="AD402">
        <v>0.7636655948553055</v>
      </c>
    </row>
    <row r="403" spans="1:30">
      <c r="A403" s="1" t="s">
        <v>410</v>
      </c>
      <c r="B403">
        <f>HYPERLINK("https://www.suredividend.com/sure-analysis-LTC/","LTC Properties, Inc.")</f>
        <v>0</v>
      </c>
      <c r="C403">
        <v>37.99</v>
      </c>
      <c r="D403">
        <v>1489.884222</v>
      </c>
      <c r="E403" t="s">
        <v>662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43973</v>
      </c>
      <c r="L403">
        <v>0.060015793629902</v>
      </c>
      <c r="M403">
        <v>0.02980898474950866</v>
      </c>
      <c r="N403">
        <v>0.03</v>
      </c>
      <c r="O403">
        <v>0.1056316808409101</v>
      </c>
      <c r="P403" t="s">
        <v>300</v>
      </c>
      <c r="Q403" t="s">
        <v>383</v>
      </c>
      <c r="R403">
        <v>0</v>
      </c>
      <c r="S403">
        <v>0.7862068965517243</v>
      </c>
      <c r="T403">
        <v>44</v>
      </c>
      <c r="U403">
        <v>0.8634090909090909</v>
      </c>
      <c r="V403">
        <v>3.1155</v>
      </c>
      <c r="W403">
        <v>2.9</v>
      </c>
      <c r="X403">
        <v>2.28</v>
      </c>
      <c r="Y403">
        <v>-0.198861</v>
      </c>
      <c r="Z403">
        <v>0.7190082644628099</v>
      </c>
      <c r="AA403">
        <v>0.4090177133655394</v>
      </c>
      <c r="AB403">
        <v>0.247588424437299</v>
      </c>
      <c r="AC403">
        <v>0.7717041800643086</v>
      </c>
      <c r="AD403">
        <v>0.7540192926045016</v>
      </c>
    </row>
    <row r="404" spans="1:30">
      <c r="A404" s="1" t="s">
        <v>411</v>
      </c>
      <c r="B404">
        <f>HYPERLINK("https://www.suredividend.com/sure-analysis-JPM/","JPMorgan Chase &amp; Co.")</f>
        <v>0</v>
      </c>
      <c r="C404">
        <v>98.16</v>
      </c>
      <c r="D404">
        <v>299095.4832</v>
      </c>
      <c r="E404" t="s">
        <v>663</v>
      </c>
      <c r="F404" t="s">
        <v>631</v>
      </c>
      <c r="G404" t="s">
        <v>670</v>
      </c>
      <c r="H404" t="s">
        <v>699</v>
      </c>
      <c r="I404" t="s">
        <v>1103</v>
      </c>
      <c r="J404" t="s">
        <v>1311</v>
      </c>
      <c r="K404">
        <v>44027</v>
      </c>
      <c r="L404">
        <v>0.03667481662591601</v>
      </c>
      <c r="M404">
        <v>0.01356347043944539</v>
      </c>
      <c r="N404">
        <v>0.06</v>
      </c>
      <c r="O404">
        <v>0.105434382785538</v>
      </c>
      <c r="P404" t="s">
        <v>300</v>
      </c>
      <c r="Q404" t="s">
        <v>300</v>
      </c>
      <c r="R404">
        <v>10</v>
      </c>
      <c r="S404">
        <v>0.6</v>
      </c>
      <c r="T404">
        <v>105</v>
      </c>
      <c r="U404">
        <v>0.9348571428571428</v>
      </c>
      <c r="V404">
        <v>7.4385</v>
      </c>
      <c r="W404">
        <v>6</v>
      </c>
      <c r="X404">
        <v>3.6</v>
      </c>
      <c r="Y404">
        <v>-0.143978</v>
      </c>
      <c r="Z404">
        <v>0.509090909090909</v>
      </c>
      <c r="AA404">
        <v>0.4814814814814815</v>
      </c>
      <c r="AB404">
        <v>0.6463022508038585</v>
      </c>
      <c r="AC404">
        <v>0.6784565916398714</v>
      </c>
      <c r="AD404">
        <v>0.752411575562701</v>
      </c>
    </row>
    <row r="405" spans="1:30">
      <c r="A405" s="1" t="s">
        <v>412</v>
      </c>
      <c r="B405">
        <f>HYPERLINK("https://www.suredividend.com/sure-analysis-TRGP/","Targa Resources Corp.")</f>
        <v>0</v>
      </c>
      <c r="C405">
        <v>18.56</v>
      </c>
      <c r="D405">
        <v>4326.63296</v>
      </c>
      <c r="E405" t="s">
        <v>662</v>
      </c>
      <c r="F405" t="s">
        <v>631</v>
      </c>
      <c r="G405" t="s">
        <v>670</v>
      </c>
      <c r="H405" t="s">
        <v>699</v>
      </c>
      <c r="I405" t="s">
        <v>1104</v>
      </c>
      <c r="J405" t="s">
        <v>1316</v>
      </c>
      <c r="K405">
        <v>43969</v>
      </c>
      <c r="L405">
        <v>0.152478448275862</v>
      </c>
      <c r="M405">
        <v>0.0527534030599619</v>
      </c>
      <c r="N405">
        <v>0.03</v>
      </c>
      <c r="O405">
        <v>0.1044285424467346</v>
      </c>
      <c r="P405" t="s">
        <v>300</v>
      </c>
      <c r="Q405" t="s">
        <v>636</v>
      </c>
      <c r="R405">
        <v>0</v>
      </c>
      <c r="S405">
        <v>0.7075</v>
      </c>
      <c r="T405">
        <v>24</v>
      </c>
      <c r="U405">
        <v>0.7733333333333333</v>
      </c>
      <c r="V405">
        <v>-8.730499999999999</v>
      </c>
      <c r="W405">
        <v>4</v>
      </c>
      <c r="X405">
        <v>2.83</v>
      </c>
      <c r="Y405">
        <v>-0.5260469999999999</v>
      </c>
      <c r="Z405">
        <v>0.9388429752066116</v>
      </c>
      <c r="AA405">
        <v>0.06441223832528181</v>
      </c>
      <c r="AB405">
        <v>0.247588424437299</v>
      </c>
      <c r="AC405">
        <v>0.8681672025723473</v>
      </c>
      <c r="AD405">
        <v>0.747588424437299</v>
      </c>
    </row>
    <row r="406" spans="1:30">
      <c r="A406" s="1" t="s">
        <v>413</v>
      </c>
      <c r="B406">
        <f>HYPERLINK("https://www.suredividend.com/sure-analysis-TCP/","TC Pipelines LP")</f>
        <v>0</v>
      </c>
      <c r="C406">
        <v>30.29</v>
      </c>
      <c r="D406">
        <v>2217.421856</v>
      </c>
      <c r="E406" t="s">
        <v>662</v>
      </c>
      <c r="F406" t="s">
        <v>632</v>
      </c>
      <c r="G406" t="s">
        <v>670</v>
      </c>
      <c r="H406" t="s">
        <v>699</v>
      </c>
      <c r="I406" t="s">
        <v>1105</v>
      </c>
      <c r="J406" t="s">
        <v>1316</v>
      </c>
      <c r="K406">
        <v>43972</v>
      </c>
      <c r="L406">
        <v>0.08583690987124401</v>
      </c>
      <c r="M406">
        <v>0.004644669080813291</v>
      </c>
      <c r="N406">
        <v>0.03</v>
      </c>
      <c r="O406">
        <v>0.1033582865308689</v>
      </c>
      <c r="P406" t="s">
        <v>300</v>
      </c>
      <c r="Q406" t="s">
        <v>636</v>
      </c>
      <c r="R406">
        <v>0</v>
      </c>
      <c r="S406">
        <v>0.5909090909090908</v>
      </c>
      <c r="T406">
        <v>31</v>
      </c>
      <c r="U406">
        <v>0.9770967741935483</v>
      </c>
      <c r="V406">
        <v>3.6746</v>
      </c>
      <c r="W406">
        <v>4.4</v>
      </c>
      <c r="X406">
        <v>2.6</v>
      </c>
      <c r="Y406">
        <v>-0.232582</v>
      </c>
      <c r="Z406">
        <v>0.8363636363636364</v>
      </c>
      <c r="AA406">
        <v>0.3623188405797101</v>
      </c>
      <c r="AB406">
        <v>0.247588424437299</v>
      </c>
      <c r="AC406">
        <v>0.6254019292604501</v>
      </c>
      <c r="AD406">
        <v>0.7411575562700965</v>
      </c>
    </row>
    <row r="407" spans="1:30">
      <c r="A407" s="1" t="s">
        <v>414</v>
      </c>
      <c r="B407">
        <f>HYPERLINK("https://www.suredividend.com/sure-analysis-FE/","FirstEnergy Corp.")</f>
        <v>0</v>
      </c>
      <c r="C407">
        <v>42.14</v>
      </c>
      <c r="D407">
        <v>22829.51356</v>
      </c>
      <c r="E407" t="s">
        <v>665</v>
      </c>
      <c r="F407" t="s">
        <v>631</v>
      </c>
      <c r="G407" t="s">
        <v>670</v>
      </c>
      <c r="H407" t="s">
        <v>699</v>
      </c>
      <c r="I407" t="s">
        <v>1106</v>
      </c>
      <c r="J407" t="s">
        <v>1315</v>
      </c>
      <c r="K407">
        <v>44005</v>
      </c>
      <c r="L407">
        <v>0.036307546274323</v>
      </c>
      <c r="M407">
        <v>0.03479684187871057</v>
      </c>
      <c r="N407">
        <v>0.04</v>
      </c>
      <c r="O407">
        <v>0.1032360079332846</v>
      </c>
      <c r="P407" t="s">
        <v>300</v>
      </c>
      <c r="Q407" t="s">
        <v>300</v>
      </c>
      <c r="R407">
        <v>3</v>
      </c>
      <c r="S407">
        <v>0.612</v>
      </c>
      <c r="T407">
        <v>50</v>
      </c>
      <c r="U407">
        <v>0.8428</v>
      </c>
      <c r="V407">
        <v>0.997</v>
      </c>
      <c r="W407">
        <v>2.5</v>
      </c>
      <c r="X407">
        <v>1.53</v>
      </c>
      <c r="Y407">
        <v>-0.042925</v>
      </c>
      <c r="Z407">
        <v>0.5041322314049587</v>
      </c>
      <c r="AA407">
        <v>0.639291465378422</v>
      </c>
      <c r="AB407">
        <v>0.3794212218649518</v>
      </c>
      <c r="AC407">
        <v>0.7958199356913184</v>
      </c>
      <c r="AD407">
        <v>0.7395498392282959</v>
      </c>
    </row>
    <row r="408" spans="1:30">
      <c r="A408" s="1" t="s">
        <v>415</v>
      </c>
      <c r="B408">
        <f>HYPERLINK("https://www.suredividend.com/sure-analysis-SBRA/","Sabra Health Care REIT, Inc.")</f>
        <v>0</v>
      </c>
      <c r="C408">
        <v>14.19</v>
      </c>
      <c r="D408">
        <v>2916.88221</v>
      </c>
      <c r="E408" t="s">
        <v>669</v>
      </c>
      <c r="F408" t="s">
        <v>633</v>
      </c>
      <c r="G408" t="s">
        <v>670</v>
      </c>
      <c r="H408" t="s">
        <v>701</v>
      </c>
      <c r="I408" t="s">
        <v>1107</v>
      </c>
      <c r="J408" t="s">
        <v>1321</v>
      </c>
      <c r="K408">
        <v>43972</v>
      </c>
      <c r="L408">
        <v>0.126849894291754</v>
      </c>
      <c r="M408">
        <v>-0.002692401280085521</v>
      </c>
      <c r="N408">
        <v>0.031</v>
      </c>
      <c r="O408">
        <v>0.101972534194972</v>
      </c>
      <c r="P408" t="s">
        <v>300</v>
      </c>
      <c r="Q408" t="s">
        <v>636</v>
      </c>
      <c r="R408">
        <v>0</v>
      </c>
      <c r="S408">
        <v>1.2</v>
      </c>
      <c r="T408">
        <v>14</v>
      </c>
      <c r="U408">
        <v>1.013571428571429</v>
      </c>
      <c r="V408">
        <v>0.9553</v>
      </c>
      <c r="W408">
        <v>1.5</v>
      </c>
      <c r="X408">
        <v>1.8</v>
      </c>
      <c r="Y408">
        <v>-0.314824</v>
      </c>
      <c r="Z408">
        <v>0.9074380165289255</v>
      </c>
      <c r="AA408">
        <v>0.2705314009661836</v>
      </c>
      <c r="AB408">
        <v>0.2934083601286174</v>
      </c>
      <c r="AC408">
        <v>0.5964630225080385</v>
      </c>
      <c r="AD408">
        <v>0.7331189710610932</v>
      </c>
    </row>
    <row r="409" spans="1:30">
      <c r="A409" s="1" t="s">
        <v>416</v>
      </c>
      <c r="B409">
        <f>HYPERLINK("https://www.suredividend.com/sure-analysis-ABR/","Arbor Realty Trust, Inc.")</f>
        <v>0</v>
      </c>
      <c r="C409">
        <v>8.640000000000001</v>
      </c>
      <c r="D409">
        <v>952.56864</v>
      </c>
      <c r="E409" t="s">
        <v>669</v>
      </c>
      <c r="F409" t="s">
        <v>633</v>
      </c>
      <c r="G409" t="s">
        <v>670</v>
      </c>
      <c r="H409" t="s">
        <v>699</v>
      </c>
      <c r="I409" t="s">
        <v>1108</v>
      </c>
      <c r="J409" t="s">
        <v>1321</v>
      </c>
      <c r="K409">
        <v>43998</v>
      </c>
      <c r="L409">
        <v>0.135416666666666</v>
      </c>
      <c r="M409">
        <v>-0.09483216663352068</v>
      </c>
      <c r="N409">
        <v>0.095</v>
      </c>
      <c r="O409">
        <v>0.1015756908932399</v>
      </c>
      <c r="P409" t="s">
        <v>300</v>
      </c>
      <c r="Q409" t="s">
        <v>636</v>
      </c>
      <c r="R409">
        <v>7</v>
      </c>
      <c r="S409">
        <v>1.017391304347826</v>
      </c>
      <c r="T409">
        <v>5.25</v>
      </c>
      <c r="U409">
        <v>1.645714285714286</v>
      </c>
      <c r="V409">
        <v>0.4954</v>
      </c>
      <c r="W409">
        <v>1.15</v>
      </c>
      <c r="X409">
        <v>1.17</v>
      </c>
      <c r="Y409">
        <v>-0.287716</v>
      </c>
      <c r="Z409">
        <v>0.9190082644628099</v>
      </c>
      <c r="AA409">
        <v>0.2995169082125604</v>
      </c>
      <c r="AB409">
        <v>0.8818327974276527</v>
      </c>
      <c r="AC409">
        <v>0.1028938906752412</v>
      </c>
      <c r="AD409">
        <v>0.7266881028938907</v>
      </c>
    </row>
    <row r="410" spans="1:30">
      <c r="A410" s="1" t="s">
        <v>417</v>
      </c>
      <c r="B410">
        <f>HYPERLINK("https://www.suredividend.com/sure-analysis-TPR/","Tapestry, Inc.")</f>
        <v>0</v>
      </c>
      <c r="C410">
        <v>13.66</v>
      </c>
      <c r="D410">
        <v>3771.49868</v>
      </c>
      <c r="E410" t="s">
        <v>667</v>
      </c>
      <c r="F410" t="s">
        <v>631</v>
      </c>
      <c r="G410" t="s">
        <v>670</v>
      </c>
      <c r="H410" t="s">
        <v>699</v>
      </c>
      <c r="I410" t="s">
        <v>1109</v>
      </c>
      <c r="J410" t="s">
        <v>1312</v>
      </c>
      <c r="K410">
        <v>43993</v>
      </c>
      <c r="L410">
        <v>0.098828696925329</v>
      </c>
      <c r="M410">
        <v>0.03212870519500255</v>
      </c>
      <c r="N410">
        <v>0.05</v>
      </c>
      <c r="O410">
        <v>0.1012067571683597</v>
      </c>
      <c r="P410" t="s">
        <v>300</v>
      </c>
      <c r="Q410" t="s">
        <v>636</v>
      </c>
      <c r="R410">
        <v>0</v>
      </c>
      <c r="S410">
        <v>0.8709677419354839</v>
      </c>
      <c r="T410">
        <v>16</v>
      </c>
      <c r="U410">
        <v>0.85375</v>
      </c>
      <c r="V410">
        <v>-0.7844</v>
      </c>
      <c r="W410">
        <v>1.55</v>
      </c>
      <c r="X410">
        <v>1.35</v>
      </c>
      <c r="Y410">
        <v>-0.550658</v>
      </c>
      <c r="Z410">
        <v>0.8677685950413223</v>
      </c>
      <c r="AA410">
        <v>0.05958132045088567</v>
      </c>
      <c r="AB410">
        <v>0.5160771704180064</v>
      </c>
      <c r="AC410">
        <v>0.7749196141479099</v>
      </c>
      <c r="AD410">
        <v>0.7218649517684887</v>
      </c>
    </row>
    <row r="411" spans="1:30">
      <c r="A411" s="1" t="s">
        <v>418</v>
      </c>
      <c r="B411">
        <f>HYPERLINK("https://www.suredividend.com/sure-analysis-UBS/","UBS Group AG")</f>
        <v>0</v>
      </c>
      <c r="C411">
        <v>12.07</v>
      </c>
      <c r="D411">
        <v>43260.03248</v>
      </c>
      <c r="E411" t="s">
        <v>662</v>
      </c>
      <c r="F411" t="s">
        <v>631</v>
      </c>
      <c r="G411" t="s">
        <v>674</v>
      </c>
      <c r="H411" t="s">
        <v>699</v>
      </c>
      <c r="I411" t="s">
        <v>1110</v>
      </c>
      <c r="J411" t="s">
        <v>1311</v>
      </c>
      <c r="K411">
        <v>43976</v>
      </c>
      <c r="L411">
        <v>0.04482187241093601</v>
      </c>
      <c r="M411">
        <v>0.04442389129477098</v>
      </c>
      <c r="N411">
        <v>0.01</v>
      </c>
      <c r="O411">
        <v>0.1010780483754712</v>
      </c>
      <c r="P411" t="s">
        <v>300</v>
      </c>
      <c r="Q411" t="s">
        <v>383</v>
      </c>
      <c r="R411">
        <v>3</v>
      </c>
      <c r="S411">
        <v>0.4918181818181818</v>
      </c>
      <c r="T411">
        <v>15</v>
      </c>
      <c r="U411">
        <v>0.8046666666666666</v>
      </c>
      <c r="V411">
        <v>1.3084</v>
      </c>
      <c r="W411">
        <v>1.1</v>
      </c>
      <c r="X411">
        <v>0.541</v>
      </c>
      <c r="Y411">
        <v>-0.004946</v>
      </c>
      <c r="Z411">
        <v>0.6</v>
      </c>
      <c r="AA411">
        <v>0.6747181964573269</v>
      </c>
      <c r="AB411">
        <v>0.0819935691318328</v>
      </c>
      <c r="AC411">
        <v>0.8392282958199356</v>
      </c>
      <c r="AD411">
        <v>0.7202572347266881</v>
      </c>
    </row>
    <row r="412" spans="1:30">
      <c r="A412" s="1" t="s">
        <v>419</v>
      </c>
      <c r="B412">
        <f>HYPERLINK("https://www.suredividend.com/sure-analysis-DDAIF/","Daimler AG")</f>
        <v>0</v>
      </c>
      <c r="C412">
        <v>45</v>
      </c>
      <c r="D412">
        <v>48142.8</v>
      </c>
      <c r="E412" t="s">
        <v>660</v>
      </c>
      <c r="F412" t="s">
        <v>631</v>
      </c>
      <c r="G412" t="s">
        <v>677</v>
      </c>
      <c r="H412" t="s">
        <v>700</v>
      </c>
      <c r="I412" t="s">
        <v>1111</v>
      </c>
      <c r="J412" t="s">
        <v>1312</v>
      </c>
      <c r="K412">
        <v>43959</v>
      </c>
      <c r="L412">
        <v>0.02</v>
      </c>
      <c r="M412">
        <v>0.03326726610994291</v>
      </c>
      <c r="N412">
        <v>0.05</v>
      </c>
      <c r="O412">
        <v>0.1003639503962064</v>
      </c>
      <c r="P412" t="s">
        <v>300</v>
      </c>
      <c r="Q412" t="s">
        <v>558</v>
      </c>
      <c r="R412">
        <v>0</v>
      </c>
      <c r="S412">
        <v>0.9</v>
      </c>
      <c r="T412">
        <v>53</v>
      </c>
      <c r="U412">
        <v>0.8490566037735849</v>
      </c>
      <c r="V412">
        <v>0.3756</v>
      </c>
      <c r="W412">
        <v>1</v>
      </c>
      <c r="X412">
        <v>0.9</v>
      </c>
      <c r="Y412">
        <v>-0.121951</v>
      </c>
      <c r="Z412">
        <v>0.2388429752066116</v>
      </c>
      <c r="AA412">
        <v>0.5104669887278583</v>
      </c>
      <c r="AB412">
        <v>0.5160771704180064</v>
      </c>
      <c r="AC412">
        <v>0.7845659163987138</v>
      </c>
      <c r="AD412">
        <v>0.7154340836012862</v>
      </c>
    </row>
    <row r="413" spans="1:30">
      <c r="A413" s="1" t="s">
        <v>420</v>
      </c>
      <c r="B413">
        <f>HYPERLINK("https://www.suredividend.com/sure-analysis-NYCB/","New York Community Bancorp, Inc.")</f>
        <v>0</v>
      </c>
      <c r="C413">
        <v>10.07</v>
      </c>
      <c r="D413">
        <v>4671.84559</v>
      </c>
      <c r="E413" t="s">
        <v>663</v>
      </c>
      <c r="F413" t="s">
        <v>631</v>
      </c>
      <c r="G413" t="s">
        <v>670</v>
      </c>
      <c r="H413" t="s">
        <v>699</v>
      </c>
      <c r="I413" t="s">
        <v>1112</v>
      </c>
      <c r="J413" t="s">
        <v>1311</v>
      </c>
      <c r="K413">
        <v>43953</v>
      </c>
      <c r="L413">
        <v>0.067527308838133</v>
      </c>
      <c r="M413">
        <v>-0.001394150015957552</v>
      </c>
      <c r="N413">
        <v>0.05</v>
      </c>
      <c r="O413">
        <v>0.09925262061772777</v>
      </c>
      <c r="P413" t="s">
        <v>300</v>
      </c>
      <c r="Q413" t="s">
        <v>383</v>
      </c>
      <c r="R413">
        <v>0</v>
      </c>
      <c r="S413">
        <v>0.8</v>
      </c>
      <c r="T413">
        <v>10</v>
      </c>
      <c r="U413">
        <v>1.007</v>
      </c>
      <c r="V413">
        <v>0.775</v>
      </c>
      <c r="W413">
        <v>0.85</v>
      </c>
      <c r="X413">
        <v>0.68</v>
      </c>
      <c r="Y413">
        <v>-0.048204</v>
      </c>
      <c r="Z413">
        <v>0.7785123966942149</v>
      </c>
      <c r="AA413">
        <v>0.6280193236714976</v>
      </c>
      <c r="AB413">
        <v>0.5160771704180064</v>
      </c>
      <c r="AC413">
        <v>0.6012861736334405</v>
      </c>
      <c r="AD413">
        <v>0.7106109324758844</v>
      </c>
    </row>
    <row r="414" spans="1:30">
      <c r="A414" s="1" t="s">
        <v>421</v>
      </c>
      <c r="B414">
        <f>HYPERLINK("https://www.suredividend.com/sure-analysis-HTGC/","Hercules Capital, Inc.")</f>
        <v>0</v>
      </c>
      <c r="C414">
        <v>10.73</v>
      </c>
      <c r="D414">
        <v>1225.67717</v>
      </c>
      <c r="E414" t="s">
        <v>669</v>
      </c>
      <c r="F414" t="s">
        <v>633</v>
      </c>
      <c r="G414" t="s">
        <v>670</v>
      </c>
      <c r="H414" t="s">
        <v>699</v>
      </c>
      <c r="I414" t="s">
        <v>1113</v>
      </c>
      <c r="J414" t="s">
        <v>1311</v>
      </c>
      <c r="K414">
        <v>44015</v>
      </c>
      <c r="L414">
        <v>0.119291705498602</v>
      </c>
      <c r="M414">
        <v>0.004982715877343225</v>
      </c>
      <c r="N414">
        <v>0</v>
      </c>
      <c r="O414">
        <v>0.09843170246751254</v>
      </c>
      <c r="P414" t="s">
        <v>300</v>
      </c>
      <c r="Q414" t="s">
        <v>636</v>
      </c>
      <c r="R414">
        <v>2</v>
      </c>
      <c r="S414">
        <v>0.9552238805970149</v>
      </c>
      <c r="T414">
        <v>11</v>
      </c>
      <c r="U414">
        <v>0.9754545454545455</v>
      </c>
      <c r="V414">
        <v>0.8278000000000001</v>
      </c>
      <c r="W414">
        <v>1.34</v>
      </c>
      <c r="X414">
        <v>1.28</v>
      </c>
      <c r="Y414">
        <v>-0.173344</v>
      </c>
      <c r="Z414">
        <v>0.9024793388429753</v>
      </c>
      <c r="AA414">
        <v>0.4428341384863124</v>
      </c>
      <c r="AB414">
        <v>0.04180064308681672</v>
      </c>
      <c r="AC414">
        <v>0.6302250803858521</v>
      </c>
      <c r="AD414">
        <v>0.7073954983922829</v>
      </c>
    </row>
    <row r="415" spans="1:30">
      <c r="A415" s="1" t="s">
        <v>422</v>
      </c>
      <c r="B415">
        <f>HYPERLINK("https://www.suredividend.com/sure-analysis-BXP/","Boston Properties, Inc.")</f>
        <v>0</v>
      </c>
      <c r="C415">
        <v>93.06999999999999</v>
      </c>
      <c r="D415">
        <v>14460.19283</v>
      </c>
      <c r="E415" t="s">
        <v>669</v>
      </c>
      <c r="F415" t="s">
        <v>633</v>
      </c>
      <c r="G415" t="s">
        <v>670</v>
      </c>
      <c r="H415" t="s">
        <v>699</v>
      </c>
      <c r="I415" t="s">
        <v>1114</v>
      </c>
      <c r="J415" t="s">
        <v>1321</v>
      </c>
      <c r="K415">
        <v>43958</v>
      </c>
      <c r="L415">
        <v>0.041474159234984</v>
      </c>
      <c r="M415">
        <v>0.03772352387796785</v>
      </c>
      <c r="N415">
        <v>0.027</v>
      </c>
      <c r="O415">
        <v>0.09744111810479228</v>
      </c>
      <c r="P415" t="s">
        <v>300</v>
      </c>
      <c r="Q415" t="s">
        <v>383</v>
      </c>
      <c r="R415">
        <v>9</v>
      </c>
      <c r="S415">
        <v>0.5514285714285714</v>
      </c>
      <c r="T415">
        <v>112</v>
      </c>
      <c r="U415">
        <v>0.8309821428571428</v>
      </c>
      <c r="V415">
        <v>5.8734</v>
      </c>
      <c r="W415">
        <v>7</v>
      </c>
      <c r="X415">
        <v>3.86</v>
      </c>
      <c r="Y415">
        <v>-0.286164</v>
      </c>
      <c r="Z415">
        <v>0.5685950413223141</v>
      </c>
      <c r="AA415">
        <v>0.3027375201288245</v>
      </c>
      <c r="AB415">
        <v>0.1985530546623794</v>
      </c>
      <c r="AC415">
        <v>0.8118971061093248</v>
      </c>
      <c r="AD415">
        <v>0.697749196141479</v>
      </c>
    </row>
    <row r="416" spans="1:30">
      <c r="A416" s="1" t="s">
        <v>423</v>
      </c>
      <c r="B416">
        <f>HYPERLINK("https://www.suredividend.com/sure-analysis-MGA/","Magna International, Inc.")</f>
        <v>0</v>
      </c>
      <c r="C416">
        <v>47.67</v>
      </c>
      <c r="D416">
        <v>14249.75475</v>
      </c>
      <c r="E416" t="s">
        <v>668</v>
      </c>
      <c r="F416" t="s">
        <v>631</v>
      </c>
      <c r="G416" t="s">
        <v>671</v>
      </c>
      <c r="H416" t="s">
        <v>699</v>
      </c>
      <c r="I416" t="s">
        <v>1115</v>
      </c>
      <c r="J416" t="s">
        <v>1312</v>
      </c>
      <c r="K416">
        <v>44014</v>
      </c>
      <c r="L416">
        <v>0.031483496017776</v>
      </c>
      <c r="M416">
        <v>0.03273423726628266</v>
      </c>
      <c r="N416">
        <v>0.036</v>
      </c>
      <c r="O416">
        <v>0.09652460353510484</v>
      </c>
      <c r="P416" t="s">
        <v>300</v>
      </c>
      <c r="Q416" t="s">
        <v>300</v>
      </c>
      <c r="R416">
        <v>9</v>
      </c>
      <c r="S416">
        <v>0.707933139229901</v>
      </c>
      <c r="T416">
        <v>56</v>
      </c>
      <c r="U416">
        <v>0.8512500000000001</v>
      </c>
      <c r="V416">
        <v>2.9762</v>
      </c>
      <c r="W416">
        <v>2.12</v>
      </c>
      <c r="X416">
        <v>1.50081825516739</v>
      </c>
      <c r="Y416">
        <v>0.001681</v>
      </c>
      <c r="Z416">
        <v>0.4148760330578512</v>
      </c>
      <c r="AA416">
        <v>0.6876006441223832</v>
      </c>
      <c r="AB416">
        <v>0.317524115755627</v>
      </c>
      <c r="AC416">
        <v>0.7797427652733119</v>
      </c>
      <c r="AD416">
        <v>0.6929260450160771</v>
      </c>
    </row>
    <row r="417" spans="1:30">
      <c r="A417" s="1" t="s">
        <v>424</v>
      </c>
      <c r="B417">
        <f>HYPERLINK("https://www.suredividend.com/sure-analysis-STX/","Seagate Technology Plc")</f>
        <v>0</v>
      </c>
      <c r="C417">
        <v>48.27</v>
      </c>
      <c r="D417">
        <v>12387.28875</v>
      </c>
      <c r="E417" t="s">
        <v>660</v>
      </c>
      <c r="F417" t="s">
        <v>631</v>
      </c>
      <c r="G417" t="s">
        <v>675</v>
      </c>
      <c r="H417" t="s">
        <v>701</v>
      </c>
      <c r="I417" t="s">
        <v>1116</v>
      </c>
      <c r="J417" t="s">
        <v>1317</v>
      </c>
      <c r="K417">
        <v>43969</v>
      </c>
      <c r="L417">
        <v>0.05303501139424</v>
      </c>
      <c r="M417">
        <v>0.01106383308942305</v>
      </c>
      <c r="N417">
        <v>0.04</v>
      </c>
      <c r="O417">
        <v>0.09518462941938788</v>
      </c>
      <c r="P417" t="s">
        <v>300</v>
      </c>
      <c r="Q417" t="s">
        <v>383</v>
      </c>
      <c r="R417">
        <v>1</v>
      </c>
      <c r="S417">
        <v>0.5019607843137255</v>
      </c>
      <c r="T417">
        <v>51</v>
      </c>
      <c r="U417">
        <v>0.9464705882352942</v>
      </c>
      <c r="V417">
        <v>6.7662</v>
      </c>
      <c r="W417">
        <v>5.1</v>
      </c>
      <c r="X417">
        <v>2.56</v>
      </c>
      <c r="Y417">
        <v>0.018999</v>
      </c>
      <c r="Z417">
        <v>0.6727272727272726</v>
      </c>
      <c r="AA417">
        <v>0.7117552334943639</v>
      </c>
      <c r="AB417">
        <v>0.3794212218649518</v>
      </c>
      <c r="AC417">
        <v>0.6704180064308681</v>
      </c>
      <c r="AD417">
        <v>0.6864951768488745</v>
      </c>
    </row>
    <row r="418" spans="1:30">
      <c r="A418" s="1" t="s">
        <v>425</v>
      </c>
      <c r="B418">
        <f>HYPERLINK("https://www.suredividend.com/sure-analysis-TRP/","TC Energy Corp.")</f>
        <v>0</v>
      </c>
      <c r="C418">
        <v>44.56</v>
      </c>
      <c r="D418">
        <v>41886.4</v>
      </c>
      <c r="E418" t="s">
        <v>662</v>
      </c>
      <c r="F418" t="s">
        <v>631</v>
      </c>
      <c r="G418" t="s">
        <v>671</v>
      </c>
      <c r="H418" t="s">
        <v>699</v>
      </c>
      <c r="I418" t="s">
        <v>1117</v>
      </c>
      <c r="J418" t="s">
        <v>1316</v>
      </c>
      <c r="K418">
        <v>43977</v>
      </c>
      <c r="L418">
        <v>0.05159048530285201</v>
      </c>
      <c r="M418">
        <v>0.006381234045480966</v>
      </c>
      <c r="N418">
        <v>0.04</v>
      </c>
      <c r="O418">
        <v>0.09488445675150015</v>
      </c>
      <c r="P418" t="s">
        <v>300</v>
      </c>
      <c r="Q418" t="s">
        <v>383</v>
      </c>
      <c r="R418">
        <v>5</v>
      </c>
      <c r="S418">
        <v>0.7927144914121104</v>
      </c>
      <c r="T418">
        <v>46</v>
      </c>
      <c r="U418">
        <v>0.9686956521739131</v>
      </c>
      <c r="V418">
        <v>3.3123</v>
      </c>
      <c r="W418">
        <v>2.9</v>
      </c>
      <c r="X418">
        <v>2.29887202509512</v>
      </c>
      <c r="Y418">
        <v>-0.116399</v>
      </c>
      <c r="Z418">
        <v>0.6644628099173553</v>
      </c>
      <c r="AA418">
        <v>0.5217391304347826</v>
      </c>
      <c r="AB418">
        <v>0.3794212218649518</v>
      </c>
      <c r="AC418">
        <v>0.6430868167202572</v>
      </c>
      <c r="AD418">
        <v>0.6784565916398714</v>
      </c>
    </row>
    <row r="419" spans="1:30">
      <c r="A419" s="1" t="s">
        <v>426</v>
      </c>
      <c r="B419">
        <f>HYPERLINK("https://www.suredividend.com/sure-analysis-HAS/","Hasbro, Inc.")</f>
        <v>0</v>
      </c>
      <c r="C419">
        <v>77.48999999999999</v>
      </c>
      <c r="D419">
        <v>10616.98239</v>
      </c>
      <c r="E419" t="s">
        <v>663</v>
      </c>
      <c r="F419" t="s">
        <v>631</v>
      </c>
      <c r="G419" t="s">
        <v>670</v>
      </c>
      <c r="H419" t="s">
        <v>701</v>
      </c>
      <c r="I419" t="s">
        <v>1118</v>
      </c>
      <c r="J419" t="s">
        <v>1312</v>
      </c>
      <c r="K419">
        <v>43964</v>
      </c>
      <c r="L419">
        <v>0.035101303393986</v>
      </c>
      <c r="M419">
        <v>-0.01458908809266646</v>
      </c>
      <c r="N419">
        <v>0.08</v>
      </c>
      <c r="O419">
        <v>0.09337775379767166</v>
      </c>
      <c r="P419" t="s">
        <v>300</v>
      </c>
      <c r="Q419" t="s">
        <v>300</v>
      </c>
      <c r="R419">
        <v>17</v>
      </c>
      <c r="S419">
        <v>0.777142857142857</v>
      </c>
      <c r="T419">
        <v>72</v>
      </c>
      <c r="U419">
        <v>1.07625</v>
      </c>
      <c r="V419">
        <v>3.3</v>
      </c>
      <c r="W419">
        <v>3.5</v>
      </c>
      <c r="X419">
        <v>2.72</v>
      </c>
      <c r="Y419">
        <v>-0.291552</v>
      </c>
      <c r="Z419">
        <v>0.4793388429752066</v>
      </c>
      <c r="AA419">
        <v>0.2962962962962963</v>
      </c>
      <c r="AB419">
        <v>0.8127009646302251</v>
      </c>
      <c r="AC419">
        <v>0.522508038585209</v>
      </c>
      <c r="AD419">
        <v>0.6688102893890675</v>
      </c>
    </row>
    <row r="420" spans="1:30">
      <c r="A420" s="1" t="s">
        <v>427</v>
      </c>
      <c r="B420">
        <f>HYPERLINK("https://www.suredividend.com/sure-analysis-GSK/","GlaxoSmithKline Plc")</f>
        <v>0</v>
      </c>
      <c r="C420">
        <v>41.82</v>
      </c>
      <c r="D420">
        <v>104064.2607</v>
      </c>
      <c r="E420" t="s">
        <v>664</v>
      </c>
      <c r="F420" t="s">
        <v>631</v>
      </c>
      <c r="G420" t="s">
        <v>673</v>
      </c>
      <c r="H420" t="s">
        <v>699</v>
      </c>
      <c r="I420" t="s">
        <v>1119</v>
      </c>
      <c r="J420" t="s">
        <v>1314</v>
      </c>
      <c r="K420">
        <v>43951</v>
      </c>
      <c r="L420">
        <v>0.046978646580583</v>
      </c>
      <c r="M420">
        <v>0.01923601372373196</v>
      </c>
      <c r="N420">
        <v>0.03</v>
      </c>
      <c r="O420">
        <v>0.09041541930562502</v>
      </c>
      <c r="P420" t="s">
        <v>300</v>
      </c>
      <c r="Q420" t="s">
        <v>383</v>
      </c>
      <c r="R420">
        <v>0</v>
      </c>
      <c r="S420">
        <v>0.6420415032679738</v>
      </c>
      <c r="T420">
        <v>46</v>
      </c>
      <c r="U420">
        <v>0.9091304347826087</v>
      </c>
      <c r="V420">
        <v>2.3865</v>
      </c>
      <c r="W420">
        <v>3.06</v>
      </c>
      <c r="X420">
        <v>1.964647</v>
      </c>
      <c r="Y420">
        <v>0.009901</v>
      </c>
      <c r="Z420">
        <v>0.6231404958677687</v>
      </c>
      <c r="AA420">
        <v>0.6940418679549114</v>
      </c>
      <c r="AB420">
        <v>0.247588424437299</v>
      </c>
      <c r="AC420">
        <v>0.7154340836012862</v>
      </c>
      <c r="AD420">
        <v>0.6527331189710611</v>
      </c>
    </row>
    <row r="421" spans="1:30">
      <c r="A421" s="1" t="s">
        <v>428</v>
      </c>
      <c r="B421">
        <f>HYPERLINK("https://www.suredividend.com/sure-analysis-LYB/","LyondellBasell Industries NV")</f>
        <v>0</v>
      </c>
      <c r="C421">
        <v>68.5</v>
      </c>
      <c r="D421">
        <v>22858.861</v>
      </c>
      <c r="E421" t="s">
        <v>659</v>
      </c>
      <c r="F421" t="s">
        <v>631</v>
      </c>
      <c r="G421" t="s">
        <v>673</v>
      </c>
      <c r="H421" t="s">
        <v>699</v>
      </c>
      <c r="I421" t="s">
        <v>1120</v>
      </c>
      <c r="J421" t="s">
        <v>1319</v>
      </c>
      <c r="K421">
        <v>43958</v>
      </c>
      <c r="L421">
        <v>0.06131386861313801</v>
      </c>
      <c r="M421">
        <v>-0.04645621980440007</v>
      </c>
      <c r="N421">
        <v>0.09</v>
      </c>
      <c r="O421">
        <v>0.08998432280888102</v>
      </c>
      <c r="P421" t="s">
        <v>300</v>
      </c>
      <c r="Q421" t="s">
        <v>383</v>
      </c>
      <c r="R421">
        <v>9</v>
      </c>
      <c r="S421">
        <v>0.7000000000000001</v>
      </c>
      <c r="T421">
        <v>54</v>
      </c>
      <c r="U421">
        <v>1.268518518518519</v>
      </c>
      <c r="V421">
        <v>7.8057</v>
      </c>
      <c r="W421">
        <v>6</v>
      </c>
      <c r="X421">
        <v>4.2</v>
      </c>
      <c r="Y421">
        <v>-0.200887</v>
      </c>
      <c r="Z421">
        <v>0.7272727272727273</v>
      </c>
      <c r="AA421">
        <v>0.4025764895330113</v>
      </c>
      <c r="AB421">
        <v>0.8633440514469453</v>
      </c>
      <c r="AC421">
        <v>0.3086816720257235</v>
      </c>
      <c r="AD421">
        <v>0.6511254019292605</v>
      </c>
    </row>
    <row r="422" spans="1:30">
      <c r="A422" s="1" t="s">
        <v>429</v>
      </c>
      <c r="B422">
        <f>HYPERLINK("https://www.suredividend.com/sure-analysis-SSREY/","Swiss Re AG")</f>
        <v>0</v>
      </c>
      <c r="C422">
        <v>20.19</v>
      </c>
      <c r="D422">
        <v>22673.793021</v>
      </c>
      <c r="E422" t="s">
        <v>663</v>
      </c>
      <c r="F422" t="s">
        <v>631</v>
      </c>
      <c r="G422" t="s">
        <v>674</v>
      </c>
      <c r="H422" t="s">
        <v>700</v>
      </c>
      <c r="I422" t="s">
        <v>1121</v>
      </c>
      <c r="J422" t="s">
        <v>1311</v>
      </c>
      <c r="K422">
        <v>43974</v>
      </c>
      <c r="L422">
        <v>0.07481426448736901</v>
      </c>
      <c r="M422">
        <v>-0.0227014886694975</v>
      </c>
      <c r="N422">
        <v>0.05</v>
      </c>
      <c r="O422">
        <v>0.08952102143220753</v>
      </c>
      <c r="P422" t="s">
        <v>300</v>
      </c>
      <c r="Q422" t="s">
        <v>383</v>
      </c>
      <c r="R422">
        <v>5</v>
      </c>
      <c r="S422">
        <v>1.007</v>
      </c>
      <c r="T422">
        <v>18</v>
      </c>
      <c r="U422">
        <v>1.121666666666667</v>
      </c>
      <c r="V422">
        <v>0.5989</v>
      </c>
      <c r="W422">
        <v>1.5</v>
      </c>
      <c r="X422">
        <v>1.5105</v>
      </c>
      <c r="Y422">
        <v>-0.180933</v>
      </c>
      <c r="Z422">
        <v>0.8049586776859505</v>
      </c>
      <c r="AA422">
        <v>0.4331723027375201</v>
      </c>
      <c r="AB422">
        <v>0.5160771704180064</v>
      </c>
      <c r="AC422">
        <v>0.4662379421221865</v>
      </c>
      <c r="AD422">
        <v>0.6479099678456592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18.77</v>
      </c>
      <c r="D423">
        <v>9806.104950000001</v>
      </c>
      <c r="E423" t="s">
        <v>669</v>
      </c>
      <c r="F423" t="s">
        <v>633</v>
      </c>
      <c r="G423" t="s">
        <v>670</v>
      </c>
      <c r="H423" t="s">
        <v>699</v>
      </c>
      <c r="I423" t="s">
        <v>1122</v>
      </c>
      <c r="J423" t="s">
        <v>1321</v>
      </c>
      <c r="K423">
        <v>44012</v>
      </c>
      <c r="L423">
        <v>0.055407565263718</v>
      </c>
      <c r="M423">
        <v>-0.008342624085829198</v>
      </c>
      <c r="N423">
        <v>0.047</v>
      </c>
      <c r="O423">
        <v>0.08942846524369141</v>
      </c>
      <c r="P423" t="s">
        <v>300</v>
      </c>
      <c r="Q423" t="s">
        <v>383</v>
      </c>
      <c r="R423">
        <v>7</v>
      </c>
      <c r="S423">
        <v>0.7123287671232877</v>
      </c>
      <c r="T423">
        <v>18</v>
      </c>
      <c r="U423">
        <v>1.042777777777778</v>
      </c>
      <c r="V423">
        <v>0.8187000000000001</v>
      </c>
      <c r="W423">
        <v>1.46</v>
      </c>
      <c r="X423">
        <v>1.04</v>
      </c>
      <c r="Y423">
        <v>0.031319</v>
      </c>
      <c r="Z423">
        <v>0.6892561983471075</v>
      </c>
      <c r="AA423">
        <v>0.7278582930756844</v>
      </c>
      <c r="AB423">
        <v>0.4485530546623794</v>
      </c>
      <c r="AC423">
        <v>0.5594855305466238</v>
      </c>
      <c r="AD423">
        <v>0.6463022508038585</v>
      </c>
    </row>
    <row r="424" spans="1:30">
      <c r="A424" s="1" t="s">
        <v>431</v>
      </c>
      <c r="B424">
        <f>HYPERLINK("https://www.suredividend.com/sure-analysis-TS/","Tenaris SA")</f>
        <v>0</v>
      </c>
      <c r="C424">
        <v>13</v>
      </c>
      <c r="D424">
        <v>7673.51</v>
      </c>
      <c r="E424" t="s">
        <v>663</v>
      </c>
      <c r="F424" t="s">
        <v>631</v>
      </c>
      <c r="G424" t="s">
        <v>693</v>
      </c>
      <c r="H424" t="s">
        <v>699</v>
      </c>
      <c r="I424" t="s">
        <v>1123</v>
      </c>
      <c r="J424" t="s">
        <v>1316</v>
      </c>
      <c r="K424">
        <v>43951</v>
      </c>
      <c r="L424">
        <v>0.02</v>
      </c>
      <c r="M424">
        <v>0.01493197894539366</v>
      </c>
      <c r="N424">
        <v>0.06</v>
      </c>
      <c r="O424">
        <v>0.08926930676922207</v>
      </c>
      <c r="P424" t="s">
        <v>300</v>
      </c>
      <c r="Q424" t="s">
        <v>558</v>
      </c>
      <c r="R424">
        <v>0</v>
      </c>
      <c r="S424">
        <v>0.65</v>
      </c>
      <c r="T424">
        <v>14</v>
      </c>
      <c r="U424">
        <v>0.9285714285714286</v>
      </c>
      <c r="V424">
        <v>-0.271</v>
      </c>
      <c r="W424">
        <v>0.4</v>
      </c>
      <c r="X424">
        <v>0.26</v>
      </c>
      <c r="Y424">
        <v>-0.489194</v>
      </c>
      <c r="Z424">
        <v>0.2388429752066116</v>
      </c>
      <c r="AA424">
        <v>0.09017713365539452</v>
      </c>
      <c r="AB424">
        <v>0.6463022508038585</v>
      </c>
      <c r="AC424">
        <v>0.6913183279742765</v>
      </c>
      <c r="AD424">
        <v>0.6430868167202572</v>
      </c>
    </row>
    <row r="425" spans="1:30">
      <c r="A425" s="1" t="s">
        <v>432</v>
      </c>
      <c r="B425">
        <f>HYPERLINK("https://www.suredividend.com/sure-analysis-HTA/","Healthcare Trust of America, Inc.")</f>
        <v>0</v>
      </c>
      <c r="C425">
        <v>26.68</v>
      </c>
      <c r="D425">
        <v>11753.20129</v>
      </c>
      <c r="E425" t="s">
        <v>667</v>
      </c>
      <c r="F425" t="s">
        <v>633</v>
      </c>
      <c r="G425" t="s">
        <v>670</v>
      </c>
      <c r="H425" t="s">
        <v>699</v>
      </c>
      <c r="I425" t="s">
        <v>1124</v>
      </c>
      <c r="J425" t="s">
        <v>1321</v>
      </c>
      <c r="K425">
        <v>43964</v>
      </c>
      <c r="L425">
        <v>0.047038980509745</v>
      </c>
      <c r="M425">
        <v>0.01681614782195462</v>
      </c>
      <c r="N425">
        <v>0.03</v>
      </c>
      <c r="O425">
        <v>0.08553137282791301</v>
      </c>
      <c r="P425" t="s">
        <v>300</v>
      </c>
      <c r="Q425" t="s">
        <v>300</v>
      </c>
      <c r="R425">
        <v>8</v>
      </c>
      <c r="S425">
        <v>0.9960317460317459</v>
      </c>
      <c r="T425">
        <v>29</v>
      </c>
      <c r="U425">
        <v>0.92</v>
      </c>
      <c r="V425">
        <v>0.1636</v>
      </c>
      <c r="W425">
        <v>1.26</v>
      </c>
      <c r="X425">
        <v>1.255</v>
      </c>
      <c r="Y425">
        <v>-0.043385</v>
      </c>
      <c r="Z425">
        <v>0.6264462809917355</v>
      </c>
      <c r="AA425">
        <v>0.6376811594202898</v>
      </c>
      <c r="AB425">
        <v>0.247588424437299</v>
      </c>
      <c r="AC425">
        <v>0.6985530546623794</v>
      </c>
      <c r="AD425">
        <v>0.6157556270096464</v>
      </c>
    </row>
    <row r="426" spans="1:30">
      <c r="A426" s="1" t="s">
        <v>433</v>
      </c>
      <c r="B426">
        <f>HYPERLINK("https://www.suredividend.com/sure-analysis-AEG/","AEGON NV")</f>
        <v>0</v>
      </c>
      <c r="C426">
        <v>3.13</v>
      </c>
      <c r="D426">
        <v>6380.68131</v>
      </c>
      <c r="E426" t="s">
        <v>662</v>
      </c>
      <c r="F426" t="s">
        <v>631</v>
      </c>
      <c r="G426" t="s">
        <v>684</v>
      </c>
      <c r="H426" t="s">
        <v>699</v>
      </c>
      <c r="I426" t="s">
        <v>1125</v>
      </c>
      <c r="J426" t="s">
        <v>1311</v>
      </c>
      <c r="K426">
        <v>43980</v>
      </c>
      <c r="L426">
        <v>0.09239616613418501</v>
      </c>
      <c r="M426">
        <v>-0.05172700942518027</v>
      </c>
      <c r="N426">
        <v>0.05</v>
      </c>
      <c r="O426">
        <v>0.08530553145749509</v>
      </c>
      <c r="P426" t="s">
        <v>300</v>
      </c>
      <c r="Q426" t="s">
        <v>636</v>
      </c>
      <c r="R426">
        <v>0</v>
      </c>
      <c r="S426">
        <v>0.723</v>
      </c>
      <c r="T426">
        <v>2.4</v>
      </c>
      <c r="U426">
        <v>1.304166666666667</v>
      </c>
      <c r="V426">
        <v>0.6761</v>
      </c>
      <c r="W426">
        <v>0.4</v>
      </c>
      <c r="X426">
        <v>0.2892</v>
      </c>
      <c r="Y426">
        <v>-0.382643</v>
      </c>
      <c r="Z426">
        <v>0.8528925619834711</v>
      </c>
      <c r="AA426">
        <v>0.180354267310789</v>
      </c>
      <c r="AB426">
        <v>0.5160771704180064</v>
      </c>
      <c r="AC426">
        <v>0.2845659163987138</v>
      </c>
      <c r="AD426">
        <v>0.612540192926045</v>
      </c>
    </row>
    <row r="427" spans="1:30">
      <c r="A427" s="1" t="s">
        <v>434</v>
      </c>
      <c r="B427">
        <f>HYPERLINK("https://www.suredividend.com/sure-analysis-AVGO/","Broadcom, Inc.")</f>
        <v>0</v>
      </c>
      <c r="C427">
        <v>312.71</v>
      </c>
      <c r="D427">
        <v>125767.27135</v>
      </c>
      <c r="E427" t="s">
        <v>660</v>
      </c>
      <c r="F427" t="s">
        <v>631</v>
      </c>
      <c r="G427" t="s">
        <v>670</v>
      </c>
      <c r="H427" t="s">
        <v>701</v>
      </c>
      <c r="I427" t="s">
        <v>1126</v>
      </c>
      <c r="J427" t="s">
        <v>1317</v>
      </c>
      <c r="K427">
        <v>44001</v>
      </c>
      <c r="L427">
        <v>0.03773464232036</v>
      </c>
      <c r="M427">
        <v>-0.02966409418550442</v>
      </c>
      <c r="N427">
        <v>0.075</v>
      </c>
      <c r="O427">
        <v>0.0842325720251127</v>
      </c>
      <c r="P427" t="s">
        <v>300</v>
      </c>
      <c r="Q427" t="s">
        <v>300</v>
      </c>
      <c r="R427">
        <v>9</v>
      </c>
      <c r="S427">
        <v>0.5488372093023256</v>
      </c>
      <c r="T427">
        <v>269</v>
      </c>
      <c r="U427">
        <v>1.162490706319703</v>
      </c>
      <c r="V427">
        <v>5.8553</v>
      </c>
      <c r="W427">
        <v>21.5</v>
      </c>
      <c r="X427">
        <v>11.8</v>
      </c>
      <c r="Y427">
        <v>0.07912899999999999</v>
      </c>
      <c r="Z427">
        <v>0.5223140495867769</v>
      </c>
      <c r="AA427">
        <v>0.7777777777777777</v>
      </c>
      <c r="AB427">
        <v>0.7781350482315113</v>
      </c>
      <c r="AC427">
        <v>0.4115755627009646</v>
      </c>
      <c r="AD427">
        <v>0.6012861736334405</v>
      </c>
    </row>
    <row r="428" spans="1:30">
      <c r="A428" s="1" t="s">
        <v>435</v>
      </c>
      <c r="B428">
        <f>HYPERLINK("https://www.suredividend.com/sure-analysis-PSO/","Pearson Plc")</f>
        <v>0</v>
      </c>
      <c r="C428">
        <v>7.05</v>
      </c>
      <c r="D428">
        <v>5281.5216</v>
      </c>
      <c r="E428" t="s">
        <v>660</v>
      </c>
      <c r="F428" t="s">
        <v>631</v>
      </c>
      <c r="G428" t="s">
        <v>673</v>
      </c>
      <c r="H428" t="s">
        <v>699</v>
      </c>
      <c r="I428" t="s">
        <v>1127</v>
      </c>
      <c r="J428" t="s">
        <v>1320</v>
      </c>
      <c r="K428">
        <v>43951</v>
      </c>
      <c r="L428">
        <v>0.034168794326241</v>
      </c>
      <c r="M428">
        <v>0.03689198720670794</v>
      </c>
      <c r="N428">
        <v>0.02</v>
      </c>
      <c r="O428">
        <v>0.08353659693660598</v>
      </c>
      <c r="P428" t="s">
        <v>300</v>
      </c>
      <c r="Q428" t="s">
        <v>300</v>
      </c>
      <c r="R428">
        <v>0</v>
      </c>
      <c r="S428">
        <v>0.602225</v>
      </c>
      <c r="T428">
        <v>8.449999999999999</v>
      </c>
      <c r="U428">
        <v>0.834319526627219</v>
      </c>
      <c r="V428">
        <v>0.4291</v>
      </c>
      <c r="W428">
        <v>0.4</v>
      </c>
      <c r="X428">
        <v>0.24089</v>
      </c>
      <c r="Y428">
        <v>-0.354396</v>
      </c>
      <c r="Z428">
        <v>0.4611570247933884</v>
      </c>
      <c r="AA428">
        <v>0.215780998389694</v>
      </c>
      <c r="AB428">
        <v>0.157556270096463</v>
      </c>
      <c r="AC428">
        <v>0.8086816720257235</v>
      </c>
      <c r="AD428">
        <v>0.5932475884244373</v>
      </c>
    </row>
    <row r="429" spans="1:30">
      <c r="A429" s="1" t="s">
        <v>436</v>
      </c>
      <c r="B429">
        <f>HYPERLINK("https://www.suredividend.com/sure-analysis-NTR/","Nutrien Ltd.")</f>
        <v>0</v>
      </c>
      <c r="C429">
        <v>33.33</v>
      </c>
      <c r="D429">
        <v>18969.63618</v>
      </c>
      <c r="E429" t="s">
        <v>667</v>
      </c>
      <c r="F429" t="s">
        <v>631</v>
      </c>
      <c r="G429" t="s">
        <v>671</v>
      </c>
      <c r="H429" t="s">
        <v>699</v>
      </c>
      <c r="I429" t="s">
        <v>1128</v>
      </c>
      <c r="J429" t="s">
        <v>1319</v>
      </c>
      <c r="K429">
        <v>43985</v>
      </c>
      <c r="L429">
        <v>0.053750273927708</v>
      </c>
      <c r="M429">
        <v>-0.01438960320954097</v>
      </c>
      <c r="N429">
        <v>0.05</v>
      </c>
      <c r="O429">
        <v>0.08195432830188043</v>
      </c>
      <c r="P429" t="s">
        <v>300</v>
      </c>
      <c r="Q429" t="s">
        <v>300</v>
      </c>
      <c r="R429">
        <v>2</v>
      </c>
      <c r="S429">
        <v>0.9952759055614112</v>
      </c>
      <c r="T429">
        <v>31</v>
      </c>
      <c r="U429">
        <v>1.075161290322581</v>
      </c>
      <c r="V429">
        <v>1.5767</v>
      </c>
      <c r="W429">
        <v>1.8</v>
      </c>
      <c r="X429">
        <v>1.79149663001054</v>
      </c>
      <c r="Y429">
        <v>-0.347494</v>
      </c>
      <c r="Z429">
        <v>0.6809917355371902</v>
      </c>
      <c r="AA429">
        <v>0.2302737520128824</v>
      </c>
      <c r="AB429">
        <v>0.5160771704180064</v>
      </c>
      <c r="AC429">
        <v>0.527331189710611</v>
      </c>
      <c r="AD429">
        <v>0.5819935691318328</v>
      </c>
    </row>
    <row r="430" spans="1:30">
      <c r="A430" s="1" t="s">
        <v>437</v>
      </c>
      <c r="B430">
        <f>HYPERLINK("https://www.suredividend.com/sure-analysis-CF/","CF Industries Holdings, Inc.")</f>
        <v>0</v>
      </c>
      <c r="C430">
        <v>30.36</v>
      </c>
      <c r="D430">
        <v>6490.87692</v>
      </c>
      <c r="E430" t="s">
        <v>663</v>
      </c>
      <c r="F430" t="s">
        <v>631</v>
      </c>
      <c r="G430" t="s">
        <v>670</v>
      </c>
      <c r="H430" t="s">
        <v>699</v>
      </c>
      <c r="I430" t="s">
        <v>1129</v>
      </c>
      <c r="J430" t="s">
        <v>1319</v>
      </c>
      <c r="K430">
        <v>43966</v>
      </c>
      <c r="L430">
        <v>0.039525691699604</v>
      </c>
      <c r="M430">
        <v>0.02885282744942663</v>
      </c>
      <c r="N430">
        <v>0.02</v>
      </c>
      <c r="O430">
        <v>0.08016471506967493</v>
      </c>
      <c r="P430" t="s">
        <v>300</v>
      </c>
      <c r="Q430" t="s">
        <v>300</v>
      </c>
      <c r="R430">
        <v>0</v>
      </c>
      <c r="S430">
        <v>0.7999999999999999</v>
      </c>
      <c r="T430">
        <v>35</v>
      </c>
      <c r="U430">
        <v>0.8674285714285714</v>
      </c>
      <c r="V430">
        <v>2.1444</v>
      </c>
      <c r="W430">
        <v>1.5</v>
      </c>
      <c r="X430">
        <v>1.2</v>
      </c>
      <c r="Y430">
        <v>-0.353768</v>
      </c>
      <c r="Z430">
        <v>0.5355371900826447</v>
      </c>
      <c r="AA430">
        <v>0.2173913043478261</v>
      </c>
      <c r="AB430">
        <v>0.157556270096463</v>
      </c>
      <c r="AC430">
        <v>0.7684887459807074</v>
      </c>
      <c r="AD430">
        <v>0.5707395498392284</v>
      </c>
    </row>
    <row r="431" spans="1:30">
      <c r="A431" s="1" t="s">
        <v>438</v>
      </c>
      <c r="B431">
        <f>HYPERLINK("https://www.suredividend.com/sure-analysis-AQN/","Algonquin Power &amp; Utilities Corp.")</f>
        <v>0</v>
      </c>
      <c r="C431">
        <v>13.8</v>
      </c>
      <c r="D431">
        <v>7277.982</v>
      </c>
      <c r="E431" t="s">
        <v>668</v>
      </c>
      <c r="F431" t="s">
        <v>631</v>
      </c>
      <c r="G431" t="s">
        <v>671</v>
      </c>
      <c r="H431" t="s">
        <v>699</v>
      </c>
      <c r="I431" t="s">
        <v>1130</v>
      </c>
      <c r="J431" t="s">
        <v>1315</v>
      </c>
      <c r="K431">
        <v>44021</v>
      </c>
      <c r="L431">
        <v>0.041121665148337</v>
      </c>
      <c r="M431">
        <v>-0.02756533520359794</v>
      </c>
      <c r="N431">
        <v>0.065</v>
      </c>
      <c r="O431">
        <v>0.07836795187678391</v>
      </c>
      <c r="P431" t="s">
        <v>300</v>
      </c>
      <c r="Q431" t="s">
        <v>300</v>
      </c>
      <c r="R431">
        <v>9</v>
      </c>
      <c r="S431">
        <v>0.8469835508165059</v>
      </c>
      <c r="T431">
        <v>12</v>
      </c>
      <c r="U431">
        <v>1.15</v>
      </c>
      <c r="V431">
        <v>0.744</v>
      </c>
      <c r="W431">
        <v>0.67</v>
      </c>
      <c r="X431">
        <v>0.567478979047059</v>
      </c>
      <c r="Y431">
        <v>0.09177199999999999</v>
      </c>
      <c r="Z431">
        <v>0.5652892561983471</v>
      </c>
      <c r="AA431">
        <v>0.7906602254428341</v>
      </c>
      <c r="AB431">
        <v>0.6969453376205788</v>
      </c>
      <c r="AC431">
        <v>0.4340836012861736</v>
      </c>
      <c r="AD431">
        <v>0.5627009646302251</v>
      </c>
    </row>
    <row r="432" spans="1:30">
      <c r="A432" s="1" t="s">
        <v>439</v>
      </c>
      <c r="B432">
        <f>HYPERLINK("https://www.suredividend.com/sure-analysis-WRK/","WestRock Co.")</f>
        <v>0</v>
      </c>
      <c r="C432">
        <v>29.97</v>
      </c>
      <c r="D432">
        <v>7769.87235</v>
      </c>
      <c r="E432" t="s">
        <v>662</v>
      </c>
      <c r="F432" t="s">
        <v>631</v>
      </c>
      <c r="G432" t="s">
        <v>670</v>
      </c>
      <c r="H432" t="s">
        <v>699</v>
      </c>
      <c r="I432" t="s">
        <v>1131</v>
      </c>
      <c r="J432" t="s">
        <v>1312</v>
      </c>
      <c r="K432">
        <v>43965</v>
      </c>
      <c r="L432">
        <v>0.061394728061394</v>
      </c>
      <c r="M432">
        <v>-0.006558608093087281</v>
      </c>
      <c r="N432">
        <v>0.06</v>
      </c>
      <c r="O432">
        <v>0.07792809558630442</v>
      </c>
      <c r="P432" t="s">
        <v>300</v>
      </c>
      <c r="Q432" t="s">
        <v>383</v>
      </c>
      <c r="R432">
        <v>0</v>
      </c>
      <c r="S432">
        <v>0.7076923076923076</v>
      </c>
      <c r="T432">
        <v>29</v>
      </c>
      <c r="U432">
        <v>1.033448275862069</v>
      </c>
      <c r="V432">
        <v>3.2952</v>
      </c>
      <c r="W432">
        <v>2.6</v>
      </c>
      <c r="X432">
        <v>1.84</v>
      </c>
      <c r="Y432">
        <v>-0.149546</v>
      </c>
      <c r="Z432">
        <v>0.7289256198347107</v>
      </c>
      <c r="AA432">
        <v>0.4734299516908212</v>
      </c>
      <c r="AB432">
        <v>0.6463022508038585</v>
      </c>
      <c r="AC432">
        <v>0.5739549839228296</v>
      </c>
      <c r="AD432">
        <v>0.5562700964630225</v>
      </c>
    </row>
    <row r="433" spans="1:30">
      <c r="A433" s="1" t="s">
        <v>440</v>
      </c>
      <c r="B433">
        <f>HYPERLINK("https://www.suredividend.com/sure-analysis-GNL/","Global Net Lease, Inc.")</f>
        <v>0</v>
      </c>
      <c r="C433">
        <v>16.43</v>
      </c>
      <c r="D433">
        <v>1469.81137</v>
      </c>
      <c r="E433" t="s">
        <v>669</v>
      </c>
      <c r="F433" t="s">
        <v>633</v>
      </c>
      <c r="G433" t="s">
        <v>670</v>
      </c>
      <c r="H433" t="s">
        <v>699</v>
      </c>
      <c r="I433" t="s">
        <v>1132</v>
      </c>
      <c r="J433" t="s">
        <v>1321</v>
      </c>
      <c r="K433">
        <v>44006</v>
      </c>
      <c r="L433">
        <v>0.09996956786366401</v>
      </c>
      <c r="M433">
        <v>-0.03150341332860374</v>
      </c>
      <c r="N433">
        <v>0.015</v>
      </c>
      <c r="O433">
        <v>0.07722022328782741</v>
      </c>
      <c r="P433" t="s">
        <v>300</v>
      </c>
      <c r="Q433" t="s">
        <v>636</v>
      </c>
      <c r="R433">
        <v>0</v>
      </c>
      <c r="S433">
        <v>0.82125</v>
      </c>
      <c r="T433">
        <v>14</v>
      </c>
      <c r="U433">
        <v>1.173571428571428</v>
      </c>
      <c r="V433">
        <v>0.3835</v>
      </c>
      <c r="W433">
        <v>2</v>
      </c>
      <c r="X433">
        <v>1.6425</v>
      </c>
      <c r="Y433">
        <v>-0.13708</v>
      </c>
      <c r="Z433">
        <v>0.8727272727272727</v>
      </c>
      <c r="AA433">
        <v>0.4943639291465379</v>
      </c>
      <c r="AB433">
        <v>0.1085209003215434</v>
      </c>
      <c r="AC433">
        <v>0.3971061093247589</v>
      </c>
      <c r="AD433">
        <v>0.545016077170418</v>
      </c>
    </row>
    <row r="434" spans="1:30">
      <c r="A434" s="1" t="s">
        <v>441</v>
      </c>
      <c r="B434">
        <f>HYPERLINK("https://www.suredividend.com/sure-analysis-NLSN/","Nielsen Holdings Plc")</f>
        <v>0</v>
      </c>
      <c r="C434">
        <v>15.35</v>
      </c>
      <c r="D434">
        <v>5471.9066</v>
      </c>
      <c r="E434" t="s">
        <v>660</v>
      </c>
      <c r="F434" t="s">
        <v>631</v>
      </c>
      <c r="G434" t="s">
        <v>670</v>
      </c>
      <c r="H434" t="s">
        <v>699</v>
      </c>
      <c r="I434" t="s">
        <v>1133</v>
      </c>
      <c r="J434" t="s">
        <v>1313</v>
      </c>
      <c r="K434">
        <v>43961</v>
      </c>
      <c r="L434">
        <v>0.05342019543973901</v>
      </c>
      <c r="M434">
        <v>0.03236393674044891</v>
      </c>
      <c r="N434">
        <v>0.03</v>
      </c>
      <c r="O434">
        <v>0.07698947946744927</v>
      </c>
      <c r="P434" t="s">
        <v>300</v>
      </c>
      <c r="Q434" t="s">
        <v>383</v>
      </c>
      <c r="R434">
        <v>0</v>
      </c>
      <c r="S434">
        <v>0.543046357615894</v>
      </c>
      <c r="T434">
        <v>18</v>
      </c>
      <c r="U434">
        <v>0.8527777777777777</v>
      </c>
      <c r="V434">
        <v>-1.3333</v>
      </c>
      <c r="W434">
        <v>1.51</v>
      </c>
      <c r="X434">
        <v>0.8200000000000001</v>
      </c>
      <c r="Y434">
        <v>-0.348472</v>
      </c>
      <c r="Z434">
        <v>0.6776859504132231</v>
      </c>
      <c r="AA434">
        <v>0.2270531400966184</v>
      </c>
      <c r="AB434">
        <v>0.247588424437299</v>
      </c>
      <c r="AC434">
        <v>0.7765273311897105</v>
      </c>
      <c r="AD434">
        <v>0.5418006430868167</v>
      </c>
    </row>
    <row r="435" spans="1:30">
      <c r="A435" s="1" t="s">
        <v>442</v>
      </c>
      <c r="B435">
        <f>HYPERLINK("https://www.suredividend.com/sure-analysis-CAE/","CAE, Inc.")</f>
        <v>0</v>
      </c>
      <c r="C435">
        <v>14.55</v>
      </c>
      <c r="D435">
        <v>3866.00775</v>
      </c>
      <c r="E435" t="s">
        <v>662</v>
      </c>
      <c r="F435" t="s">
        <v>631</v>
      </c>
      <c r="G435" t="s">
        <v>671</v>
      </c>
      <c r="H435" t="s">
        <v>699</v>
      </c>
      <c r="I435" t="s">
        <v>1134</v>
      </c>
      <c r="J435" t="s">
        <v>1313</v>
      </c>
      <c r="K435">
        <v>43978</v>
      </c>
      <c r="L435">
        <v>0.022209698305761</v>
      </c>
      <c r="M435">
        <v>0.006110434499387196</v>
      </c>
      <c r="N435">
        <v>0.07000000000000001</v>
      </c>
      <c r="O435">
        <v>0.0765381649143444</v>
      </c>
      <c r="P435" t="s">
        <v>300</v>
      </c>
      <c r="Q435" t="s">
        <v>558</v>
      </c>
      <c r="R435">
        <v>0</v>
      </c>
      <c r="S435">
        <v>1.077170367829427</v>
      </c>
      <c r="T435">
        <v>15</v>
      </c>
      <c r="U435">
        <v>0.9700000000000001</v>
      </c>
      <c r="V435">
        <v>0.8804000000000001</v>
      </c>
      <c r="W435">
        <v>0.3</v>
      </c>
      <c r="X435">
        <v>0.323151110348828</v>
      </c>
      <c r="Y435">
        <v>-0.463891</v>
      </c>
      <c r="Z435">
        <v>0.284297520661157</v>
      </c>
      <c r="AA435">
        <v>0.1159420289855072</v>
      </c>
      <c r="AB435">
        <v>0.7387459807073955</v>
      </c>
      <c r="AC435">
        <v>0.635048231511254</v>
      </c>
      <c r="AD435">
        <v>0.5369774919614148</v>
      </c>
    </row>
    <row r="436" spans="1:30">
      <c r="A436" s="1" t="s">
        <v>443</v>
      </c>
      <c r="B436">
        <f>HYPERLINK("https://www.suredividend.com/sure-analysis-LAMR/","Lamar Advertising Co.")</f>
        <v>0</v>
      </c>
      <c r="C436">
        <v>65.63</v>
      </c>
      <c r="D436">
        <v>6612.831875</v>
      </c>
      <c r="E436" t="s">
        <v>669</v>
      </c>
      <c r="F436" t="s">
        <v>633</v>
      </c>
      <c r="G436" t="s">
        <v>670</v>
      </c>
      <c r="H436" t="s">
        <v>701</v>
      </c>
      <c r="I436" t="s">
        <v>1135</v>
      </c>
      <c r="J436" t="s">
        <v>1321</v>
      </c>
      <c r="K436">
        <v>43978</v>
      </c>
      <c r="L436">
        <v>0.059119305195794</v>
      </c>
      <c r="M436">
        <v>-0.01777774690264211</v>
      </c>
      <c r="N436">
        <v>0.046</v>
      </c>
      <c r="O436">
        <v>0.07638089314365804</v>
      </c>
      <c r="P436" t="s">
        <v>300</v>
      </c>
      <c r="Q436" t="s">
        <v>383</v>
      </c>
      <c r="R436">
        <v>4</v>
      </c>
      <c r="S436">
        <v>0.776</v>
      </c>
      <c r="T436">
        <v>60</v>
      </c>
      <c r="U436">
        <v>1.093833333333333</v>
      </c>
      <c r="V436">
        <v>3.5994</v>
      </c>
      <c r="W436">
        <v>5</v>
      </c>
      <c r="X436">
        <v>3.88</v>
      </c>
      <c r="Y436">
        <v>-0.179728</v>
      </c>
      <c r="Z436">
        <v>0.7173553719008264</v>
      </c>
      <c r="AA436">
        <v>0.4347826086956522</v>
      </c>
      <c r="AB436">
        <v>0.4445337620578778</v>
      </c>
      <c r="AC436">
        <v>0.5016077170418006</v>
      </c>
      <c r="AD436">
        <v>0.5353697749196141</v>
      </c>
    </row>
    <row r="437" spans="1:30">
      <c r="A437" s="1" t="s">
        <v>444</v>
      </c>
      <c r="B437">
        <f>HYPERLINK("https://www.suredividend.com/sure-analysis-BCE/","BCE, Inc.")</f>
        <v>0</v>
      </c>
      <c r="C437">
        <v>42.44</v>
      </c>
      <c r="D437">
        <v>38379.68032</v>
      </c>
      <c r="E437" t="s">
        <v>668</v>
      </c>
      <c r="F437" t="s">
        <v>631</v>
      </c>
      <c r="G437" t="s">
        <v>671</v>
      </c>
      <c r="H437" t="s">
        <v>699</v>
      </c>
      <c r="I437" t="s">
        <v>1136</v>
      </c>
      <c r="J437" t="s">
        <v>1320</v>
      </c>
      <c r="K437">
        <v>43971</v>
      </c>
      <c r="L437">
        <v>0.056827150245942</v>
      </c>
      <c r="M437">
        <v>-0.006880072588628328</v>
      </c>
      <c r="N437">
        <v>0.03</v>
      </c>
      <c r="O437">
        <v>0.07365437420556264</v>
      </c>
      <c r="P437" t="s">
        <v>300</v>
      </c>
      <c r="Q437" t="s">
        <v>383</v>
      </c>
      <c r="R437">
        <v>12</v>
      </c>
      <c r="S437">
        <v>1.0176136103113</v>
      </c>
      <c r="T437">
        <v>41</v>
      </c>
      <c r="U437">
        <v>1.035121951219512</v>
      </c>
      <c r="V437">
        <v>2.4831</v>
      </c>
      <c r="W437">
        <v>2.37</v>
      </c>
      <c r="X437">
        <v>2.41174425643778</v>
      </c>
      <c r="Y437">
        <v>-0.079792</v>
      </c>
      <c r="Z437">
        <v>0.6975206611570247</v>
      </c>
      <c r="AA437">
        <v>0.5748792270531401</v>
      </c>
      <c r="AB437">
        <v>0.247588424437299</v>
      </c>
      <c r="AC437">
        <v>0.567524115755627</v>
      </c>
      <c r="AD437">
        <v>0.5192926045016076</v>
      </c>
    </row>
    <row r="438" spans="1:30">
      <c r="A438" s="1" t="s">
        <v>445</v>
      </c>
      <c r="B438">
        <f>HYPERLINK("https://www.suredividend.com/sure-analysis-VER/","VEREIT, Inc.")</f>
        <v>0</v>
      </c>
      <c r="C438">
        <v>6.5</v>
      </c>
      <c r="D438">
        <v>7006.025</v>
      </c>
      <c r="E438" t="s">
        <v>669</v>
      </c>
      <c r="F438" t="s">
        <v>631</v>
      </c>
      <c r="G438" t="s">
        <v>670</v>
      </c>
      <c r="H438" t="s">
        <v>699</v>
      </c>
      <c r="I438" t="s">
        <v>1137</v>
      </c>
      <c r="J438" t="s">
        <v>1321</v>
      </c>
      <c r="K438">
        <v>43992</v>
      </c>
      <c r="L438">
        <v>0.08461538461538401</v>
      </c>
      <c r="M438">
        <v>0.003058161088930422</v>
      </c>
      <c r="N438">
        <v>0.021</v>
      </c>
      <c r="O438">
        <v>0.07362128575923554</v>
      </c>
      <c r="P438" t="s">
        <v>300</v>
      </c>
      <c r="Q438" t="s">
        <v>383</v>
      </c>
      <c r="R438">
        <v>0</v>
      </c>
      <c r="S438">
        <v>1</v>
      </c>
      <c r="T438">
        <v>6.6</v>
      </c>
      <c r="U438">
        <v>0.9848484848484849</v>
      </c>
      <c r="V438">
        <v>-0.364</v>
      </c>
      <c r="W438">
        <v>0.55</v>
      </c>
      <c r="X438">
        <v>0.55</v>
      </c>
      <c r="Y438">
        <v>-0.276974</v>
      </c>
      <c r="Z438">
        <v>0.8347107438016529</v>
      </c>
      <c r="AA438">
        <v>0.3091787439613526</v>
      </c>
      <c r="AB438">
        <v>0.1921221864951768</v>
      </c>
      <c r="AC438">
        <v>0.6221864951768489</v>
      </c>
      <c r="AD438">
        <v>0.517684887459807</v>
      </c>
    </row>
    <row r="439" spans="1:30">
      <c r="A439" s="1" t="s">
        <v>446</v>
      </c>
      <c r="B439">
        <f>HYPERLINK("https://www.suredividend.com/sure-analysis-CC/","The Chemours Co.")</f>
        <v>0</v>
      </c>
      <c r="C439">
        <v>16.42</v>
      </c>
      <c r="D439">
        <v>2696.45956</v>
      </c>
      <c r="E439" t="s">
        <v>664</v>
      </c>
      <c r="F439" t="s">
        <v>631</v>
      </c>
      <c r="G439" t="s">
        <v>670</v>
      </c>
      <c r="H439" t="s">
        <v>699</v>
      </c>
      <c r="I439" t="s">
        <v>1138</v>
      </c>
      <c r="J439" t="s">
        <v>1319</v>
      </c>
      <c r="K439">
        <v>43986</v>
      </c>
      <c r="L439">
        <v>0.06090133982947601</v>
      </c>
      <c r="M439">
        <v>-0.008927786847796937</v>
      </c>
      <c r="N439">
        <v>0.03</v>
      </c>
      <c r="O439">
        <v>0.07158154094979485</v>
      </c>
      <c r="P439" t="s">
        <v>300</v>
      </c>
      <c r="Q439" t="s">
        <v>383</v>
      </c>
      <c r="R439">
        <v>0</v>
      </c>
      <c r="S439">
        <v>0.6369426751592356</v>
      </c>
      <c r="T439">
        <v>15.7</v>
      </c>
      <c r="U439">
        <v>1.045859872611465</v>
      </c>
      <c r="V439">
        <v>-0.2809</v>
      </c>
      <c r="W439">
        <v>1.57</v>
      </c>
      <c r="X439">
        <v>1</v>
      </c>
      <c r="Y439">
        <v>-0.142559</v>
      </c>
      <c r="Z439">
        <v>0.7256198347107439</v>
      </c>
      <c r="AA439">
        <v>0.4830917874396136</v>
      </c>
      <c r="AB439">
        <v>0.247588424437299</v>
      </c>
      <c r="AC439">
        <v>0.5562700964630225</v>
      </c>
      <c r="AD439">
        <v>0.4967845659163987</v>
      </c>
    </row>
    <row r="440" spans="1:30">
      <c r="A440" s="1" t="s">
        <v>447</v>
      </c>
      <c r="B440">
        <f>HYPERLINK("https://www.suredividend.com/sure-analysis-LAZ/","Lazard Ltd.")</f>
        <v>0</v>
      </c>
      <c r="C440">
        <v>28.52</v>
      </c>
      <c r="D440">
        <v>2981.39524</v>
      </c>
      <c r="E440" t="s">
        <v>661</v>
      </c>
      <c r="F440" t="s">
        <v>631</v>
      </c>
      <c r="G440" t="s">
        <v>670</v>
      </c>
      <c r="H440" t="s">
        <v>699</v>
      </c>
      <c r="I440" t="s">
        <v>1139</v>
      </c>
      <c r="J440" t="s">
        <v>1311</v>
      </c>
      <c r="K440">
        <v>43958</v>
      </c>
      <c r="L440">
        <v>0.065918653576437</v>
      </c>
      <c r="M440">
        <v>-0.04210994805604396</v>
      </c>
      <c r="N440">
        <v>0.05</v>
      </c>
      <c r="O440">
        <v>0.06973969967218596</v>
      </c>
      <c r="P440" t="s">
        <v>300</v>
      </c>
      <c r="Q440" t="s">
        <v>636</v>
      </c>
      <c r="R440">
        <v>12</v>
      </c>
      <c r="S440">
        <v>1.074285714285714</v>
      </c>
      <c r="T440">
        <v>23</v>
      </c>
      <c r="U440">
        <v>1.24</v>
      </c>
      <c r="V440">
        <v>2.3232</v>
      </c>
      <c r="W440">
        <v>1.75</v>
      </c>
      <c r="X440">
        <v>1.88</v>
      </c>
      <c r="Y440">
        <v>-0.210847</v>
      </c>
      <c r="Z440">
        <v>0.7603305785123967</v>
      </c>
      <c r="AA440">
        <v>0.3945249597423511</v>
      </c>
      <c r="AB440">
        <v>0.5160771704180064</v>
      </c>
      <c r="AC440">
        <v>0.3207395498392283</v>
      </c>
      <c r="AD440">
        <v>0.4790996784565916</v>
      </c>
    </row>
    <row r="441" spans="1:30">
      <c r="A441" s="1" t="s">
        <v>448</v>
      </c>
      <c r="B441">
        <f>HYPERLINK("https://www.suredividend.com/sure-analysis-DHC/","Diversified Healthcare Trust")</f>
        <v>0</v>
      </c>
      <c r="C441">
        <v>3.84</v>
      </c>
      <c r="D441">
        <v>913.51296</v>
      </c>
      <c r="E441" t="s">
        <v>661</v>
      </c>
      <c r="F441" t="s">
        <v>633</v>
      </c>
      <c r="G441" t="s">
        <v>670</v>
      </c>
      <c r="H441" t="s">
        <v>701</v>
      </c>
      <c r="I441" t="s">
        <v>1140</v>
      </c>
      <c r="J441" t="s">
        <v>1321</v>
      </c>
      <c r="K441">
        <v>43993</v>
      </c>
      <c r="L441">
        <v>0.15625</v>
      </c>
      <c r="M441">
        <v>0.07056368416916192</v>
      </c>
      <c r="N441">
        <v>-0.01</v>
      </c>
      <c r="O441">
        <v>0.06798776476276203</v>
      </c>
      <c r="P441" t="s">
        <v>300</v>
      </c>
      <c r="Q441" t="s">
        <v>636</v>
      </c>
      <c r="R441">
        <v>0</v>
      </c>
      <c r="S441">
        <v>0.6666666666666667</v>
      </c>
      <c r="T441">
        <v>5.4</v>
      </c>
      <c r="U441">
        <v>0.711111111111111</v>
      </c>
      <c r="V441">
        <v>-0.457</v>
      </c>
      <c r="W441">
        <v>0.9</v>
      </c>
      <c r="X441">
        <v>0.6000000000000001</v>
      </c>
      <c r="Y441">
        <v>-0.5208389999999999</v>
      </c>
      <c r="Z441">
        <v>0.9454545454545454</v>
      </c>
      <c r="AA441">
        <v>0.07085346215780999</v>
      </c>
      <c r="AB441">
        <v>0.01768488745980707</v>
      </c>
      <c r="AC441">
        <v>0.927652733118971</v>
      </c>
      <c r="AD441">
        <v>0.4694533762057878</v>
      </c>
    </row>
    <row r="442" spans="1:30">
      <c r="A442" s="1" t="s">
        <v>449</v>
      </c>
      <c r="B442">
        <f>HYPERLINK("https://www.suredividend.com/sure-analysis-STAG/","STAG Industrial, Inc.")</f>
        <v>0</v>
      </c>
      <c r="C442">
        <v>30.19</v>
      </c>
      <c r="D442">
        <v>4604.254801</v>
      </c>
      <c r="E442" t="s">
        <v>662</v>
      </c>
      <c r="F442" t="s">
        <v>633</v>
      </c>
      <c r="G442" t="s">
        <v>670</v>
      </c>
      <c r="H442" t="s">
        <v>699</v>
      </c>
      <c r="I442" t="s">
        <v>1141</v>
      </c>
      <c r="J442" t="s">
        <v>1321</v>
      </c>
      <c r="K442">
        <v>43971</v>
      </c>
      <c r="L442">
        <v>0.04753229546207301</v>
      </c>
      <c r="M442">
        <v>-0.02208720104269368</v>
      </c>
      <c r="N442">
        <v>0.05</v>
      </c>
      <c r="O442">
        <v>0.06758972978366473</v>
      </c>
      <c r="P442" t="s">
        <v>300</v>
      </c>
      <c r="Q442" t="s">
        <v>383</v>
      </c>
      <c r="R442">
        <v>10</v>
      </c>
      <c r="S442">
        <v>0.7972222222222223</v>
      </c>
      <c r="T442">
        <v>27</v>
      </c>
      <c r="U442">
        <v>1.118148148148148</v>
      </c>
      <c r="V442">
        <v>0.7144</v>
      </c>
      <c r="W442">
        <v>1.8</v>
      </c>
      <c r="X442">
        <v>1.435</v>
      </c>
      <c r="Y442">
        <v>-0.01565</v>
      </c>
      <c r="Z442">
        <v>0.6347107438016529</v>
      </c>
      <c r="AA442">
        <v>0.6666666666666667</v>
      </c>
      <c r="AB442">
        <v>0.5160771704180064</v>
      </c>
      <c r="AC442">
        <v>0.4726688102893891</v>
      </c>
      <c r="AD442">
        <v>0.4646302250803858</v>
      </c>
    </row>
    <row r="443" spans="1:30">
      <c r="A443" s="1" t="s">
        <v>450</v>
      </c>
      <c r="B443">
        <f>HYPERLINK("https://www.suredividend.com/sure-analysis-BMWYY/","Bayerische Motoren Werke AG")</f>
        <v>0</v>
      </c>
      <c r="C443">
        <v>22.8</v>
      </c>
      <c r="D443">
        <v>41592.381818</v>
      </c>
      <c r="E443" t="s">
        <v>662</v>
      </c>
      <c r="F443" t="s">
        <v>631</v>
      </c>
      <c r="G443" t="s">
        <v>677</v>
      </c>
      <c r="H443" t="s">
        <v>700</v>
      </c>
      <c r="I443" t="s">
        <v>1142</v>
      </c>
      <c r="J443" t="s">
        <v>1312</v>
      </c>
      <c r="K443">
        <v>43984</v>
      </c>
      <c r="L443">
        <v>0.03988596491228</v>
      </c>
      <c r="M443">
        <v>-0.199382122930775</v>
      </c>
      <c r="N443">
        <v>0.285</v>
      </c>
      <c r="O443">
        <v>0.06598476156916067</v>
      </c>
      <c r="P443" t="s">
        <v>300</v>
      </c>
      <c r="Q443" t="s">
        <v>300</v>
      </c>
      <c r="R443">
        <v>0</v>
      </c>
      <c r="S443">
        <v>0.9094000000000001</v>
      </c>
      <c r="T443">
        <v>7.5</v>
      </c>
      <c r="U443">
        <v>3.04</v>
      </c>
      <c r="V443">
        <v>2.7376</v>
      </c>
      <c r="W443">
        <v>1</v>
      </c>
      <c r="X443">
        <v>0.9094000000000001</v>
      </c>
      <c r="Y443">
        <v>-0.080274</v>
      </c>
      <c r="Z443">
        <v>0.5421487603305785</v>
      </c>
      <c r="AA443">
        <v>0.573268921095008</v>
      </c>
      <c r="AB443">
        <v>1</v>
      </c>
      <c r="AC443">
        <v>0.009646302250803859</v>
      </c>
      <c r="AD443">
        <v>0.454983922829582</v>
      </c>
    </row>
    <row r="444" spans="1:30">
      <c r="A444" s="1" t="s">
        <v>451</v>
      </c>
      <c r="B444">
        <f>HYPERLINK("https://www.suredividend.com/sure-analysis-ARCC/","Ares Capital Corp.")</f>
        <v>0</v>
      </c>
      <c r="C444">
        <v>14.16</v>
      </c>
      <c r="D444">
        <v>5984.32752</v>
      </c>
      <c r="E444" t="s">
        <v>669</v>
      </c>
      <c r="F444" t="s">
        <v>634</v>
      </c>
      <c r="G444" t="s">
        <v>670</v>
      </c>
      <c r="H444" t="s">
        <v>701</v>
      </c>
      <c r="I444" t="s">
        <v>1143</v>
      </c>
      <c r="J444" t="s">
        <v>1311</v>
      </c>
      <c r="K444">
        <v>43978</v>
      </c>
      <c r="L444">
        <v>0.112994350282485</v>
      </c>
      <c r="M444">
        <v>-0.05273367092093328</v>
      </c>
      <c r="N444">
        <v>0.01</v>
      </c>
      <c r="O444">
        <v>0.06555366622833447</v>
      </c>
      <c r="P444" t="s">
        <v>300</v>
      </c>
      <c r="Q444" t="s">
        <v>636</v>
      </c>
      <c r="R444">
        <v>2</v>
      </c>
      <c r="S444">
        <v>0.888888888888889</v>
      </c>
      <c r="T444">
        <v>10.8</v>
      </c>
      <c r="U444">
        <v>1.311111111111111</v>
      </c>
      <c r="V444">
        <v>-0.0684</v>
      </c>
      <c r="W444">
        <v>1.8</v>
      </c>
      <c r="X444">
        <v>1.6</v>
      </c>
      <c r="Y444">
        <v>-0.221122</v>
      </c>
      <c r="Z444">
        <v>0.8975206611570248</v>
      </c>
      <c r="AA444">
        <v>0.3784219001610306</v>
      </c>
      <c r="AB444">
        <v>0.0819935691318328</v>
      </c>
      <c r="AC444">
        <v>0.2781350482315113</v>
      </c>
      <c r="AD444">
        <v>0.4469453376205788</v>
      </c>
    </row>
    <row r="445" spans="1:30">
      <c r="A445" s="1" t="s">
        <v>452</v>
      </c>
      <c r="B445">
        <f>HYPERLINK("https://www.suredividend.com/sure-analysis-APAM/","Artisan Partners Asset Management, Inc.")</f>
        <v>0</v>
      </c>
      <c r="C445">
        <v>34.28</v>
      </c>
      <c r="D445">
        <v>2694.078638</v>
      </c>
      <c r="E445" t="s">
        <v>663</v>
      </c>
      <c r="F445" t="s">
        <v>631</v>
      </c>
      <c r="G445" t="s">
        <v>670</v>
      </c>
      <c r="H445" t="s">
        <v>699</v>
      </c>
      <c r="I445" t="s">
        <v>1144</v>
      </c>
      <c r="J445" t="s">
        <v>1311</v>
      </c>
      <c r="K445">
        <v>43954</v>
      </c>
      <c r="L445">
        <v>0.07234539089848301</v>
      </c>
      <c r="M445">
        <v>-0.03289988055289284</v>
      </c>
      <c r="N445">
        <v>0.03</v>
      </c>
      <c r="O445">
        <v>0.06314605195426526</v>
      </c>
      <c r="P445" t="s">
        <v>300</v>
      </c>
      <c r="Q445" t="s">
        <v>383</v>
      </c>
      <c r="R445">
        <v>0</v>
      </c>
      <c r="S445">
        <v>1.033333333333333</v>
      </c>
      <c r="T445">
        <v>29</v>
      </c>
      <c r="U445">
        <v>1.182068965517241</v>
      </c>
      <c r="V445">
        <v>2.6717</v>
      </c>
      <c r="W445">
        <v>2.4</v>
      </c>
      <c r="X445">
        <v>2.48</v>
      </c>
      <c r="Y445">
        <v>0.191933</v>
      </c>
      <c r="Z445">
        <v>0.7950413223140496</v>
      </c>
      <c r="AA445">
        <v>0.8534621578099839</v>
      </c>
      <c r="AB445">
        <v>0.247588424437299</v>
      </c>
      <c r="AC445">
        <v>0.3810289389067524</v>
      </c>
      <c r="AD445">
        <v>0.4356913183279743</v>
      </c>
    </row>
    <row r="446" spans="1:30">
      <c r="A446" s="1" t="s">
        <v>453</v>
      </c>
      <c r="B446">
        <f>HYPERLINK("https://www.suredividend.com/sure-analysis-IDEXY/","Industria de Diseño Textil SA")</f>
        <v>0</v>
      </c>
      <c r="C446">
        <v>13.21</v>
      </c>
      <c r="D446">
        <v>82285.740355</v>
      </c>
      <c r="E446" t="s">
        <v>665</v>
      </c>
      <c r="F446" t="s">
        <v>631</v>
      </c>
      <c r="G446" t="s">
        <v>678</v>
      </c>
      <c r="H446" t="s">
        <v>700</v>
      </c>
      <c r="I446" t="s">
        <v>1145</v>
      </c>
      <c r="J446" t="s">
        <v>1312</v>
      </c>
      <c r="K446">
        <v>44012</v>
      </c>
      <c r="L446">
        <v>0.018554125662376</v>
      </c>
      <c r="M446">
        <v>-0.03161079184614524</v>
      </c>
      <c r="N446">
        <v>0.08</v>
      </c>
      <c r="O446">
        <v>0.06303845297017108</v>
      </c>
      <c r="P446" t="s">
        <v>300</v>
      </c>
      <c r="Q446" t="s">
        <v>558</v>
      </c>
      <c r="R446">
        <v>0</v>
      </c>
      <c r="S446">
        <v>0.5446666666666666</v>
      </c>
      <c r="T446">
        <v>11.25</v>
      </c>
      <c r="U446">
        <v>1.174222222222222</v>
      </c>
      <c r="V446">
        <v>0.672</v>
      </c>
      <c r="W446">
        <v>0.45</v>
      </c>
      <c r="X446">
        <v>0.2451</v>
      </c>
      <c r="Y446">
        <v>-0.148291</v>
      </c>
      <c r="Z446">
        <v>0.2115702479338843</v>
      </c>
      <c r="AA446">
        <v>0.4750402576489533</v>
      </c>
      <c r="AB446">
        <v>0.8127009646302251</v>
      </c>
      <c r="AC446">
        <v>0.3954983922829582</v>
      </c>
      <c r="AD446">
        <v>0.4324758842443729</v>
      </c>
    </row>
    <row r="447" spans="1:30">
      <c r="A447" s="1" t="s">
        <v>454</v>
      </c>
      <c r="B447">
        <f>HYPERLINK("https://www.suredividend.com/sure-analysis-QSR/","Restaurant Brands International, Inc.")</f>
        <v>0</v>
      </c>
      <c r="C447">
        <v>57.62</v>
      </c>
      <c r="D447">
        <v>26721.514296</v>
      </c>
      <c r="E447" t="s">
        <v>662</v>
      </c>
      <c r="F447" t="s">
        <v>631</v>
      </c>
      <c r="G447" t="s">
        <v>671</v>
      </c>
      <c r="H447" t="s">
        <v>699</v>
      </c>
      <c r="I447" t="s">
        <v>1146</v>
      </c>
      <c r="J447" t="s">
        <v>1312</v>
      </c>
      <c r="K447">
        <v>43959</v>
      </c>
      <c r="L447">
        <v>0.03541239612193</v>
      </c>
      <c r="M447">
        <v>-0.08978109935554901</v>
      </c>
      <c r="N447">
        <v>0.13</v>
      </c>
      <c r="O447">
        <v>0.06247755422480994</v>
      </c>
      <c r="P447" t="s">
        <v>300</v>
      </c>
      <c r="Q447" t="s">
        <v>300</v>
      </c>
      <c r="R447">
        <v>8</v>
      </c>
      <c r="S447">
        <v>1.020231132272815</v>
      </c>
      <c r="T447">
        <v>36</v>
      </c>
      <c r="U447">
        <v>1.600555555555556</v>
      </c>
      <c r="V447">
        <v>2.345</v>
      </c>
      <c r="W447">
        <v>2</v>
      </c>
      <c r="X447">
        <v>2.04046226454563</v>
      </c>
      <c r="Y447">
        <v>-0.211765</v>
      </c>
      <c r="Z447">
        <v>0.4859504132231405</v>
      </c>
      <c r="AA447">
        <v>0.392914653784219</v>
      </c>
      <c r="AB447">
        <v>0.9606109324758844</v>
      </c>
      <c r="AC447">
        <v>0.1173633440514469</v>
      </c>
      <c r="AD447">
        <v>0.4292604501607717</v>
      </c>
    </row>
    <row r="448" spans="1:30">
      <c r="A448" s="1" t="s">
        <v>455</v>
      </c>
      <c r="B448">
        <f>HYPERLINK("https://www.suredividend.com/sure-analysis-JCI/","Johnson Controls International Plc")</f>
        <v>0</v>
      </c>
      <c r="C448">
        <v>37.67</v>
      </c>
      <c r="D448">
        <v>28021.28154</v>
      </c>
      <c r="E448" t="s">
        <v>659</v>
      </c>
      <c r="F448" t="s">
        <v>631</v>
      </c>
      <c r="G448" t="s">
        <v>675</v>
      </c>
      <c r="H448" t="s">
        <v>699</v>
      </c>
      <c r="I448" t="s">
        <v>1147</v>
      </c>
      <c r="J448" t="s">
        <v>1313</v>
      </c>
      <c r="K448">
        <v>43958</v>
      </c>
      <c r="L448">
        <v>0.027608176267586</v>
      </c>
      <c r="M448">
        <v>-0.05096883240294958</v>
      </c>
      <c r="N448">
        <v>0.09</v>
      </c>
      <c r="O448">
        <v>0.06140443038709398</v>
      </c>
      <c r="P448" t="s">
        <v>300</v>
      </c>
      <c r="Q448" t="s">
        <v>300</v>
      </c>
      <c r="R448">
        <v>0</v>
      </c>
      <c r="S448">
        <v>0.5777777777777778</v>
      </c>
      <c r="T448">
        <v>29</v>
      </c>
      <c r="U448">
        <v>1.298965517241379</v>
      </c>
      <c r="V448">
        <v>0.1113</v>
      </c>
      <c r="W448">
        <v>1.8</v>
      </c>
      <c r="X448">
        <v>1.04</v>
      </c>
      <c r="Y448">
        <v>-0.08501299999999999</v>
      </c>
      <c r="Z448">
        <v>0.3619834710743802</v>
      </c>
      <c r="AA448">
        <v>0.5603864734299517</v>
      </c>
      <c r="AB448">
        <v>0.8633440514469453</v>
      </c>
      <c r="AC448">
        <v>0.2893890675241158</v>
      </c>
      <c r="AD448">
        <v>0.4260450160771704</v>
      </c>
    </row>
    <row r="449" spans="1:30">
      <c r="A449" s="1" t="s">
        <v>456</v>
      </c>
      <c r="B449">
        <f>HYPERLINK("https://www.suredividend.com/sure-analysis-DREUF/","Dream Industrial Real Estate Investment Trust")</f>
        <v>0</v>
      </c>
      <c r="C449">
        <v>7.93</v>
      </c>
      <c r="D449">
        <v>1357.78931</v>
      </c>
      <c r="E449" t="s">
        <v>669</v>
      </c>
      <c r="F449" t="s">
        <v>633</v>
      </c>
      <c r="G449" t="s">
        <v>671</v>
      </c>
      <c r="H449" t="s">
        <v>700</v>
      </c>
      <c r="I449" t="s">
        <v>1148</v>
      </c>
      <c r="J449" t="s">
        <v>1311</v>
      </c>
      <c r="K449">
        <v>44006</v>
      </c>
      <c r="L449">
        <v>0.06632595767946001</v>
      </c>
      <c r="M449">
        <v>-0.05425160570692911</v>
      </c>
      <c r="N449">
        <v>0.052</v>
      </c>
      <c r="O449">
        <v>0.05950603914733743</v>
      </c>
      <c r="P449" t="s">
        <v>300</v>
      </c>
      <c r="Q449" t="s">
        <v>383</v>
      </c>
      <c r="R449">
        <v>0</v>
      </c>
      <c r="S449">
        <v>0.7513783491401702</v>
      </c>
      <c r="T449">
        <v>6</v>
      </c>
      <c r="U449">
        <v>1.321666666666667</v>
      </c>
      <c r="V449">
        <v>1.1947</v>
      </c>
      <c r="W449">
        <v>0.7</v>
      </c>
      <c r="X449">
        <v>0.5259648443981191</v>
      </c>
      <c r="Y449">
        <v>-0.130088</v>
      </c>
      <c r="Z449">
        <v>0.7669421487603306</v>
      </c>
      <c r="AA449">
        <v>0.5040257648953301</v>
      </c>
      <c r="AB449">
        <v>0.5836012861736335</v>
      </c>
      <c r="AC449">
        <v>0.2620578778135048</v>
      </c>
      <c r="AD449">
        <v>0.4147909967845659</v>
      </c>
    </row>
    <row r="450" spans="1:30">
      <c r="A450" s="1" t="s">
        <v>457</v>
      </c>
      <c r="B450">
        <f>HYPERLINK("https://www.suredividend.com/sure-analysis-EQR/","Equity Residential")</f>
        <v>0</v>
      </c>
      <c r="C450">
        <v>56.98</v>
      </c>
      <c r="D450">
        <v>21203.73948</v>
      </c>
      <c r="E450" t="s">
        <v>669</v>
      </c>
      <c r="F450" t="s">
        <v>633</v>
      </c>
      <c r="G450" t="s">
        <v>670</v>
      </c>
      <c r="H450" t="s">
        <v>699</v>
      </c>
      <c r="I450" t="s">
        <v>1149</v>
      </c>
      <c r="J450" t="s">
        <v>1321</v>
      </c>
      <c r="K450">
        <v>44006</v>
      </c>
      <c r="L450">
        <v>0.04045279045279</v>
      </c>
      <c r="M450">
        <v>-0.02193088261246567</v>
      </c>
      <c r="N450">
        <v>0.045</v>
      </c>
      <c r="O450">
        <v>0.05837463347185201</v>
      </c>
      <c r="P450" t="s">
        <v>300</v>
      </c>
      <c r="Q450" t="s">
        <v>300</v>
      </c>
      <c r="R450">
        <v>9</v>
      </c>
      <c r="S450">
        <v>0.7683333333333334</v>
      </c>
      <c r="T450">
        <v>51</v>
      </c>
      <c r="U450">
        <v>1.117254901960784</v>
      </c>
      <c r="V450">
        <v>3.2099</v>
      </c>
      <c r="W450">
        <v>3</v>
      </c>
      <c r="X450">
        <v>2.305</v>
      </c>
      <c r="Y450">
        <v>-0.274971</v>
      </c>
      <c r="Z450">
        <v>0.5520661157024793</v>
      </c>
      <c r="AA450">
        <v>0.3123993558776167</v>
      </c>
      <c r="AB450">
        <v>0.4381028938906752</v>
      </c>
      <c r="AC450">
        <v>0.4742765273311897</v>
      </c>
      <c r="AD450">
        <v>0.4083601286173634</v>
      </c>
    </row>
    <row r="451" spans="1:30">
      <c r="A451" s="1" t="s">
        <v>458</v>
      </c>
      <c r="B451">
        <f>HYPERLINK("https://www.suredividend.com/sure-analysis-EXC/","Exelon Corp.")</f>
        <v>0</v>
      </c>
      <c r="C451">
        <v>39.4</v>
      </c>
      <c r="D451">
        <v>38391.6752</v>
      </c>
      <c r="E451" t="s">
        <v>664</v>
      </c>
      <c r="F451" t="s">
        <v>631</v>
      </c>
      <c r="G451" t="s">
        <v>670</v>
      </c>
      <c r="H451" t="s">
        <v>701</v>
      </c>
      <c r="I451" t="s">
        <v>1150</v>
      </c>
      <c r="J451" t="s">
        <v>1315</v>
      </c>
      <c r="K451">
        <v>43963</v>
      </c>
      <c r="L451">
        <v>0.03730964467005</v>
      </c>
      <c r="M451">
        <v>0.003027300609498074</v>
      </c>
      <c r="N451">
        <v>0.02</v>
      </c>
      <c r="O451">
        <v>0.05822807880780867</v>
      </c>
      <c r="P451" t="s">
        <v>300</v>
      </c>
      <c r="Q451" t="s">
        <v>300</v>
      </c>
      <c r="R451">
        <v>5</v>
      </c>
      <c r="S451">
        <v>0.4983050847457627</v>
      </c>
      <c r="T451">
        <v>40</v>
      </c>
      <c r="U451">
        <v>0.985</v>
      </c>
      <c r="V451">
        <v>2.6819</v>
      </c>
      <c r="W451">
        <v>2.95</v>
      </c>
      <c r="X451">
        <v>1.47</v>
      </c>
      <c r="Y451">
        <v>-0.192063</v>
      </c>
      <c r="Z451">
        <v>0.5140495867768595</v>
      </c>
      <c r="AA451">
        <v>0.4219001610305959</v>
      </c>
      <c r="AB451">
        <v>0.157556270096463</v>
      </c>
      <c r="AC451">
        <v>0.6205787781350482</v>
      </c>
      <c r="AD451">
        <v>0.4051446945337621</v>
      </c>
    </row>
    <row r="452" spans="1:30">
      <c r="A452" s="1" t="s">
        <v>459</v>
      </c>
      <c r="B452">
        <f>HYPERLINK("https://www.suredividend.com/sure-analysis-DRETF/","Dream Office Real Estate Investment Trust")</f>
        <v>0</v>
      </c>
      <c r="C452">
        <v>14.81</v>
      </c>
      <c r="D452">
        <v>899.999598</v>
      </c>
      <c r="E452" t="s">
        <v>669</v>
      </c>
      <c r="F452" t="s">
        <v>631</v>
      </c>
      <c r="G452" t="s">
        <v>671</v>
      </c>
      <c r="H452" t="s">
        <v>700</v>
      </c>
      <c r="I452" t="s">
        <v>1151</v>
      </c>
      <c r="J452" t="s">
        <v>1311</v>
      </c>
      <c r="K452">
        <v>44012</v>
      </c>
      <c r="L452">
        <v>0.050735397072785</v>
      </c>
      <c r="M452">
        <v>-0.01835209967808049</v>
      </c>
      <c r="N452">
        <v>0.031</v>
      </c>
      <c r="O452">
        <v>0.05701925138830632</v>
      </c>
      <c r="P452" t="s">
        <v>300</v>
      </c>
      <c r="Q452" t="s">
        <v>383</v>
      </c>
      <c r="R452">
        <v>0</v>
      </c>
      <c r="S452">
        <v>0.5009274870986388</v>
      </c>
      <c r="T452">
        <v>13.5</v>
      </c>
      <c r="U452">
        <v>1.097037037037037</v>
      </c>
      <c r="V452">
        <v>2.0648</v>
      </c>
      <c r="W452">
        <v>1.5</v>
      </c>
      <c r="X452">
        <v>0.7513912306479581</v>
      </c>
      <c r="Y452">
        <v>-0.20649</v>
      </c>
      <c r="Z452">
        <v>0.6578512396694215</v>
      </c>
      <c r="AA452">
        <v>0.3961352657004831</v>
      </c>
      <c r="AB452">
        <v>0.2934083601286174</v>
      </c>
      <c r="AC452">
        <v>0.4951768488745981</v>
      </c>
      <c r="AD452">
        <v>0.3938906752411575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27.11</v>
      </c>
      <c r="D453">
        <v>14592.4997</v>
      </c>
      <c r="E453" t="s">
        <v>662</v>
      </c>
      <c r="F453" t="s">
        <v>633</v>
      </c>
      <c r="G453" t="s">
        <v>670</v>
      </c>
      <c r="H453" t="s">
        <v>699</v>
      </c>
      <c r="I453" t="s">
        <v>1152</v>
      </c>
      <c r="J453" t="s">
        <v>1321</v>
      </c>
      <c r="K453">
        <v>43977</v>
      </c>
      <c r="L453">
        <v>0.05459240132792301</v>
      </c>
      <c r="M453">
        <v>-0.02407522138711138</v>
      </c>
      <c r="N453">
        <v>0.03</v>
      </c>
      <c r="O453">
        <v>0.05517387683862984</v>
      </c>
      <c r="P453" t="s">
        <v>300</v>
      </c>
      <c r="Q453" t="s">
        <v>300</v>
      </c>
      <c r="R453">
        <v>0</v>
      </c>
      <c r="S453">
        <v>0.896969696969697</v>
      </c>
      <c r="T453">
        <v>24</v>
      </c>
      <c r="U453">
        <v>1.129583333333333</v>
      </c>
      <c r="V453">
        <v>0.5114000000000001</v>
      </c>
      <c r="W453">
        <v>1.65</v>
      </c>
      <c r="X453">
        <v>1.48</v>
      </c>
      <c r="Y453">
        <v>-0.169424</v>
      </c>
      <c r="Z453">
        <v>0.6826446280991736</v>
      </c>
      <c r="AA453">
        <v>0.4476650563607085</v>
      </c>
      <c r="AB453">
        <v>0.247588424437299</v>
      </c>
      <c r="AC453">
        <v>0.454983922829582</v>
      </c>
      <c r="AD453">
        <v>0.3826366559485531</v>
      </c>
    </row>
    <row r="454" spans="1:30">
      <c r="A454" s="1" t="s">
        <v>461</v>
      </c>
      <c r="B454">
        <f>HYPERLINK("https://www.suredividend.com/sure-analysis-MIC/","Macquarie Infrastructure Corp.")</f>
        <v>0</v>
      </c>
      <c r="C454">
        <v>32.23</v>
      </c>
      <c r="D454">
        <v>2795.697883</v>
      </c>
      <c r="E454" t="s">
        <v>660</v>
      </c>
      <c r="F454" t="s">
        <v>631</v>
      </c>
      <c r="G454" t="s">
        <v>670</v>
      </c>
      <c r="H454" t="s">
        <v>699</v>
      </c>
      <c r="I454" t="s">
        <v>1153</v>
      </c>
      <c r="J454" t="s">
        <v>1313</v>
      </c>
      <c r="K454">
        <v>43969</v>
      </c>
      <c r="L454">
        <v>0.124107973937325</v>
      </c>
      <c r="M454">
        <v>0.0334861435864553</v>
      </c>
      <c r="N454">
        <v>0.02</v>
      </c>
      <c r="O454">
        <v>0.05415586645818427</v>
      </c>
      <c r="P454" t="s">
        <v>300</v>
      </c>
      <c r="Q454" t="s">
        <v>636</v>
      </c>
      <c r="R454">
        <v>0</v>
      </c>
      <c r="S454">
        <v>1</v>
      </c>
      <c r="T454">
        <v>38</v>
      </c>
      <c r="U454">
        <v>0.848157894736842</v>
      </c>
      <c r="V454">
        <v>1.1236</v>
      </c>
      <c r="W454">
        <v>4</v>
      </c>
      <c r="X454">
        <v>4</v>
      </c>
      <c r="Y454">
        <v>-0.219802</v>
      </c>
      <c r="Z454">
        <v>0.9057851239669421</v>
      </c>
      <c r="AA454">
        <v>0.3816425120772947</v>
      </c>
      <c r="AB454">
        <v>0.157556270096463</v>
      </c>
      <c r="AC454">
        <v>0.787781350482315</v>
      </c>
      <c r="AD454">
        <v>0.3794212218649518</v>
      </c>
    </row>
    <row r="455" spans="1:30">
      <c r="A455" s="1" t="s">
        <v>462</v>
      </c>
      <c r="B455">
        <f>HYPERLINK("https://www.suredividend.com/sure-analysis-ALV/","Autoliv, Inc.")</f>
        <v>0</v>
      </c>
      <c r="C455">
        <v>64.51000000000001</v>
      </c>
      <c r="D455">
        <v>5632.735807</v>
      </c>
      <c r="E455" t="s">
        <v>663</v>
      </c>
      <c r="F455" t="s">
        <v>631</v>
      </c>
      <c r="G455" t="s">
        <v>688</v>
      </c>
      <c r="H455" t="s">
        <v>699</v>
      </c>
      <c r="I455" t="s">
        <v>1154</v>
      </c>
      <c r="J455" t="s">
        <v>1312</v>
      </c>
      <c r="K455">
        <v>43950</v>
      </c>
      <c r="L455">
        <v>0.038443652146953</v>
      </c>
      <c r="M455">
        <v>-0.01439058891555123</v>
      </c>
      <c r="N455">
        <v>0.05</v>
      </c>
      <c r="O455">
        <v>0.05386930253363076</v>
      </c>
      <c r="P455" t="s">
        <v>300</v>
      </c>
      <c r="Q455" t="s">
        <v>300</v>
      </c>
      <c r="R455">
        <v>10</v>
      </c>
      <c r="S455">
        <v>0.9018181818181819</v>
      </c>
      <c r="T455">
        <v>60</v>
      </c>
      <c r="U455">
        <v>1.075166666666667</v>
      </c>
      <c r="V455">
        <v>1.6194</v>
      </c>
      <c r="W455">
        <v>2.75</v>
      </c>
      <c r="X455">
        <v>2.48</v>
      </c>
      <c r="Y455">
        <v>-0.075391</v>
      </c>
      <c r="Z455">
        <v>0.5272727272727272</v>
      </c>
      <c r="AA455">
        <v>0.5893719806763285</v>
      </c>
      <c r="AB455">
        <v>0.5160771704180064</v>
      </c>
      <c r="AC455">
        <v>0.5257234726688104</v>
      </c>
      <c r="AD455">
        <v>0.3762057877813505</v>
      </c>
    </row>
    <row r="456" spans="1:30">
      <c r="A456" s="1" t="s">
        <v>463</v>
      </c>
      <c r="B456">
        <f>HYPERLINK("https://www.suredividend.com/sure-analysis-TJX/","The TJX Cos., Inc.")</f>
        <v>0</v>
      </c>
      <c r="C456">
        <v>52.91</v>
      </c>
      <c r="D456">
        <v>63379.8308</v>
      </c>
      <c r="E456" t="s">
        <v>668</v>
      </c>
      <c r="F456" t="s">
        <v>631</v>
      </c>
      <c r="G456" t="s">
        <v>670</v>
      </c>
      <c r="H456" t="s">
        <v>699</v>
      </c>
      <c r="I456" t="s">
        <v>1155</v>
      </c>
      <c r="J456" t="s">
        <v>1312</v>
      </c>
      <c r="K456">
        <v>44021</v>
      </c>
      <c r="L456">
        <v>0.013041013041013</v>
      </c>
      <c r="M456">
        <v>-0.01928979342713277</v>
      </c>
      <c r="N456">
        <v>0.059</v>
      </c>
      <c r="O456">
        <v>0.05214511734825744</v>
      </c>
      <c r="P456" t="s">
        <v>300</v>
      </c>
      <c r="Q456" t="s">
        <v>558</v>
      </c>
      <c r="R456">
        <v>0</v>
      </c>
      <c r="S456">
        <v>1.30188679245283</v>
      </c>
      <c r="T456">
        <v>48</v>
      </c>
      <c r="U456">
        <v>1.102291666666667</v>
      </c>
      <c r="V456">
        <v>1.3926</v>
      </c>
      <c r="W456">
        <v>0.53</v>
      </c>
      <c r="X456">
        <v>0.6900000000000001</v>
      </c>
      <c r="Y456">
        <v>-0.041833</v>
      </c>
      <c r="Z456">
        <v>0.1107438016528926</v>
      </c>
      <c r="AA456">
        <v>0.6409017713365539</v>
      </c>
      <c r="AB456">
        <v>0.6028938906752411</v>
      </c>
      <c r="AC456">
        <v>0.4855305466237942</v>
      </c>
      <c r="AD456">
        <v>0.3665594855305466</v>
      </c>
    </row>
    <row r="457" spans="1:30">
      <c r="A457" s="1" t="s">
        <v>464</v>
      </c>
      <c r="B457">
        <f>HYPERLINK("https://www.suredividend.com/sure-analysis-BGS/","B&amp;G Foods, Inc.")</f>
        <v>0</v>
      </c>
      <c r="C457">
        <v>26.1</v>
      </c>
      <c r="D457">
        <v>1673.54505</v>
      </c>
      <c r="E457" t="s">
        <v>659</v>
      </c>
      <c r="F457" t="s">
        <v>631</v>
      </c>
      <c r="G457" t="s">
        <v>670</v>
      </c>
      <c r="H457" t="s">
        <v>699</v>
      </c>
      <c r="I457" t="s">
        <v>1156</v>
      </c>
      <c r="J457" t="s">
        <v>1318</v>
      </c>
      <c r="K457">
        <v>43964</v>
      </c>
      <c r="L457">
        <v>0.07279693486590001</v>
      </c>
      <c r="M457">
        <v>-0.03360108274668594</v>
      </c>
      <c r="N457">
        <v>0.02</v>
      </c>
      <c r="O457">
        <v>0.05130225895109186</v>
      </c>
      <c r="P457" t="s">
        <v>300</v>
      </c>
      <c r="Q457" t="s">
        <v>383</v>
      </c>
      <c r="R457">
        <v>9</v>
      </c>
      <c r="S457">
        <v>1.027027027027027</v>
      </c>
      <c r="T457">
        <v>22</v>
      </c>
      <c r="U457">
        <v>1.186363636363637</v>
      </c>
      <c r="V457">
        <v>1.3558</v>
      </c>
      <c r="W457">
        <v>1.85</v>
      </c>
      <c r="X457">
        <v>1.9</v>
      </c>
      <c r="Y457">
        <v>0.282555</v>
      </c>
      <c r="Z457">
        <v>0.7983471074380165</v>
      </c>
      <c r="AA457">
        <v>0.9082125603864735</v>
      </c>
      <c r="AB457">
        <v>0.157556270096463</v>
      </c>
      <c r="AC457">
        <v>0.3794212218649518</v>
      </c>
      <c r="AD457">
        <v>0.3617363344051447</v>
      </c>
    </row>
    <row r="458" spans="1:30">
      <c r="A458" s="1" t="s">
        <v>465</v>
      </c>
      <c r="B458">
        <f>HYPERLINK("https://www.suredividend.com/sure-analysis-BHP/","BHP Group Ltd.")</f>
        <v>0</v>
      </c>
      <c r="C458">
        <v>53.84</v>
      </c>
      <c r="D458">
        <v>79271.36936</v>
      </c>
      <c r="E458" t="s">
        <v>662</v>
      </c>
      <c r="F458" t="s">
        <v>631</v>
      </c>
      <c r="G458" t="s">
        <v>694</v>
      </c>
      <c r="H458" t="s">
        <v>699</v>
      </c>
      <c r="I458" t="s">
        <v>1157</v>
      </c>
      <c r="J458" t="s">
        <v>1319</v>
      </c>
      <c r="K458">
        <v>43985</v>
      </c>
      <c r="L458">
        <v>0.05312035661218401</v>
      </c>
      <c r="M458">
        <v>-0.003140014168163008</v>
      </c>
      <c r="N458">
        <v>0.01</v>
      </c>
      <c r="O458">
        <v>0.04934813317210374</v>
      </c>
      <c r="P458" t="s">
        <v>300</v>
      </c>
      <c r="Q458" t="s">
        <v>383</v>
      </c>
      <c r="R458">
        <v>3</v>
      </c>
      <c r="S458">
        <v>0.7526315789473684</v>
      </c>
      <c r="T458">
        <v>53</v>
      </c>
      <c r="U458">
        <v>1.015849056603774</v>
      </c>
      <c r="V458">
        <v>3.7318</v>
      </c>
      <c r="W458">
        <v>3.8</v>
      </c>
      <c r="X458">
        <v>2.86</v>
      </c>
      <c r="Y458">
        <v>-0.069156</v>
      </c>
      <c r="Z458">
        <v>0.6743801652892562</v>
      </c>
      <c r="AA458">
        <v>0.6038647342995169</v>
      </c>
      <c r="AB458">
        <v>0.0819935691318328</v>
      </c>
      <c r="AC458">
        <v>0.590032154340836</v>
      </c>
      <c r="AD458">
        <v>0.3520900321543408</v>
      </c>
    </row>
    <row r="459" spans="1:30">
      <c r="A459" s="1" t="s">
        <v>466</v>
      </c>
      <c r="B459">
        <f>HYPERLINK("https://www.suredividend.com/sure-analysis-TCO/","Taubman Centers, Inc.")</f>
        <v>0</v>
      </c>
      <c r="C459">
        <v>38.42</v>
      </c>
      <c r="D459">
        <v>2367.263668</v>
      </c>
      <c r="E459" t="s">
        <v>660</v>
      </c>
      <c r="F459" t="s">
        <v>633</v>
      </c>
      <c r="G459" t="s">
        <v>670</v>
      </c>
      <c r="H459" t="s">
        <v>699</v>
      </c>
      <c r="I459" t="s">
        <v>1158</v>
      </c>
      <c r="J459" t="s">
        <v>1321</v>
      </c>
      <c r="K459">
        <v>43976</v>
      </c>
      <c r="L459">
        <v>0.070275897969807</v>
      </c>
      <c r="M459">
        <v>-0.03590790134204791</v>
      </c>
      <c r="N459">
        <v>0.02</v>
      </c>
      <c r="O459">
        <v>0.04912422328720401</v>
      </c>
      <c r="P459" t="s">
        <v>300</v>
      </c>
      <c r="Q459" t="s">
        <v>383</v>
      </c>
      <c r="R459">
        <v>10</v>
      </c>
      <c r="S459">
        <v>1.35</v>
      </c>
      <c r="T459">
        <v>32</v>
      </c>
      <c r="U459">
        <v>1.200625</v>
      </c>
      <c r="V459">
        <v>-2.206</v>
      </c>
      <c r="W459">
        <v>2</v>
      </c>
      <c r="X459">
        <v>2.7</v>
      </c>
      <c r="Y459">
        <v>-0.04948</v>
      </c>
      <c r="Z459">
        <v>0.7900826446280992</v>
      </c>
      <c r="AA459">
        <v>0.6247987117552335</v>
      </c>
      <c r="AB459">
        <v>0.157556270096463</v>
      </c>
      <c r="AC459">
        <v>0.3665594855305466</v>
      </c>
      <c r="AD459">
        <v>0.3488745980707395</v>
      </c>
    </row>
    <row r="460" spans="1:30">
      <c r="A460" s="1" t="s">
        <v>467</v>
      </c>
      <c r="B460">
        <f>HYPERLINK("https://www.suredividend.com/sure-analysis-GOOD/","Gladstone Commercial Corp.")</f>
        <v>0</v>
      </c>
      <c r="C460">
        <v>18.58</v>
      </c>
      <c r="D460">
        <v>645.0607</v>
      </c>
      <c r="E460" t="s">
        <v>663</v>
      </c>
      <c r="F460" t="s">
        <v>633</v>
      </c>
      <c r="G460" t="s">
        <v>670</v>
      </c>
      <c r="H460" t="s">
        <v>701</v>
      </c>
      <c r="I460" t="s">
        <v>1101</v>
      </c>
      <c r="J460" t="s">
        <v>1321</v>
      </c>
      <c r="K460">
        <v>43966</v>
      </c>
      <c r="L460">
        <v>0.08078040904198</v>
      </c>
      <c r="M460">
        <v>-0.02945683688354062</v>
      </c>
      <c r="N460">
        <v>0</v>
      </c>
      <c r="O460">
        <v>0.0481041257058723</v>
      </c>
      <c r="P460" t="s">
        <v>300</v>
      </c>
      <c r="Q460" t="s">
        <v>383</v>
      </c>
      <c r="R460">
        <v>0</v>
      </c>
      <c r="S460">
        <v>0.9683225806451613</v>
      </c>
      <c r="T460">
        <v>16</v>
      </c>
      <c r="U460">
        <v>1.16125</v>
      </c>
      <c r="V460">
        <v>-0.2034</v>
      </c>
      <c r="W460">
        <v>1.55</v>
      </c>
      <c r="X460">
        <v>1.5009</v>
      </c>
      <c r="Y460">
        <v>-0.132991</v>
      </c>
      <c r="Z460">
        <v>0.8264462809917356</v>
      </c>
      <c r="AA460">
        <v>0.4975845410628019</v>
      </c>
      <c r="AB460">
        <v>0.04180064308681672</v>
      </c>
      <c r="AC460">
        <v>0.4163987138263666</v>
      </c>
      <c r="AD460">
        <v>0.3424437299035369</v>
      </c>
    </row>
    <row r="461" spans="1:30">
      <c r="A461" s="1" t="s">
        <v>468</v>
      </c>
      <c r="B461">
        <f>HYPERLINK("https://www.suredividend.com/sure-analysis-KHC/","The Kraft Heinz Co.")</f>
        <v>0</v>
      </c>
      <c r="C461">
        <v>35.01</v>
      </c>
      <c r="D461">
        <v>42776.2683</v>
      </c>
      <c r="E461" t="s">
        <v>660</v>
      </c>
      <c r="F461" t="s">
        <v>631</v>
      </c>
      <c r="G461" t="s">
        <v>670</v>
      </c>
      <c r="H461" t="s">
        <v>701</v>
      </c>
      <c r="I461" t="s">
        <v>1159</v>
      </c>
      <c r="J461" t="s">
        <v>1318</v>
      </c>
      <c r="K461">
        <v>43963</v>
      </c>
      <c r="L461">
        <v>0.045701228220508</v>
      </c>
      <c r="M461">
        <v>-0.02403573414840665</v>
      </c>
      <c r="N461">
        <v>0.03</v>
      </c>
      <c r="O461">
        <v>0.04647447323552445</v>
      </c>
      <c r="P461" t="s">
        <v>300</v>
      </c>
      <c r="Q461" t="s">
        <v>300</v>
      </c>
      <c r="R461">
        <v>0</v>
      </c>
      <c r="S461">
        <v>0.6808510638297872</v>
      </c>
      <c r="T461">
        <v>31</v>
      </c>
      <c r="U461">
        <v>1.129354838709677</v>
      </c>
      <c r="V461">
        <v>1.5627</v>
      </c>
      <c r="W461">
        <v>2.35</v>
      </c>
      <c r="X461">
        <v>1.6</v>
      </c>
      <c r="Y461">
        <v>0.127536</v>
      </c>
      <c r="Z461">
        <v>0.6066115702479339</v>
      </c>
      <c r="AA461">
        <v>0.8099838969404186</v>
      </c>
      <c r="AB461">
        <v>0.247588424437299</v>
      </c>
      <c r="AC461">
        <v>0.4565916398713826</v>
      </c>
      <c r="AD461">
        <v>0.3247588424437299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16.36</v>
      </c>
      <c r="D462">
        <v>6938.276</v>
      </c>
      <c r="E462" t="s">
        <v>663</v>
      </c>
      <c r="F462" t="s">
        <v>631</v>
      </c>
      <c r="G462" t="s">
        <v>670</v>
      </c>
      <c r="H462" t="s">
        <v>701</v>
      </c>
      <c r="I462" t="s">
        <v>1160</v>
      </c>
      <c r="J462" t="s">
        <v>1318</v>
      </c>
      <c r="K462">
        <v>43977</v>
      </c>
      <c r="L462">
        <v>0.056234718826405</v>
      </c>
      <c r="M462">
        <v>-0.04493702163385949</v>
      </c>
      <c r="N462">
        <v>0.04</v>
      </c>
      <c r="O462">
        <v>0.04529662108888566</v>
      </c>
      <c r="P462" t="s">
        <v>300</v>
      </c>
      <c r="Q462" t="s">
        <v>300</v>
      </c>
      <c r="R462">
        <v>0</v>
      </c>
      <c r="S462">
        <v>0.92</v>
      </c>
      <c r="T462">
        <v>13</v>
      </c>
      <c r="U462">
        <v>1.258461538461539</v>
      </c>
      <c r="V462">
        <v>-2.409</v>
      </c>
      <c r="W462">
        <v>1</v>
      </c>
      <c r="X462">
        <v>0.92</v>
      </c>
      <c r="Y462">
        <v>0.115201</v>
      </c>
      <c r="Z462">
        <v>0.6942148760330579</v>
      </c>
      <c r="AA462">
        <v>0.8035426731078905</v>
      </c>
      <c r="AB462">
        <v>0.3794212218649518</v>
      </c>
      <c r="AC462">
        <v>0.3151125401929261</v>
      </c>
      <c r="AD462">
        <v>0.3151125401929261</v>
      </c>
    </row>
    <row r="463" spans="1:30">
      <c r="A463" s="1" t="s">
        <v>470</v>
      </c>
      <c r="B463">
        <f>HYPERLINK("https://www.suredividend.com/sure-analysis-GLW/","Corning, Inc.")</f>
        <v>0</v>
      </c>
      <c r="C463">
        <v>29.04</v>
      </c>
      <c r="D463">
        <v>22097.92992</v>
      </c>
      <c r="E463" t="s">
        <v>659</v>
      </c>
      <c r="F463" t="s">
        <v>631</v>
      </c>
      <c r="G463" t="s">
        <v>670</v>
      </c>
      <c r="H463" t="s">
        <v>699</v>
      </c>
      <c r="I463" t="s">
        <v>1161</v>
      </c>
      <c r="J463" t="s">
        <v>1317</v>
      </c>
      <c r="K463">
        <v>43951</v>
      </c>
      <c r="L463">
        <v>0.02823691460055</v>
      </c>
      <c r="M463">
        <v>-0.04556524642503257</v>
      </c>
      <c r="N463">
        <v>0.06</v>
      </c>
      <c r="O463">
        <v>0.04416075865071378</v>
      </c>
      <c r="P463" t="s">
        <v>300</v>
      </c>
      <c r="Q463" t="s">
        <v>558</v>
      </c>
      <c r="R463">
        <v>10</v>
      </c>
      <c r="S463">
        <v>0.8200000000000001</v>
      </c>
      <c r="T463">
        <v>23</v>
      </c>
      <c r="U463">
        <v>1.262608695652174</v>
      </c>
      <c r="V463">
        <v>0.3435</v>
      </c>
      <c r="W463">
        <v>1</v>
      </c>
      <c r="X463">
        <v>0.8200000000000001</v>
      </c>
      <c r="Y463">
        <v>-0.124246</v>
      </c>
      <c r="Z463">
        <v>0.3702479338842975</v>
      </c>
      <c r="AA463">
        <v>0.5088566827697263</v>
      </c>
      <c r="AB463">
        <v>0.6463022508038585</v>
      </c>
      <c r="AC463">
        <v>0.3135048231511254</v>
      </c>
      <c r="AD463">
        <v>0.3102893890675241</v>
      </c>
    </row>
    <row r="464" spans="1:30">
      <c r="A464" s="1" t="s">
        <v>471</v>
      </c>
      <c r="B464">
        <f>HYPERLINK("https://www.suredividend.com/sure-analysis-DRI/","Darden Restaurants, Inc.")</f>
        <v>0</v>
      </c>
      <c r="C464">
        <v>77.51000000000001</v>
      </c>
      <c r="D464">
        <v>10066.92129</v>
      </c>
      <c r="E464" t="s">
        <v>667</v>
      </c>
      <c r="F464" t="s">
        <v>631</v>
      </c>
      <c r="G464" t="s">
        <v>670</v>
      </c>
      <c r="H464" t="s">
        <v>699</v>
      </c>
      <c r="I464" t="s">
        <v>1162</v>
      </c>
      <c r="J464" t="s">
        <v>1312</v>
      </c>
      <c r="K464">
        <v>44021</v>
      </c>
      <c r="L464">
        <v>0.022706747516449</v>
      </c>
      <c r="M464">
        <v>-0.07672915563525162</v>
      </c>
      <c r="N464">
        <v>0.13</v>
      </c>
      <c r="O464">
        <v>0.04329605413216564</v>
      </c>
      <c r="P464" t="s">
        <v>300</v>
      </c>
      <c r="Q464" t="s">
        <v>558</v>
      </c>
      <c r="R464">
        <v>0</v>
      </c>
      <c r="S464">
        <v>0.5866666666666667</v>
      </c>
      <c r="T464">
        <v>52</v>
      </c>
      <c r="U464">
        <v>1.490576923076923</v>
      </c>
      <c r="V464">
        <v>-0.3501</v>
      </c>
      <c r="W464">
        <v>3</v>
      </c>
      <c r="X464">
        <v>1.76</v>
      </c>
      <c r="Y464">
        <v>-0.375272</v>
      </c>
      <c r="Z464">
        <v>0.2975206611570248</v>
      </c>
      <c r="AA464">
        <v>0.1867954911433173</v>
      </c>
      <c r="AB464">
        <v>0.9606109324758844</v>
      </c>
      <c r="AC464">
        <v>0.1704180064308682</v>
      </c>
      <c r="AD464">
        <v>0.3070739549839228</v>
      </c>
    </row>
    <row r="465" spans="1:30">
      <c r="A465" s="1" t="s">
        <v>472</v>
      </c>
      <c r="B465">
        <f>HYPERLINK("https://www.suredividend.com/sure-analysis-GRP-UN","Granite Real Estate Investment Trust")</f>
        <v>0</v>
      </c>
      <c r="C465">
        <v>53.07</v>
      </c>
      <c r="D465">
        <v>3130</v>
      </c>
      <c r="E465" t="s">
        <v>669</v>
      </c>
      <c r="F465" t="s">
        <v>633</v>
      </c>
      <c r="G465" t="s">
        <v>674</v>
      </c>
      <c r="H465" t="s">
        <v>703</v>
      </c>
      <c r="J465" t="s">
        <v>1311</v>
      </c>
      <c r="K465">
        <v>44006</v>
      </c>
      <c r="L465">
        <v>0.04019999999999999</v>
      </c>
      <c r="M465">
        <v>-0.04120916589946588</v>
      </c>
      <c r="N465">
        <v>0.04</v>
      </c>
      <c r="O465">
        <v>0.03942273928106288</v>
      </c>
      <c r="P465" t="s">
        <v>300</v>
      </c>
      <c r="Q465" t="s">
        <v>300</v>
      </c>
      <c r="R465">
        <v>1</v>
      </c>
      <c r="S465">
        <v>0.7475409836065575</v>
      </c>
      <c r="T465">
        <v>43</v>
      </c>
      <c r="U465">
        <v>1.234186046511628</v>
      </c>
      <c r="V465">
        <v>5.1206</v>
      </c>
      <c r="W465">
        <v>3.05</v>
      </c>
      <c r="X465">
        <v>2.28</v>
      </c>
      <c r="Z465">
        <v>0.5471074380165289</v>
      </c>
      <c r="AB465">
        <v>0.3794212218649518</v>
      </c>
      <c r="AC465">
        <v>0.3311897106109325</v>
      </c>
      <c r="AD465">
        <v>0.2749196141479099</v>
      </c>
    </row>
    <row r="466" spans="1:30">
      <c r="A466" s="1" t="s">
        <v>473</v>
      </c>
      <c r="B466">
        <f>HYPERLINK("https://www.suredividend.com/sure-analysis-IP/","International Paper Co.")</f>
        <v>0</v>
      </c>
      <c r="C466">
        <v>36.92</v>
      </c>
      <c r="D466">
        <v>14511.07372</v>
      </c>
      <c r="E466" t="s">
        <v>662</v>
      </c>
      <c r="F466" t="s">
        <v>631</v>
      </c>
      <c r="G466" t="s">
        <v>670</v>
      </c>
      <c r="H466" t="s">
        <v>699</v>
      </c>
      <c r="I466" t="s">
        <v>1163</v>
      </c>
      <c r="J466" t="s">
        <v>1312</v>
      </c>
      <c r="K466">
        <v>43964</v>
      </c>
      <c r="L466">
        <v>0.05518689057421401</v>
      </c>
      <c r="M466">
        <v>-0.106711957730155</v>
      </c>
      <c r="N466">
        <v>0.1</v>
      </c>
      <c r="O466">
        <v>0.03767428202232592</v>
      </c>
      <c r="P466" t="s">
        <v>300</v>
      </c>
      <c r="Q466" t="s">
        <v>383</v>
      </c>
      <c r="R466">
        <v>10</v>
      </c>
      <c r="S466">
        <v>0.9702380952380952</v>
      </c>
      <c r="T466">
        <v>21</v>
      </c>
      <c r="U466">
        <v>1.758095238095238</v>
      </c>
      <c r="V466">
        <v>1.6816</v>
      </c>
      <c r="W466">
        <v>2.1</v>
      </c>
      <c r="X466">
        <v>2.0375</v>
      </c>
      <c r="Y466">
        <v>-0.131294</v>
      </c>
      <c r="Z466">
        <v>0.6859504132231404</v>
      </c>
      <c r="AA466">
        <v>0.499194847020934</v>
      </c>
      <c r="AB466">
        <v>0.9051446945337621</v>
      </c>
      <c r="AC466">
        <v>0.06270096463022508</v>
      </c>
      <c r="AD466">
        <v>0.2620578778135048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10.77</v>
      </c>
      <c r="D467">
        <v>16956.7188</v>
      </c>
      <c r="E467" t="s">
        <v>667</v>
      </c>
      <c r="F467" t="s">
        <v>631</v>
      </c>
      <c r="G467" t="s">
        <v>673</v>
      </c>
      <c r="H467" t="s">
        <v>699</v>
      </c>
      <c r="I467" t="s">
        <v>1164</v>
      </c>
      <c r="J467" t="s">
        <v>1312</v>
      </c>
      <c r="K467">
        <v>43979</v>
      </c>
      <c r="L467">
        <v>0.043175487465181</v>
      </c>
      <c r="M467">
        <v>-0.05773110116139757</v>
      </c>
      <c r="N467">
        <v>0.05</v>
      </c>
      <c r="O467">
        <v>0.03041002277427318</v>
      </c>
      <c r="P467" t="s">
        <v>300</v>
      </c>
      <c r="Q467" t="s">
        <v>300</v>
      </c>
      <c r="R467">
        <v>0</v>
      </c>
      <c r="S467">
        <v>0.7153846153846154</v>
      </c>
      <c r="T467">
        <v>8</v>
      </c>
      <c r="U467">
        <v>1.34625</v>
      </c>
      <c r="V467">
        <v>0.3143</v>
      </c>
      <c r="W467">
        <v>0.65</v>
      </c>
      <c r="X467">
        <v>0.465</v>
      </c>
      <c r="Y467">
        <v>-0.045213</v>
      </c>
      <c r="Z467">
        <v>0.5834710743801653</v>
      </c>
      <c r="AA467">
        <v>0.6328502415458938</v>
      </c>
      <c r="AB467">
        <v>0.5160771704180064</v>
      </c>
      <c r="AC467">
        <v>0.2379421221864952</v>
      </c>
      <c r="AD467">
        <v>0.2363344051446945</v>
      </c>
    </row>
    <row r="468" spans="1:30">
      <c r="A468" s="1" t="s">
        <v>475</v>
      </c>
      <c r="B468">
        <f>HYPERLINK("https://www.suredividend.com/sure-analysis-CAJ/","Canon, Inc.")</f>
        <v>0</v>
      </c>
      <c r="C468">
        <v>20.05</v>
      </c>
      <c r="D468">
        <v>20967.101977</v>
      </c>
      <c r="E468" t="s">
        <v>660</v>
      </c>
      <c r="F468" t="s">
        <v>631</v>
      </c>
      <c r="G468" t="s">
        <v>690</v>
      </c>
      <c r="H468" t="s">
        <v>699</v>
      </c>
      <c r="I468" t="s">
        <v>1165</v>
      </c>
      <c r="J468" t="s">
        <v>1317</v>
      </c>
      <c r="K468">
        <v>43950</v>
      </c>
      <c r="L468">
        <v>0.036997506234413</v>
      </c>
      <c r="M468">
        <v>-0.06931496277804927</v>
      </c>
      <c r="N468">
        <v>0.02</v>
      </c>
      <c r="O468">
        <v>0.02610370787422545</v>
      </c>
      <c r="P468" t="s">
        <v>300</v>
      </c>
      <c r="Q468" t="s">
        <v>300</v>
      </c>
      <c r="R468">
        <v>1</v>
      </c>
      <c r="S468">
        <v>1.059714285714286</v>
      </c>
      <c r="T468">
        <v>14</v>
      </c>
      <c r="U468">
        <v>1.432142857142857</v>
      </c>
      <c r="V468">
        <v>0.9983000000000001</v>
      </c>
      <c r="W468">
        <v>0.7</v>
      </c>
      <c r="X468">
        <v>0.7418</v>
      </c>
      <c r="Y468">
        <v>-0.294014</v>
      </c>
      <c r="Z468">
        <v>0.5107438016528926</v>
      </c>
      <c r="AA468">
        <v>0.2930756843800322</v>
      </c>
      <c r="AB468">
        <v>0.157556270096463</v>
      </c>
      <c r="AC468">
        <v>0.1913183279742765</v>
      </c>
      <c r="AD468">
        <v>0.2122186495176849</v>
      </c>
    </row>
    <row r="469" spans="1:30">
      <c r="A469" s="1" t="s">
        <v>476</v>
      </c>
      <c r="B469">
        <f>HYPERLINK("https://www.suredividend.com/sure-analysis-TSM/","Taiwan Semiconductor Manufacturing Co., Ltd.")</f>
        <v>0</v>
      </c>
      <c r="C469">
        <v>66.40000000000001</v>
      </c>
      <c r="D469">
        <v>344355.712</v>
      </c>
      <c r="E469" t="s">
        <v>662</v>
      </c>
      <c r="F469" t="s">
        <v>631</v>
      </c>
      <c r="G469" t="s">
        <v>695</v>
      </c>
      <c r="H469" t="s">
        <v>699</v>
      </c>
      <c r="I469" t="s">
        <v>1166</v>
      </c>
      <c r="J469" t="s">
        <v>1317</v>
      </c>
      <c r="K469">
        <v>43944</v>
      </c>
      <c r="L469">
        <v>0.023822289156626</v>
      </c>
      <c r="M469">
        <v>-0.09192199724762851</v>
      </c>
      <c r="N469">
        <v>0.09</v>
      </c>
      <c r="O469">
        <v>0.02152457202727143</v>
      </c>
      <c r="P469" t="s">
        <v>300</v>
      </c>
      <c r="Q469" t="s">
        <v>558</v>
      </c>
      <c r="R469">
        <v>5</v>
      </c>
      <c r="S469">
        <v>0.5550175438596491</v>
      </c>
      <c r="T469">
        <v>41</v>
      </c>
      <c r="U469">
        <v>1.619512195121951</v>
      </c>
      <c r="W469">
        <v>2.85</v>
      </c>
      <c r="X469">
        <v>1.5818</v>
      </c>
      <c r="Y469">
        <v>0.537393</v>
      </c>
      <c r="Z469">
        <v>0.3223140495867768</v>
      </c>
      <c r="AA469">
        <v>0.9710144927536232</v>
      </c>
      <c r="AB469">
        <v>0.8633440514469453</v>
      </c>
      <c r="AC469">
        <v>0.1109324758842444</v>
      </c>
      <c r="AD469">
        <v>0.1929260450160772</v>
      </c>
    </row>
    <row r="470" spans="1:30">
      <c r="A470" s="1" t="s">
        <v>477</v>
      </c>
      <c r="B470">
        <f>HYPERLINK("https://www.suredividend.com/sure-analysis-SCHL/","Scholastic Corp.")</f>
        <v>0</v>
      </c>
      <c r="C470">
        <v>29.71</v>
      </c>
      <c r="D470">
        <v>1019.483795</v>
      </c>
      <c r="E470" t="s">
        <v>660</v>
      </c>
      <c r="F470" t="s">
        <v>631</v>
      </c>
      <c r="G470" t="s">
        <v>670</v>
      </c>
      <c r="H470" t="s">
        <v>701</v>
      </c>
      <c r="I470" t="s">
        <v>1167</v>
      </c>
      <c r="J470" t="s">
        <v>1320</v>
      </c>
      <c r="K470">
        <v>43923</v>
      </c>
      <c r="L470">
        <v>0.02019522046449</v>
      </c>
      <c r="M470">
        <v>-0.07609893278278446</v>
      </c>
      <c r="N470">
        <v>0.08</v>
      </c>
      <c r="O470">
        <v>0.02100141466536098</v>
      </c>
      <c r="P470" t="s">
        <v>300</v>
      </c>
      <c r="Q470" t="s">
        <v>558</v>
      </c>
      <c r="R470">
        <v>0</v>
      </c>
      <c r="S470">
        <v>0.5454545454545455</v>
      </c>
      <c r="T470">
        <v>20</v>
      </c>
      <c r="U470">
        <v>1.4855</v>
      </c>
      <c r="V470">
        <v>-0.3852</v>
      </c>
      <c r="W470">
        <v>1.1</v>
      </c>
      <c r="X470">
        <v>0.6000000000000001</v>
      </c>
      <c r="Y470">
        <v>-0.09778299999999999</v>
      </c>
      <c r="Z470">
        <v>0.2446280991735537</v>
      </c>
      <c r="AA470">
        <v>0.5475040257648953</v>
      </c>
      <c r="AB470">
        <v>0.8127009646302251</v>
      </c>
      <c r="AC470">
        <v>0.1720257234726688</v>
      </c>
      <c r="AD470">
        <v>0.1881028938906752</v>
      </c>
    </row>
    <row r="471" spans="1:30">
      <c r="A471" s="1" t="s">
        <v>478</v>
      </c>
      <c r="B471">
        <f>HYPERLINK("https://www.suredividend.com/sure-analysis-PDCO/","Patterson Cos., Inc.")</f>
        <v>0</v>
      </c>
      <c r="C471">
        <v>25.78</v>
      </c>
      <c r="D471">
        <v>2474.2355</v>
      </c>
      <c r="E471" t="s">
        <v>661</v>
      </c>
      <c r="F471" t="s">
        <v>631</v>
      </c>
      <c r="G471" t="s">
        <v>670</v>
      </c>
      <c r="H471" t="s">
        <v>701</v>
      </c>
      <c r="I471" t="s">
        <v>1168</v>
      </c>
      <c r="J471" t="s">
        <v>1314</v>
      </c>
      <c r="K471">
        <v>43958</v>
      </c>
      <c r="L471">
        <v>0.04034134988363</v>
      </c>
      <c r="M471">
        <v>-0.05920686953766163</v>
      </c>
      <c r="N471">
        <v>0.04</v>
      </c>
      <c r="O471">
        <v>0.01894569997725104</v>
      </c>
      <c r="P471" t="s">
        <v>300</v>
      </c>
      <c r="Q471" t="s">
        <v>300</v>
      </c>
      <c r="R471">
        <v>0</v>
      </c>
      <c r="S471">
        <v>1</v>
      </c>
      <c r="T471">
        <v>19</v>
      </c>
      <c r="U471">
        <v>1.356842105263158</v>
      </c>
      <c r="V471">
        <v>-6.228</v>
      </c>
      <c r="W471">
        <v>1.04</v>
      </c>
      <c r="X471">
        <v>1.04</v>
      </c>
      <c r="Y471">
        <v>0.251456</v>
      </c>
      <c r="Z471">
        <v>0.5504132231404959</v>
      </c>
      <c r="AA471">
        <v>0.8969404186795491</v>
      </c>
      <c r="AB471">
        <v>0.3794212218649518</v>
      </c>
      <c r="AC471">
        <v>0.2315112540192926</v>
      </c>
      <c r="AD471">
        <v>0.180064308681672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81.78</v>
      </c>
      <c r="D472">
        <v>22082.6445</v>
      </c>
      <c r="E472" t="s">
        <v>663</v>
      </c>
      <c r="F472" t="s">
        <v>631</v>
      </c>
      <c r="G472" t="s">
        <v>675</v>
      </c>
      <c r="H472" t="s">
        <v>699</v>
      </c>
      <c r="I472" t="s">
        <v>1169</v>
      </c>
      <c r="J472" t="s">
        <v>1312</v>
      </c>
      <c r="K472">
        <v>43963</v>
      </c>
      <c r="L472">
        <v>0.010760577158229</v>
      </c>
      <c r="M472">
        <v>-0.05084161513713126</v>
      </c>
      <c r="N472">
        <v>0.07000000000000001</v>
      </c>
      <c r="O472">
        <v>0.01559947180326948</v>
      </c>
      <c r="P472" t="s">
        <v>300</v>
      </c>
      <c r="Q472" t="s">
        <v>558</v>
      </c>
      <c r="R472">
        <v>0</v>
      </c>
      <c r="S472">
        <v>0.88</v>
      </c>
      <c r="T472">
        <v>63</v>
      </c>
      <c r="U472">
        <v>1.298095238095238</v>
      </c>
      <c r="V472">
        <v>9.0807</v>
      </c>
      <c r="W472">
        <v>1</v>
      </c>
      <c r="X472">
        <v>0.88</v>
      </c>
      <c r="Y472">
        <v>0.039797</v>
      </c>
      <c r="Z472">
        <v>0.08099173553719009</v>
      </c>
      <c r="AA472">
        <v>0.7423510466988728</v>
      </c>
      <c r="AB472">
        <v>0.7387459807073955</v>
      </c>
      <c r="AC472">
        <v>0.2909967845659164</v>
      </c>
      <c r="AD472">
        <v>0.1639871382636656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100.42</v>
      </c>
      <c r="D473">
        <v>19182.02756</v>
      </c>
      <c r="E473" t="s">
        <v>663</v>
      </c>
      <c r="F473" t="s">
        <v>631</v>
      </c>
      <c r="G473" t="s">
        <v>674</v>
      </c>
      <c r="H473" t="s">
        <v>701</v>
      </c>
      <c r="I473" t="s">
        <v>1170</v>
      </c>
      <c r="J473" t="s">
        <v>1317</v>
      </c>
      <c r="K473">
        <v>43954</v>
      </c>
      <c r="L473">
        <v>0.022704640509858</v>
      </c>
      <c r="M473">
        <v>-0.04207179574573272</v>
      </c>
      <c r="N473">
        <v>0.03</v>
      </c>
      <c r="O473">
        <v>0.01474726744187715</v>
      </c>
      <c r="P473" t="s">
        <v>300</v>
      </c>
      <c r="Q473" t="s">
        <v>558</v>
      </c>
      <c r="R473">
        <v>2</v>
      </c>
      <c r="S473">
        <v>0.6608695652173914</v>
      </c>
      <c r="T473">
        <v>81</v>
      </c>
      <c r="U473">
        <v>1.239753086419753</v>
      </c>
      <c r="V473">
        <v>5.1206</v>
      </c>
      <c r="W473">
        <v>3.45</v>
      </c>
      <c r="X473">
        <v>2.28</v>
      </c>
      <c r="Y473">
        <v>0.224634</v>
      </c>
      <c r="Z473">
        <v>0.2958677685950413</v>
      </c>
      <c r="AA473">
        <v>0.8824476650563606</v>
      </c>
      <c r="AB473">
        <v>0.247588424437299</v>
      </c>
      <c r="AC473">
        <v>0.3231511254019293</v>
      </c>
      <c r="AD473">
        <v>0.162379421221865</v>
      </c>
    </row>
    <row r="474" spans="1:30">
      <c r="A474" s="1" t="s">
        <v>481</v>
      </c>
      <c r="B474">
        <f>HYPERLINK("https://www.suredividend.com/sure-analysis-BX/","The Blackstone Group, Inc.")</f>
        <v>0</v>
      </c>
      <c r="C474">
        <v>55.97</v>
      </c>
      <c r="D474">
        <v>37492.95972</v>
      </c>
      <c r="E474" t="s">
        <v>659</v>
      </c>
      <c r="F474" t="s">
        <v>631</v>
      </c>
      <c r="G474" t="s">
        <v>670</v>
      </c>
      <c r="H474" t="s">
        <v>699</v>
      </c>
      <c r="I474" t="s">
        <v>1171</v>
      </c>
      <c r="J474" t="s">
        <v>1311</v>
      </c>
      <c r="K474">
        <v>43951</v>
      </c>
      <c r="L474">
        <v>0.03484009290691401</v>
      </c>
      <c r="M474">
        <v>-0.1114512149428911</v>
      </c>
      <c r="N474">
        <v>0.09</v>
      </c>
      <c r="O474">
        <v>0.01118647324202215</v>
      </c>
      <c r="P474" t="s">
        <v>300</v>
      </c>
      <c r="Q474" t="s">
        <v>300</v>
      </c>
      <c r="R474">
        <v>0</v>
      </c>
      <c r="S474">
        <v>0.8863636363636364</v>
      </c>
      <c r="T474">
        <v>31</v>
      </c>
      <c r="U474">
        <v>1.805483870967742</v>
      </c>
      <c r="V474">
        <v>0.7412000000000001</v>
      </c>
      <c r="W474">
        <v>2.2</v>
      </c>
      <c r="X474">
        <v>1.95</v>
      </c>
      <c r="Y474">
        <v>0.226068</v>
      </c>
      <c r="Z474">
        <v>0.4743801652892563</v>
      </c>
      <c r="AA474">
        <v>0.8840579710144928</v>
      </c>
      <c r="AB474">
        <v>0.8633440514469453</v>
      </c>
      <c r="AC474">
        <v>0.05627009646302251</v>
      </c>
      <c r="AD474">
        <v>0.1495176848874598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62.15</v>
      </c>
      <c r="D475">
        <v>77430.72174399999</v>
      </c>
      <c r="E475" t="s">
        <v>662</v>
      </c>
      <c r="F475" t="s">
        <v>631</v>
      </c>
      <c r="G475" t="s">
        <v>673</v>
      </c>
      <c r="H475" t="s">
        <v>699</v>
      </c>
      <c r="I475" t="s">
        <v>1172</v>
      </c>
      <c r="J475" t="s">
        <v>1319</v>
      </c>
      <c r="K475">
        <v>43985</v>
      </c>
      <c r="L475">
        <v>0.061464199517296</v>
      </c>
      <c r="M475">
        <v>-0.0625366972502247</v>
      </c>
      <c r="N475">
        <v>0.01</v>
      </c>
      <c r="O475">
        <v>0.007651945174365959</v>
      </c>
      <c r="P475" t="s">
        <v>300</v>
      </c>
      <c r="Q475" t="s">
        <v>383</v>
      </c>
      <c r="R475">
        <v>3</v>
      </c>
      <c r="S475">
        <v>0.764</v>
      </c>
      <c r="T475">
        <v>45</v>
      </c>
      <c r="U475">
        <v>1.381111111111111</v>
      </c>
      <c r="V475">
        <v>4.9394</v>
      </c>
      <c r="W475">
        <v>5</v>
      </c>
      <c r="X475">
        <v>3.82</v>
      </c>
      <c r="Y475">
        <v>0.024732</v>
      </c>
      <c r="Z475">
        <v>0.7322314049586777</v>
      </c>
      <c r="AA475">
        <v>0.7198067632850241</v>
      </c>
      <c r="AB475">
        <v>0.0819935691318328</v>
      </c>
      <c r="AC475">
        <v>0.2186495176848874</v>
      </c>
      <c r="AD475">
        <v>0.1398713826366559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16.09</v>
      </c>
      <c r="D476">
        <v>343.465185</v>
      </c>
      <c r="E476" t="s">
        <v>663</v>
      </c>
      <c r="F476" t="s">
        <v>633</v>
      </c>
      <c r="G476" t="s">
        <v>670</v>
      </c>
      <c r="H476" t="s">
        <v>701</v>
      </c>
      <c r="I476" t="s">
        <v>1101</v>
      </c>
      <c r="J476" t="s">
        <v>1321</v>
      </c>
      <c r="K476">
        <v>43986</v>
      </c>
      <c r="L476">
        <v>0.033281541330018</v>
      </c>
      <c r="M476">
        <v>-0.0569710172932113</v>
      </c>
      <c r="N476">
        <v>0.03</v>
      </c>
      <c r="O476">
        <v>0.007119745609798445</v>
      </c>
      <c r="P476" t="s">
        <v>300</v>
      </c>
      <c r="Q476" t="s">
        <v>300</v>
      </c>
      <c r="R476">
        <v>6</v>
      </c>
      <c r="S476">
        <v>0.7992537313432835</v>
      </c>
      <c r="T476">
        <v>12</v>
      </c>
      <c r="U476">
        <v>1.340833333333333</v>
      </c>
      <c r="V476">
        <v>-0.0562</v>
      </c>
      <c r="W476">
        <v>0.67</v>
      </c>
      <c r="X476">
        <v>0.5355</v>
      </c>
      <c r="Y476">
        <v>0.39549</v>
      </c>
      <c r="Z476">
        <v>0.4479338842975206</v>
      </c>
      <c r="AA476">
        <v>0.9388083735909822</v>
      </c>
      <c r="AB476">
        <v>0.247588424437299</v>
      </c>
      <c r="AC476">
        <v>0.2411575562700965</v>
      </c>
      <c r="AD476">
        <v>0.1366559485530547</v>
      </c>
    </row>
    <row r="477" spans="1:30">
      <c r="A477" s="1" t="s">
        <v>484</v>
      </c>
      <c r="B477">
        <f>HYPERLINK("https://www.suredividend.com/sure-analysis-WEN/","The Wendy's Co.")</f>
        <v>0</v>
      </c>
      <c r="C477">
        <v>22.41</v>
      </c>
      <c r="D477">
        <v>4990.55013</v>
      </c>
      <c r="E477" t="s">
        <v>666</v>
      </c>
      <c r="F477" t="s">
        <v>631</v>
      </c>
      <c r="G477" t="s">
        <v>670</v>
      </c>
      <c r="H477" t="s">
        <v>701</v>
      </c>
      <c r="I477" t="s">
        <v>1173</v>
      </c>
      <c r="J477" t="s">
        <v>1312</v>
      </c>
      <c r="K477">
        <v>43993</v>
      </c>
      <c r="L477">
        <v>0.019634091923248</v>
      </c>
      <c r="M477">
        <v>-0.07715262653191046</v>
      </c>
      <c r="N477">
        <v>0.07000000000000001</v>
      </c>
      <c r="O477">
        <v>0.003796181618510586</v>
      </c>
      <c r="P477" t="s">
        <v>300</v>
      </c>
      <c r="Q477" t="s">
        <v>558</v>
      </c>
      <c r="R477">
        <v>0</v>
      </c>
      <c r="S477">
        <v>0.8301886792452829</v>
      </c>
      <c r="T477">
        <v>15</v>
      </c>
      <c r="U477">
        <v>1.494</v>
      </c>
      <c r="V477">
        <v>0.5214</v>
      </c>
      <c r="W477">
        <v>0.53</v>
      </c>
      <c r="X477">
        <v>0.44</v>
      </c>
      <c r="Y477">
        <v>0.16114</v>
      </c>
      <c r="Z477">
        <v>0.2330578512396694</v>
      </c>
      <c r="AA477">
        <v>0.8405797101449275</v>
      </c>
      <c r="AB477">
        <v>0.7387459807073955</v>
      </c>
      <c r="AC477">
        <v>0.1655948553054662</v>
      </c>
      <c r="AD477">
        <v>0.1286173633440514</v>
      </c>
    </row>
    <row r="478" spans="1:30">
      <c r="A478" s="1" t="s">
        <v>485</v>
      </c>
      <c r="B478">
        <f>HYPERLINK("https://www.suredividend.com/sure-analysis-PPRQF/","Choice Properties Real Estate Investment Trust")</f>
        <v>0</v>
      </c>
      <c r="C478">
        <v>9.75</v>
      </c>
      <c r="D478">
        <v>6828.936884</v>
      </c>
      <c r="E478" t="s">
        <v>669</v>
      </c>
      <c r="F478" t="s">
        <v>633</v>
      </c>
      <c r="G478" t="s">
        <v>671</v>
      </c>
      <c r="H478" t="s">
        <v>700</v>
      </c>
      <c r="I478" t="s">
        <v>1174</v>
      </c>
      <c r="J478" t="s">
        <v>1311</v>
      </c>
      <c r="K478">
        <v>43963</v>
      </c>
      <c r="L478">
        <v>0.057031257275358</v>
      </c>
      <c r="M478">
        <v>-0.1081914848438253</v>
      </c>
      <c r="N478">
        <v>0.049</v>
      </c>
      <c r="O478">
        <v>0.003161120299628228</v>
      </c>
      <c r="P478" t="s">
        <v>300</v>
      </c>
      <c r="Q478" t="s">
        <v>300</v>
      </c>
      <c r="R478">
        <v>0</v>
      </c>
      <c r="S478">
        <v>1.011008651699542</v>
      </c>
      <c r="T478">
        <v>5.5</v>
      </c>
      <c r="U478">
        <v>1.772727272727273</v>
      </c>
      <c r="V478">
        <v>0.6972</v>
      </c>
      <c r="W478">
        <v>0.55</v>
      </c>
      <c r="X478">
        <v>0.5560547584347481</v>
      </c>
      <c r="Y478">
        <v>-0.07116299999999999</v>
      </c>
      <c r="Z478">
        <v>0.7008264462809918</v>
      </c>
      <c r="AA478">
        <v>0.5990338164251208</v>
      </c>
      <c r="AB478">
        <v>0.4501607717041801</v>
      </c>
      <c r="AC478">
        <v>0.06109324758842444</v>
      </c>
      <c r="AD478">
        <v>0.1270096463022508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15.28</v>
      </c>
      <c r="D479">
        <v>1002.714856</v>
      </c>
      <c r="E479" t="s">
        <v>661</v>
      </c>
      <c r="F479" t="s">
        <v>631</v>
      </c>
      <c r="G479" t="s">
        <v>670</v>
      </c>
      <c r="H479" t="s">
        <v>699</v>
      </c>
      <c r="I479" t="s">
        <v>1175</v>
      </c>
      <c r="J479" t="s">
        <v>1311</v>
      </c>
      <c r="K479">
        <v>44000</v>
      </c>
      <c r="L479">
        <v>0.06544502617801</v>
      </c>
      <c r="M479">
        <v>-0.06361625466041954</v>
      </c>
      <c r="N479">
        <v>-0.01</v>
      </c>
      <c r="O479">
        <v>0.002356544533286931</v>
      </c>
      <c r="P479" t="s">
        <v>300</v>
      </c>
      <c r="Q479" t="s">
        <v>383</v>
      </c>
      <c r="R479">
        <v>0</v>
      </c>
      <c r="S479">
        <v>0.9174311926605504</v>
      </c>
      <c r="T479">
        <v>11</v>
      </c>
      <c r="U479">
        <v>1.389090909090909</v>
      </c>
      <c r="V479">
        <v>1.464</v>
      </c>
      <c r="W479">
        <v>1.09</v>
      </c>
      <c r="X479">
        <v>1</v>
      </c>
      <c r="Y479">
        <v>-0.106955</v>
      </c>
      <c r="Z479">
        <v>0.7586776859504133</v>
      </c>
      <c r="AA479">
        <v>0.5362318840579711</v>
      </c>
      <c r="AB479">
        <v>0.01768488745980707</v>
      </c>
      <c r="AC479">
        <v>0.2106109324758842</v>
      </c>
      <c r="AD479">
        <v>0.1237942122186495</v>
      </c>
    </row>
    <row r="480" spans="1:30">
      <c r="A480" s="1" t="s">
        <v>487</v>
      </c>
      <c r="B480">
        <f>HYPERLINK("https://www.suredividend.com/sure-analysis-FLR/","Fluor Corp.")</f>
        <v>0</v>
      </c>
      <c r="C480">
        <v>12.45</v>
      </c>
      <c r="D480">
        <v>1745.1663</v>
      </c>
      <c r="E480" t="s">
        <v>663</v>
      </c>
      <c r="F480" t="s">
        <v>631</v>
      </c>
      <c r="G480" t="s">
        <v>670</v>
      </c>
      <c r="H480" t="s">
        <v>699</v>
      </c>
      <c r="I480" t="s">
        <v>1176</v>
      </c>
      <c r="J480" t="s">
        <v>1313</v>
      </c>
      <c r="K480">
        <v>43890</v>
      </c>
      <c r="L480">
        <v>0.067469879518072</v>
      </c>
      <c r="M480">
        <v>-0.06283808400366231</v>
      </c>
      <c r="N480">
        <v>0.02</v>
      </c>
      <c r="O480">
        <v>-0.008384780777443979</v>
      </c>
      <c r="P480" t="s">
        <v>300</v>
      </c>
      <c r="Q480" t="s">
        <v>636</v>
      </c>
      <c r="R480">
        <v>0</v>
      </c>
      <c r="S480">
        <v>0.5599999999999999</v>
      </c>
      <c r="T480">
        <v>9</v>
      </c>
      <c r="U480">
        <v>1.383333333333333</v>
      </c>
      <c r="V480">
        <v>-9.3119</v>
      </c>
      <c r="W480">
        <v>1.5</v>
      </c>
      <c r="X480">
        <v>0.84</v>
      </c>
      <c r="Y480">
        <v>-0.597608</v>
      </c>
      <c r="Z480">
        <v>0.7768595041322314</v>
      </c>
      <c r="AA480">
        <v>0.04508856682769726</v>
      </c>
      <c r="AB480">
        <v>0.157556270096463</v>
      </c>
      <c r="AC480">
        <v>0.2138263665594855</v>
      </c>
      <c r="AD480">
        <v>0.09807073954983922</v>
      </c>
    </row>
    <row r="481" spans="1:30">
      <c r="A481" s="1" t="s">
        <v>488</v>
      </c>
      <c r="B481">
        <f>HYPERLINK("https://www.suredividend.com/sure-analysis-LM/","Legg Mason, Inc.")</f>
        <v>0</v>
      </c>
      <c r="C481">
        <v>49.98</v>
      </c>
      <c r="D481">
        <v>4445.651028</v>
      </c>
      <c r="E481" t="s">
        <v>659</v>
      </c>
      <c r="F481" t="s">
        <v>631</v>
      </c>
      <c r="G481" t="s">
        <v>670</v>
      </c>
      <c r="H481" t="s">
        <v>699</v>
      </c>
      <c r="I481" t="s">
        <v>1177</v>
      </c>
      <c r="J481" t="s">
        <v>1311</v>
      </c>
      <c r="K481">
        <v>43958</v>
      </c>
      <c r="L481">
        <v>0.032012805122048</v>
      </c>
      <c r="M481">
        <v>-0.09704730077605861</v>
      </c>
      <c r="N481">
        <v>0.05</v>
      </c>
      <c r="O481">
        <v>-0.009853203695894153</v>
      </c>
      <c r="P481" t="s">
        <v>300</v>
      </c>
      <c r="Q481" t="s">
        <v>300</v>
      </c>
      <c r="R481">
        <v>10</v>
      </c>
      <c r="S481">
        <v>0.64</v>
      </c>
      <c r="T481">
        <v>30</v>
      </c>
      <c r="U481">
        <v>1.666</v>
      </c>
      <c r="V481">
        <v>2.8003</v>
      </c>
      <c r="W481">
        <v>2.5</v>
      </c>
      <c r="X481">
        <v>1.6</v>
      </c>
      <c r="Y481">
        <v>0.303939</v>
      </c>
      <c r="Z481">
        <v>0.4247933884297521</v>
      </c>
      <c r="AA481">
        <v>0.9146537842190016</v>
      </c>
      <c r="AB481">
        <v>0.5160771704180064</v>
      </c>
      <c r="AC481">
        <v>0.0932475884244373</v>
      </c>
      <c r="AD481">
        <v>0.09003215434083602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94.56999999999999</v>
      </c>
      <c r="D482">
        <v>37828</v>
      </c>
      <c r="E482" t="s">
        <v>664</v>
      </c>
      <c r="F482" t="s">
        <v>631</v>
      </c>
      <c r="G482" t="s">
        <v>675</v>
      </c>
      <c r="H482" t="s">
        <v>699</v>
      </c>
      <c r="I482" t="s">
        <v>1178</v>
      </c>
      <c r="J482" t="s">
        <v>1313</v>
      </c>
      <c r="K482">
        <v>43956</v>
      </c>
      <c r="L482">
        <v>0.03024214867294</v>
      </c>
      <c r="M482">
        <v>-0.106019441681701</v>
      </c>
      <c r="N482">
        <v>0.04</v>
      </c>
      <c r="O482">
        <v>-0.02997058349831794</v>
      </c>
      <c r="P482" t="s">
        <v>300</v>
      </c>
      <c r="Q482" t="s">
        <v>300</v>
      </c>
      <c r="R482">
        <v>11</v>
      </c>
      <c r="S482">
        <v>0.7566137566137566</v>
      </c>
      <c r="T482">
        <v>54</v>
      </c>
      <c r="U482">
        <v>1.751296296296296</v>
      </c>
      <c r="V482">
        <v>5.1156</v>
      </c>
      <c r="W482">
        <v>3.78</v>
      </c>
      <c r="X482">
        <v>2.86</v>
      </c>
      <c r="Y482">
        <v>0.19618</v>
      </c>
      <c r="Z482">
        <v>0.3966942148760331</v>
      </c>
      <c r="AA482">
        <v>0.85829307568438</v>
      </c>
      <c r="AB482">
        <v>0.3794212218649518</v>
      </c>
      <c r="AC482">
        <v>0.06591639871382637</v>
      </c>
      <c r="AD482">
        <v>0.05627009646302251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61.1</v>
      </c>
      <c r="D483">
        <v>160359.394</v>
      </c>
      <c r="E483" t="s">
        <v>664</v>
      </c>
      <c r="F483" t="s">
        <v>631</v>
      </c>
      <c r="G483" t="s">
        <v>673</v>
      </c>
      <c r="H483" t="s">
        <v>699</v>
      </c>
      <c r="I483" t="s">
        <v>1179</v>
      </c>
      <c r="J483" t="s">
        <v>1314</v>
      </c>
      <c r="K483">
        <v>43953</v>
      </c>
      <c r="L483">
        <v>0.022422258592471</v>
      </c>
      <c r="M483">
        <v>-0.1326068084753619</v>
      </c>
      <c r="N483">
        <v>0.04</v>
      </c>
      <c r="O483">
        <v>-0.065694759461012</v>
      </c>
      <c r="P483" t="s">
        <v>300</v>
      </c>
      <c r="Q483" t="s">
        <v>558</v>
      </c>
      <c r="R483">
        <v>0</v>
      </c>
      <c r="S483">
        <v>0.6884422110552765</v>
      </c>
      <c r="T483">
        <v>30</v>
      </c>
      <c r="U483">
        <v>2.036666666666667</v>
      </c>
      <c r="V483">
        <v>0.52</v>
      </c>
      <c r="W483">
        <v>1.99</v>
      </c>
      <c r="X483">
        <v>1.37</v>
      </c>
      <c r="Y483">
        <v>0.500123</v>
      </c>
      <c r="Z483">
        <v>0.2925619834710744</v>
      </c>
      <c r="AA483">
        <v>0.9645732689210951</v>
      </c>
      <c r="AB483">
        <v>0.3794212218649518</v>
      </c>
      <c r="AC483">
        <v>0.02572347266881029</v>
      </c>
      <c r="AD483">
        <v>0.01446945337620579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22.5</v>
      </c>
      <c r="D484">
        <v>1404.62325</v>
      </c>
      <c r="E484" t="s">
        <v>664</v>
      </c>
      <c r="F484" t="s">
        <v>631</v>
      </c>
      <c r="G484" t="s">
        <v>696</v>
      </c>
      <c r="H484" t="s">
        <v>701</v>
      </c>
      <c r="I484" t="s">
        <v>1180</v>
      </c>
      <c r="J484" t="s">
        <v>1317</v>
      </c>
      <c r="K484">
        <v>43953</v>
      </c>
      <c r="L484">
        <v>0.021333333333333</v>
      </c>
      <c r="M484">
        <v>-0.2082590563549461</v>
      </c>
      <c r="N484">
        <v>0.02</v>
      </c>
      <c r="O484">
        <v>-0.145064693029464</v>
      </c>
      <c r="P484" t="s">
        <v>300</v>
      </c>
      <c r="Q484" t="s">
        <v>558</v>
      </c>
      <c r="R484">
        <v>2</v>
      </c>
      <c r="S484">
        <v>0.5274725274725275</v>
      </c>
      <c r="T484">
        <v>7</v>
      </c>
      <c r="U484">
        <v>3.214285714285714</v>
      </c>
      <c r="V484">
        <v>0.5196000000000001</v>
      </c>
      <c r="W484">
        <v>0.91</v>
      </c>
      <c r="X484">
        <v>0.48</v>
      </c>
      <c r="Y484">
        <v>0.009420999999999999</v>
      </c>
      <c r="Z484">
        <v>0.2710743801652892</v>
      </c>
      <c r="AA484">
        <v>0.6924315619967794</v>
      </c>
      <c r="AB484">
        <v>0.157556270096463</v>
      </c>
      <c r="AC484">
        <v>0.006430868167202572</v>
      </c>
      <c r="AD484">
        <v>0.003215434083601286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2.53</v>
      </c>
      <c r="D485">
        <v>41.154245</v>
      </c>
      <c r="E485" t="s">
        <v>663</v>
      </c>
      <c r="F485" t="s">
        <v>631</v>
      </c>
      <c r="G485" t="s">
        <v>670</v>
      </c>
      <c r="H485" t="s">
        <v>701</v>
      </c>
      <c r="I485" t="s">
        <v>1181</v>
      </c>
      <c r="J485" t="s">
        <v>1311</v>
      </c>
      <c r="K485">
        <v>43983</v>
      </c>
      <c r="L485">
        <v>0.395098814229249</v>
      </c>
      <c r="M485">
        <v>0.04481165008603072</v>
      </c>
      <c r="N485">
        <v>0</v>
      </c>
      <c r="O485">
        <v>0.2081631988316492</v>
      </c>
      <c r="P485" t="s">
        <v>558</v>
      </c>
      <c r="Q485" t="s">
        <v>383</v>
      </c>
      <c r="R485">
        <v>0</v>
      </c>
      <c r="S485">
        <v>19.992</v>
      </c>
      <c r="T485">
        <v>3.15</v>
      </c>
      <c r="U485">
        <v>0.8031746031746033</v>
      </c>
      <c r="V485">
        <v>-4.3248</v>
      </c>
      <c r="W485">
        <v>0.05</v>
      </c>
      <c r="X485">
        <v>0.9996</v>
      </c>
      <c r="Y485">
        <v>-0.742363</v>
      </c>
      <c r="Z485">
        <v>0.9983471074380165</v>
      </c>
      <c r="AA485">
        <v>0.008051529790660227</v>
      </c>
      <c r="AB485">
        <v>0.04180064308681672</v>
      </c>
      <c r="AC485">
        <v>0.8408360128617364</v>
      </c>
      <c r="AD485">
        <v>0.9887459807073955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1.91</v>
      </c>
      <c r="D486">
        <v>309.16597</v>
      </c>
      <c r="E486" t="s">
        <v>666</v>
      </c>
      <c r="F486" t="s">
        <v>631</v>
      </c>
      <c r="G486" t="s">
        <v>671</v>
      </c>
      <c r="H486" t="s">
        <v>700</v>
      </c>
      <c r="I486" t="s">
        <v>1182</v>
      </c>
      <c r="J486" t="s">
        <v>1313</v>
      </c>
      <c r="K486">
        <v>43993</v>
      </c>
      <c r="L486">
        <v>0.188838857591486</v>
      </c>
      <c r="M486">
        <v>0.09157019470930727</v>
      </c>
      <c r="N486">
        <v>0.06</v>
      </c>
      <c r="O486">
        <v>0.1822345486758803</v>
      </c>
      <c r="P486" t="s">
        <v>558</v>
      </c>
      <c r="Q486" t="s">
        <v>636</v>
      </c>
      <c r="R486">
        <v>0</v>
      </c>
      <c r="S486">
        <v>1.092976418181027</v>
      </c>
      <c r="T486">
        <v>2.96</v>
      </c>
      <c r="U486">
        <v>0.6452702702702703</v>
      </c>
      <c r="V486">
        <v>0.3917</v>
      </c>
      <c r="W486">
        <v>0.33</v>
      </c>
      <c r="X486">
        <v>0.360682217999739</v>
      </c>
      <c r="Y486">
        <v>-0.683665</v>
      </c>
      <c r="Z486">
        <v>0.9685950413223141</v>
      </c>
      <c r="AA486">
        <v>0.02576489533011272</v>
      </c>
      <c r="AB486">
        <v>0.6463022508038585</v>
      </c>
      <c r="AC486">
        <v>0.9630225080385852</v>
      </c>
      <c r="AD486">
        <v>0.9742765273311897</v>
      </c>
    </row>
    <row r="487" spans="1:30">
      <c r="A487" s="1" t="s">
        <v>494</v>
      </c>
      <c r="B487">
        <f>HYPERLINK("https://www.suredividend.com/sure-analysis-SNP/","China Petroleum &amp; Chemical Corp.")</f>
        <v>0</v>
      </c>
      <c r="C487">
        <v>42.58</v>
      </c>
      <c r="D487">
        <v>10863.622156</v>
      </c>
      <c r="E487" t="s">
        <v>662</v>
      </c>
      <c r="F487" t="s">
        <v>631</v>
      </c>
      <c r="G487" t="s">
        <v>672</v>
      </c>
      <c r="H487" t="s">
        <v>699</v>
      </c>
      <c r="I487" t="s">
        <v>1183</v>
      </c>
      <c r="J487" t="s">
        <v>1316</v>
      </c>
      <c r="K487">
        <v>43973</v>
      </c>
      <c r="L487">
        <v>0.103285580084546</v>
      </c>
      <c r="M487">
        <v>0.08828223513430955</v>
      </c>
      <c r="N487">
        <v>0.03</v>
      </c>
      <c r="O487">
        <v>0.1820543162249726</v>
      </c>
      <c r="P487" t="s">
        <v>558</v>
      </c>
      <c r="Q487" t="s">
        <v>383</v>
      </c>
      <c r="R487">
        <v>0</v>
      </c>
      <c r="S487">
        <v>7.329833333333333</v>
      </c>
      <c r="T487">
        <v>65</v>
      </c>
      <c r="U487">
        <v>0.655076923076923</v>
      </c>
      <c r="V487">
        <v>4.3043</v>
      </c>
      <c r="W487">
        <v>0.6</v>
      </c>
      <c r="X487">
        <v>4.3979</v>
      </c>
      <c r="Y487">
        <v>-0.35131</v>
      </c>
      <c r="Z487">
        <v>0.8826446280991737</v>
      </c>
      <c r="AA487">
        <v>0.2222222222222222</v>
      </c>
      <c r="AB487">
        <v>0.247588424437299</v>
      </c>
      <c r="AC487">
        <v>0.9581993569131833</v>
      </c>
      <c r="AD487">
        <v>0.9726688102893891</v>
      </c>
    </row>
    <row r="488" spans="1:30">
      <c r="A488" s="1" t="s">
        <v>495</v>
      </c>
      <c r="B488">
        <f>HYPERLINK("https://www.suredividend.com/sure-analysis-GEL/","Genesis Energy LP")</f>
        <v>0</v>
      </c>
      <c r="C488">
        <v>6.28</v>
      </c>
      <c r="D488">
        <v>769.796101</v>
      </c>
      <c r="E488" t="s">
        <v>662</v>
      </c>
      <c r="F488" t="s">
        <v>632</v>
      </c>
      <c r="G488" t="s">
        <v>670</v>
      </c>
      <c r="H488" t="s">
        <v>699</v>
      </c>
      <c r="I488" t="s">
        <v>1184</v>
      </c>
      <c r="J488" t="s">
        <v>1316</v>
      </c>
      <c r="K488">
        <v>43978</v>
      </c>
      <c r="L488">
        <v>0.286624203821656</v>
      </c>
      <c r="M488">
        <v>0.07462409286509342</v>
      </c>
      <c r="N488">
        <v>0.03</v>
      </c>
      <c r="O488">
        <v>0.1740827450599214</v>
      </c>
      <c r="P488" t="s">
        <v>558</v>
      </c>
      <c r="Q488" t="s">
        <v>636</v>
      </c>
      <c r="R488">
        <v>0</v>
      </c>
      <c r="S488">
        <v>1.384615384615385</v>
      </c>
      <c r="T488">
        <v>9</v>
      </c>
      <c r="U488">
        <v>0.6977777777777778</v>
      </c>
      <c r="V488">
        <v>0.2465</v>
      </c>
      <c r="W488">
        <v>1.3</v>
      </c>
      <c r="X488">
        <v>1.8</v>
      </c>
      <c r="Y488">
        <v>-0.727785</v>
      </c>
      <c r="Z488">
        <v>0.9933884297520662</v>
      </c>
      <c r="AA488">
        <v>0.01288244766505636</v>
      </c>
      <c r="AB488">
        <v>0.247588424437299</v>
      </c>
      <c r="AC488">
        <v>0.9405144694533761</v>
      </c>
      <c r="AD488">
        <v>0.9678456591639872</v>
      </c>
    </row>
    <row r="489" spans="1:30">
      <c r="A489" s="1" t="s">
        <v>496</v>
      </c>
      <c r="B489">
        <f>HYPERLINK("https://www.suredividend.com/sure-analysis-LUV/","Southwest Airlines Co.")</f>
        <v>0</v>
      </c>
      <c r="C489">
        <v>34.13</v>
      </c>
      <c r="D489">
        <v>20115.74418</v>
      </c>
      <c r="E489" t="s">
        <v>663</v>
      </c>
      <c r="F489" t="s">
        <v>631</v>
      </c>
      <c r="G489" t="s">
        <v>670</v>
      </c>
      <c r="H489" t="s">
        <v>699</v>
      </c>
      <c r="I489" t="s">
        <v>1185</v>
      </c>
      <c r="J489" t="s">
        <v>1313</v>
      </c>
      <c r="K489">
        <v>43950</v>
      </c>
      <c r="L489">
        <v>0.021095810137708</v>
      </c>
      <c r="M489">
        <v>0.07936105303574115</v>
      </c>
      <c r="N489">
        <v>0.08</v>
      </c>
      <c r="O489">
        <v>0.171516843519379</v>
      </c>
      <c r="P489" t="s">
        <v>558</v>
      </c>
      <c r="Q489" t="s">
        <v>558</v>
      </c>
      <c r="R489">
        <v>8</v>
      </c>
      <c r="S489">
        <v>9.99</v>
      </c>
      <c r="T489">
        <v>50</v>
      </c>
      <c r="U489">
        <v>0.6826000000000001</v>
      </c>
      <c r="V489">
        <v>3.4001</v>
      </c>
      <c r="W489">
        <v>-3</v>
      </c>
      <c r="X489">
        <v>0.72</v>
      </c>
      <c r="Y489">
        <v>-0.349161</v>
      </c>
      <c r="Z489">
        <v>0.2644628099173554</v>
      </c>
      <c r="AA489">
        <v>0.2238325281803543</v>
      </c>
      <c r="AB489">
        <v>0.8127009646302251</v>
      </c>
      <c r="AC489">
        <v>0.95016077170418</v>
      </c>
      <c r="AD489">
        <v>0.9646302250803859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23.25</v>
      </c>
      <c r="D490">
        <v>77892.409625</v>
      </c>
      <c r="E490" t="s">
        <v>662</v>
      </c>
      <c r="F490" t="s">
        <v>631</v>
      </c>
      <c r="G490" t="s">
        <v>673</v>
      </c>
      <c r="H490" t="s">
        <v>699</v>
      </c>
      <c r="I490" t="s">
        <v>1186</v>
      </c>
      <c r="J490" t="s">
        <v>1316</v>
      </c>
      <c r="K490">
        <v>43956</v>
      </c>
      <c r="L490">
        <v>0.105591397849462</v>
      </c>
      <c r="M490">
        <v>0.006369941997027784</v>
      </c>
      <c r="N490">
        <v>0.09</v>
      </c>
      <c r="O490">
        <v>0.1632786810333946</v>
      </c>
      <c r="P490" t="s">
        <v>558</v>
      </c>
      <c r="Q490" t="s">
        <v>383</v>
      </c>
      <c r="R490">
        <v>3</v>
      </c>
      <c r="S490">
        <v>6.1375</v>
      </c>
      <c r="T490">
        <v>24</v>
      </c>
      <c r="U490">
        <v>0.96875</v>
      </c>
      <c r="V490">
        <v>1.2029</v>
      </c>
      <c r="W490">
        <v>0.4</v>
      </c>
      <c r="X490">
        <v>2.455</v>
      </c>
      <c r="Y490">
        <v>-0.40139</v>
      </c>
      <c r="Z490">
        <v>0.884297520661157</v>
      </c>
      <c r="AA490">
        <v>0.1610305958132045</v>
      </c>
      <c r="AB490">
        <v>0.8633440514469453</v>
      </c>
      <c r="AC490">
        <v>0.6414790996784566</v>
      </c>
      <c r="AD490">
        <v>0.959807073954984</v>
      </c>
    </row>
    <row r="491" spans="1:30">
      <c r="A491" s="1" t="s">
        <v>498</v>
      </c>
      <c r="B491">
        <f>HYPERLINK("https://www.suredividend.com/sure-analysis-NYMT/","New York Mortgage Trust, Inc.")</f>
        <v>0</v>
      </c>
      <c r="C491">
        <v>2.51</v>
      </c>
      <c r="D491">
        <v>947.43715</v>
      </c>
      <c r="E491" t="s">
        <v>663</v>
      </c>
      <c r="F491" t="s">
        <v>631</v>
      </c>
      <c r="G491" t="s">
        <v>670</v>
      </c>
      <c r="H491" t="s">
        <v>701</v>
      </c>
      <c r="I491" t="s">
        <v>1187</v>
      </c>
      <c r="J491" t="s">
        <v>1321</v>
      </c>
      <c r="K491">
        <v>43973</v>
      </c>
      <c r="L491">
        <v>0.159362549800796</v>
      </c>
      <c r="M491">
        <v>0.09768379794035553</v>
      </c>
      <c r="N491">
        <v>0.01</v>
      </c>
      <c r="O491">
        <v>0.1631593042072943</v>
      </c>
      <c r="P491" t="s">
        <v>558</v>
      </c>
      <c r="Q491" t="s">
        <v>383</v>
      </c>
      <c r="R491">
        <v>0</v>
      </c>
      <c r="S491">
        <v>9.99</v>
      </c>
      <c r="T491">
        <v>4</v>
      </c>
      <c r="U491">
        <v>0.6274999999999999</v>
      </c>
      <c r="V491">
        <v>-1.2741</v>
      </c>
      <c r="W491">
        <v>-1.25</v>
      </c>
      <c r="X491">
        <v>0.4</v>
      </c>
      <c r="Y491">
        <v>-0.587849</v>
      </c>
      <c r="Z491">
        <v>0.9504132231404958</v>
      </c>
      <c r="AA491">
        <v>0.04669887278582931</v>
      </c>
      <c r="AB491">
        <v>0.0819935691318328</v>
      </c>
      <c r="AC491">
        <v>0.9662379421221865</v>
      </c>
      <c r="AD491">
        <v>0.9581993569131833</v>
      </c>
    </row>
    <row r="492" spans="1:30">
      <c r="A492" s="1" t="s">
        <v>499</v>
      </c>
      <c r="B492">
        <f>HYPERLINK("https://www.suredividend.com/sure-analysis-KEY/","KeyCorp")</f>
        <v>0</v>
      </c>
      <c r="C492">
        <v>11.69</v>
      </c>
      <c r="D492">
        <v>11402.49614</v>
      </c>
      <c r="E492" t="s">
        <v>659</v>
      </c>
      <c r="F492" t="s">
        <v>631</v>
      </c>
      <c r="G492" t="s">
        <v>670</v>
      </c>
      <c r="H492" t="s">
        <v>699</v>
      </c>
      <c r="I492" t="s">
        <v>1188</v>
      </c>
      <c r="J492" t="s">
        <v>1311</v>
      </c>
      <c r="K492">
        <v>43937</v>
      </c>
      <c r="L492">
        <v>0.06201881950384901</v>
      </c>
      <c r="M492">
        <v>0.07777196376578188</v>
      </c>
      <c r="N492">
        <v>0.04</v>
      </c>
      <c r="O492">
        <v>0.1627983414601408</v>
      </c>
      <c r="P492" t="s">
        <v>558</v>
      </c>
      <c r="Q492" t="s">
        <v>300</v>
      </c>
      <c r="R492">
        <v>9</v>
      </c>
      <c r="S492">
        <v>1.208333333333333</v>
      </c>
      <c r="T492">
        <v>17</v>
      </c>
      <c r="U492">
        <v>0.6876470588235294</v>
      </c>
      <c r="V492">
        <v>1.373</v>
      </c>
      <c r="W492">
        <v>0.6</v>
      </c>
      <c r="X492">
        <v>0.725</v>
      </c>
      <c r="Y492">
        <v>-0.324668</v>
      </c>
      <c r="Z492">
        <v>0.7355371900826446</v>
      </c>
      <c r="AA492">
        <v>0.2592592592592593</v>
      </c>
      <c r="AB492">
        <v>0.3794212218649518</v>
      </c>
      <c r="AC492">
        <v>0.9437299035369775</v>
      </c>
      <c r="AD492">
        <v>0.9565916398713825</v>
      </c>
    </row>
    <row r="493" spans="1:30">
      <c r="A493" s="1" t="s">
        <v>500</v>
      </c>
      <c r="B493">
        <f>HYPERLINK("https://www.suredividend.com/sure-analysis-APLE/","Apple Hospitality REIT, Inc.")</f>
        <v>0</v>
      </c>
      <c r="C493">
        <v>8.880000000000001</v>
      </c>
      <c r="D493">
        <v>1982.16696</v>
      </c>
      <c r="E493" t="s">
        <v>669</v>
      </c>
      <c r="F493" t="s">
        <v>633</v>
      </c>
      <c r="G493" t="s">
        <v>670</v>
      </c>
      <c r="H493" t="s">
        <v>699</v>
      </c>
      <c r="I493" t="s">
        <v>1189</v>
      </c>
      <c r="J493" t="s">
        <v>1321</v>
      </c>
      <c r="K493">
        <v>43998</v>
      </c>
      <c r="L493">
        <v>0.09009009009009</v>
      </c>
      <c r="M493">
        <v>0.07921028933619523</v>
      </c>
      <c r="N493">
        <v>0.039</v>
      </c>
      <c r="O493">
        <v>0.1589022175154535</v>
      </c>
      <c r="P493" t="s">
        <v>558</v>
      </c>
      <c r="Q493" t="s">
        <v>383</v>
      </c>
      <c r="R493">
        <v>0</v>
      </c>
      <c r="S493">
        <v>4</v>
      </c>
      <c r="T493">
        <v>13</v>
      </c>
      <c r="U493">
        <v>0.6830769230769231</v>
      </c>
      <c r="V493">
        <v>0.5851000000000001</v>
      </c>
      <c r="W493">
        <v>0.2</v>
      </c>
      <c r="X493">
        <v>0.8</v>
      </c>
      <c r="Y493">
        <v>-0.430769</v>
      </c>
      <c r="Z493">
        <v>0.8495867768595042</v>
      </c>
      <c r="AA493">
        <v>0.1400966183574879</v>
      </c>
      <c r="AB493">
        <v>0.3263665594855306</v>
      </c>
      <c r="AC493">
        <v>0.9485530546623794</v>
      </c>
      <c r="AD493">
        <v>0.95016077170418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30.81</v>
      </c>
      <c r="D494">
        <v>56993.5704</v>
      </c>
      <c r="E494" t="s">
        <v>662</v>
      </c>
      <c r="F494" t="s">
        <v>631</v>
      </c>
      <c r="G494" t="s">
        <v>684</v>
      </c>
      <c r="H494" t="s">
        <v>699</v>
      </c>
      <c r="I494" t="s">
        <v>1190</v>
      </c>
      <c r="J494" t="s">
        <v>1316</v>
      </c>
      <c r="K494">
        <v>43963</v>
      </c>
      <c r="L494">
        <v>0.101914962674456</v>
      </c>
      <c r="M494">
        <v>0.01382838955043275</v>
      </c>
      <c r="N494">
        <v>0.11</v>
      </c>
      <c r="O494">
        <v>0.1564047203679404</v>
      </c>
      <c r="P494" t="s">
        <v>558</v>
      </c>
      <c r="Q494" t="s">
        <v>383</v>
      </c>
      <c r="R494">
        <v>0</v>
      </c>
      <c r="S494">
        <v>2.415384615384615</v>
      </c>
      <c r="T494">
        <v>33</v>
      </c>
      <c r="U494">
        <v>0.9336363636363636</v>
      </c>
      <c r="V494">
        <v>2.4351</v>
      </c>
      <c r="W494">
        <v>1.3</v>
      </c>
      <c r="X494">
        <v>3.14</v>
      </c>
      <c r="Y494">
        <v>-0.5150319999999999</v>
      </c>
      <c r="Z494">
        <v>0.8776859504132232</v>
      </c>
      <c r="AA494">
        <v>0.07568438003220612</v>
      </c>
      <c r="AB494">
        <v>0.9316720257234726</v>
      </c>
      <c r="AC494">
        <v>0.6848874598070739</v>
      </c>
      <c r="AD494">
        <v>0.9437299035369775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8.960000000000001</v>
      </c>
      <c r="D495">
        <v>1069.79712</v>
      </c>
      <c r="E495" t="s">
        <v>669</v>
      </c>
      <c r="F495" t="s">
        <v>631</v>
      </c>
      <c r="G495" t="s">
        <v>679</v>
      </c>
      <c r="H495" t="s">
        <v>699</v>
      </c>
      <c r="I495" t="s">
        <v>1191</v>
      </c>
      <c r="J495" t="s">
        <v>1313</v>
      </c>
      <c r="K495">
        <v>44013</v>
      </c>
      <c r="L495">
        <v>0.156249999999999</v>
      </c>
      <c r="M495">
        <v>0.007476646214915394</v>
      </c>
      <c r="N495">
        <v>0.061</v>
      </c>
      <c r="O495">
        <v>0.1516754593736782</v>
      </c>
      <c r="P495" t="s">
        <v>558</v>
      </c>
      <c r="Q495" t="s">
        <v>383</v>
      </c>
      <c r="R495">
        <v>0</v>
      </c>
      <c r="S495">
        <v>1.505376344086021</v>
      </c>
      <c r="T495">
        <v>9.300000000000001</v>
      </c>
      <c r="U495">
        <v>0.9634408602150538</v>
      </c>
      <c r="V495">
        <v>-0.3409</v>
      </c>
      <c r="W495">
        <v>0.93</v>
      </c>
      <c r="X495">
        <v>1.4</v>
      </c>
      <c r="Y495">
        <v>-0.297806</v>
      </c>
      <c r="Z495">
        <v>0.943801652892562</v>
      </c>
      <c r="AA495">
        <v>0.286634460547504</v>
      </c>
      <c r="AB495">
        <v>0.6897106109324759</v>
      </c>
      <c r="AC495">
        <v>0.6463022508038585</v>
      </c>
      <c r="AD495">
        <v>0.9308681672025724</v>
      </c>
    </row>
    <row r="496" spans="1:30">
      <c r="A496" s="1" t="s">
        <v>503</v>
      </c>
      <c r="B496">
        <f>HYPERLINK("https://www.suredividend.com/sure-analysis-TOT/","Total SA")</f>
        <v>0</v>
      </c>
      <c r="C496">
        <v>38.48</v>
      </c>
      <c r="D496">
        <v>100987.402697</v>
      </c>
      <c r="E496" t="s">
        <v>662</v>
      </c>
      <c r="F496" t="s">
        <v>631</v>
      </c>
      <c r="G496" t="s">
        <v>685</v>
      </c>
      <c r="H496" t="s">
        <v>699</v>
      </c>
      <c r="I496" t="s">
        <v>1192</v>
      </c>
      <c r="J496" t="s">
        <v>1316</v>
      </c>
      <c r="K496">
        <v>43959</v>
      </c>
      <c r="L496">
        <v>0.07712318087318</v>
      </c>
      <c r="M496">
        <v>0.02717282852660752</v>
      </c>
      <c r="N496">
        <v>0.07000000000000001</v>
      </c>
      <c r="O496">
        <v>0.1495906352874257</v>
      </c>
      <c r="P496" t="s">
        <v>558</v>
      </c>
      <c r="Q496" t="s">
        <v>383</v>
      </c>
      <c r="R496">
        <v>3</v>
      </c>
      <c r="S496">
        <v>2.119785714285714</v>
      </c>
      <c r="T496">
        <v>44</v>
      </c>
      <c r="U496">
        <v>0.8745454545454545</v>
      </c>
      <c r="V496">
        <v>3.1522</v>
      </c>
      <c r="W496">
        <v>1.4</v>
      </c>
      <c r="X496">
        <v>2.9677</v>
      </c>
      <c r="Y496">
        <v>-0.293297</v>
      </c>
      <c r="Z496">
        <v>0.8148760330578513</v>
      </c>
      <c r="AA496">
        <v>0.2946859903381642</v>
      </c>
      <c r="AB496">
        <v>0.7387459807073955</v>
      </c>
      <c r="AC496">
        <v>0.7556270096463023</v>
      </c>
      <c r="AD496">
        <v>0.9260450160771704</v>
      </c>
    </row>
    <row r="497" spans="1:30">
      <c r="A497" s="1" t="s">
        <v>504</v>
      </c>
      <c r="B497">
        <f>HYPERLINK("https://www.suredividend.com/sure-analysis-HFC/","HollyFrontier Corp.")</f>
        <v>0</v>
      </c>
      <c r="C497">
        <v>27.48</v>
      </c>
      <c r="D497">
        <v>4448.62728</v>
      </c>
      <c r="E497" t="s">
        <v>662</v>
      </c>
      <c r="F497" t="s">
        <v>631</v>
      </c>
      <c r="G497" t="s">
        <v>670</v>
      </c>
      <c r="H497" t="s">
        <v>699</v>
      </c>
      <c r="I497" t="s">
        <v>1069</v>
      </c>
      <c r="J497" t="s">
        <v>1316</v>
      </c>
      <c r="K497">
        <v>43959</v>
      </c>
      <c r="L497">
        <v>0.04949053857350801</v>
      </c>
      <c r="M497">
        <v>0.07253031349874406</v>
      </c>
      <c r="N497">
        <v>0.04</v>
      </c>
      <c r="O497">
        <v>0.1484196450831738</v>
      </c>
      <c r="P497" t="s">
        <v>558</v>
      </c>
      <c r="Q497" t="s">
        <v>300</v>
      </c>
      <c r="R497">
        <v>2</v>
      </c>
      <c r="S497">
        <v>1.236363636363636</v>
      </c>
      <c r="T497">
        <v>39</v>
      </c>
      <c r="U497">
        <v>0.7046153846153846</v>
      </c>
      <c r="V497">
        <v>1.2519</v>
      </c>
      <c r="W497">
        <v>1.1</v>
      </c>
      <c r="X497">
        <v>1.36</v>
      </c>
      <c r="Y497">
        <v>-0.429402</v>
      </c>
      <c r="Z497">
        <v>0.6495867768595042</v>
      </c>
      <c r="AA497">
        <v>0.143317230273752</v>
      </c>
      <c r="AB497">
        <v>0.3794212218649518</v>
      </c>
      <c r="AC497">
        <v>0.9340836012861736</v>
      </c>
      <c r="AD497">
        <v>0.9212218649517685</v>
      </c>
    </row>
    <row r="498" spans="1:30">
      <c r="A498" s="1" t="s">
        <v>505</v>
      </c>
      <c r="B498">
        <f>HYPERLINK("https://www.suredividend.com/sure-analysis-FTI/","TechnipFMC Plc")</f>
        <v>0</v>
      </c>
      <c r="C498">
        <v>7.71</v>
      </c>
      <c r="D498">
        <v>3456.41613</v>
      </c>
      <c r="E498" t="s">
        <v>662</v>
      </c>
      <c r="F498" t="s">
        <v>631</v>
      </c>
      <c r="G498" t="s">
        <v>673</v>
      </c>
      <c r="H498" t="s">
        <v>699</v>
      </c>
      <c r="I498" t="s">
        <v>1193</v>
      </c>
      <c r="J498" t="s">
        <v>1316</v>
      </c>
      <c r="K498">
        <v>43945</v>
      </c>
      <c r="L498">
        <v>0.067444876783398</v>
      </c>
      <c r="M498">
        <v>0.05338983791671348</v>
      </c>
      <c r="N498">
        <v>0.09</v>
      </c>
      <c r="O498">
        <v>0.1481949233292177</v>
      </c>
      <c r="P498" t="s">
        <v>558</v>
      </c>
      <c r="Q498" t="s">
        <v>300</v>
      </c>
      <c r="R498">
        <v>0</v>
      </c>
      <c r="S498">
        <v>2.6</v>
      </c>
      <c r="T498">
        <v>10</v>
      </c>
      <c r="U498">
        <v>0.771</v>
      </c>
      <c r="V498">
        <v>-12.7252</v>
      </c>
      <c r="W498">
        <v>0.2</v>
      </c>
      <c r="X498">
        <v>0.52</v>
      </c>
      <c r="Y498">
        <v>-0.690858</v>
      </c>
      <c r="Z498">
        <v>0.7752066115702479</v>
      </c>
      <c r="AA498">
        <v>0.01932367149758454</v>
      </c>
      <c r="AB498">
        <v>0.8633440514469453</v>
      </c>
      <c r="AC498">
        <v>0.8729903536977491</v>
      </c>
      <c r="AD498">
        <v>0.9196141479099679</v>
      </c>
    </row>
    <row r="499" spans="1:30">
      <c r="A499" s="1" t="s">
        <v>506</v>
      </c>
      <c r="B499">
        <f>HYPERLINK("https://www.suredividend.com/sure-analysis-BRX/","Brixmor Property Group, Inc.")</f>
        <v>0</v>
      </c>
      <c r="C499">
        <v>11.87</v>
      </c>
      <c r="D499">
        <v>3518.84963</v>
      </c>
      <c r="E499" t="s">
        <v>668</v>
      </c>
      <c r="F499" t="s">
        <v>633</v>
      </c>
      <c r="G499" t="s">
        <v>670</v>
      </c>
      <c r="H499" t="s">
        <v>699</v>
      </c>
      <c r="I499" t="s">
        <v>1194</v>
      </c>
      <c r="J499" t="s">
        <v>1321</v>
      </c>
      <c r="K499">
        <v>43971</v>
      </c>
      <c r="L499">
        <v>0.09519797809604001</v>
      </c>
      <c r="M499">
        <v>0.09865307704591686</v>
      </c>
      <c r="N499">
        <v>0</v>
      </c>
      <c r="O499">
        <v>0.144924293208841</v>
      </c>
      <c r="P499" t="s">
        <v>558</v>
      </c>
      <c r="Q499" t="s">
        <v>383</v>
      </c>
      <c r="R499">
        <v>0</v>
      </c>
      <c r="S499">
        <v>1.177083333333333</v>
      </c>
      <c r="T499">
        <v>19</v>
      </c>
      <c r="U499">
        <v>0.6247368421052631</v>
      </c>
      <c r="V499">
        <v>0.909</v>
      </c>
      <c r="W499">
        <v>0.96</v>
      </c>
      <c r="X499">
        <v>1.13</v>
      </c>
      <c r="Y499">
        <v>-0.344923</v>
      </c>
      <c r="Z499">
        <v>0.856198347107438</v>
      </c>
      <c r="AA499">
        <v>0.2383252818035427</v>
      </c>
      <c r="AB499">
        <v>0.04180064308681672</v>
      </c>
      <c r="AC499">
        <v>0.9678456591639872</v>
      </c>
      <c r="AD499">
        <v>0.909967845659164</v>
      </c>
    </row>
    <row r="500" spans="1:30">
      <c r="A500" s="1" t="s">
        <v>507</v>
      </c>
      <c r="B500">
        <f>HYPERLINK("https://www.suredividend.com/sure-analysis-SCM/","Stellus Capital Investment Corp.")</f>
        <v>0</v>
      </c>
      <c r="C500">
        <v>7.48</v>
      </c>
      <c r="D500">
        <v>145.667016</v>
      </c>
      <c r="E500" t="s">
        <v>663</v>
      </c>
      <c r="F500" t="s">
        <v>631</v>
      </c>
      <c r="G500" t="s">
        <v>670</v>
      </c>
      <c r="H500" t="s">
        <v>699</v>
      </c>
      <c r="I500" t="s">
        <v>1195</v>
      </c>
      <c r="J500" t="s">
        <v>1311</v>
      </c>
      <c r="K500">
        <v>43983</v>
      </c>
      <c r="L500">
        <v>0.169745989304812</v>
      </c>
      <c r="M500">
        <v>0.01353249640062448</v>
      </c>
      <c r="N500">
        <v>0.02</v>
      </c>
      <c r="O500">
        <v>0.1442193501091986</v>
      </c>
      <c r="P500" t="s">
        <v>558</v>
      </c>
      <c r="Q500" t="s">
        <v>636</v>
      </c>
      <c r="R500">
        <v>0</v>
      </c>
      <c r="S500">
        <v>1.2697</v>
      </c>
      <c r="T500">
        <v>8</v>
      </c>
      <c r="U500">
        <v>0.9350000000000001</v>
      </c>
      <c r="V500">
        <v>-1.3993</v>
      </c>
      <c r="W500">
        <v>1</v>
      </c>
      <c r="X500">
        <v>1.2697</v>
      </c>
      <c r="Y500">
        <v>-0.472868</v>
      </c>
      <c r="Z500">
        <v>0.9586776859504132</v>
      </c>
      <c r="AA500">
        <v>0.1046698872785829</v>
      </c>
      <c r="AB500">
        <v>0.157556270096463</v>
      </c>
      <c r="AC500">
        <v>0.6768488745980707</v>
      </c>
      <c r="AD500">
        <v>0.9067524115755627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17</v>
      </c>
      <c r="D501">
        <v>25927.55</v>
      </c>
      <c r="E501" t="s">
        <v>662</v>
      </c>
      <c r="F501" t="s">
        <v>631</v>
      </c>
      <c r="G501" t="s">
        <v>671</v>
      </c>
      <c r="H501" t="s">
        <v>699</v>
      </c>
      <c r="I501" t="s">
        <v>1196</v>
      </c>
      <c r="J501" t="s">
        <v>1316</v>
      </c>
      <c r="K501">
        <v>43972</v>
      </c>
      <c r="L501">
        <v>0.07622611087921401</v>
      </c>
      <c r="M501">
        <v>0.03303780411393231</v>
      </c>
      <c r="N501">
        <v>0.08</v>
      </c>
      <c r="O501">
        <v>0.141608227144896</v>
      </c>
      <c r="P501" t="s">
        <v>558</v>
      </c>
      <c r="Q501" t="s">
        <v>300</v>
      </c>
      <c r="R501">
        <v>0</v>
      </c>
      <c r="S501">
        <v>9.99</v>
      </c>
      <c r="T501">
        <v>20</v>
      </c>
      <c r="U501">
        <v>0.85</v>
      </c>
      <c r="V501">
        <v>-1.0618</v>
      </c>
      <c r="W501">
        <v>-1.5</v>
      </c>
      <c r="X501">
        <v>1.29584388494665</v>
      </c>
      <c r="Y501">
        <v>-0.454954</v>
      </c>
      <c r="Z501">
        <v>0.8132231404958677</v>
      </c>
      <c r="AA501">
        <v>0.1239935587761675</v>
      </c>
      <c r="AB501">
        <v>0.8127009646302251</v>
      </c>
      <c r="AC501">
        <v>0.7829581993569131</v>
      </c>
      <c r="AD501">
        <v>0.9003215434083601</v>
      </c>
    </row>
    <row r="502" spans="1:30">
      <c r="A502" s="1" t="s">
        <v>509</v>
      </c>
      <c r="B502">
        <f>HYPERLINK("https://www.suredividend.com/sure-analysis-OZK/","Bank OZK")</f>
        <v>0</v>
      </c>
      <c r="C502">
        <v>23.41</v>
      </c>
      <c r="D502">
        <v>3010.54941</v>
      </c>
      <c r="E502" t="s">
        <v>659</v>
      </c>
      <c r="F502" t="s">
        <v>631</v>
      </c>
      <c r="G502" t="s">
        <v>670</v>
      </c>
      <c r="H502" t="s">
        <v>701</v>
      </c>
      <c r="I502" t="s">
        <v>1197</v>
      </c>
      <c r="J502" t="s">
        <v>1311</v>
      </c>
      <c r="K502">
        <v>43951</v>
      </c>
      <c r="L502">
        <v>0.041862451943613</v>
      </c>
      <c r="M502">
        <v>0.05085783888745898</v>
      </c>
      <c r="N502">
        <v>0.05</v>
      </c>
      <c r="O502">
        <v>0.1373835081543695</v>
      </c>
      <c r="P502" t="s">
        <v>558</v>
      </c>
      <c r="Q502" t="s">
        <v>300</v>
      </c>
      <c r="R502">
        <v>24</v>
      </c>
      <c r="S502">
        <v>1.96</v>
      </c>
      <c r="T502">
        <v>30</v>
      </c>
      <c r="U502">
        <v>0.7803333333333333</v>
      </c>
      <c r="V502">
        <v>2.5362</v>
      </c>
      <c r="W502">
        <v>0.5</v>
      </c>
      <c r="X502">
        <v>0.98</v>
      </c>
      <c r="Y502">
        <v>-0.181182</v>
      </c>
      <c r="Z502">
        <v>0.571900826446281</v>
      </c>
      <c r="AA502">
        <v>0.4315619967793881</v>
      </c>
      <c r="AB502">
        <v>0.5160771704180064</v>
      </c>
      <c r="AC502">
        <v>0.860128617363344</v>
      </c>
      <c r="AD502">
        <v>0.887459807073955</v>
      </c>
    </row>
    <row r="503" spans="1:30">
      <c r="A503" s="1" t="s">
        <v>510</v>
      </c>
      <c r="B503">
        <f>HYPERLINK("https://www.suredividend.com/sure-analysis-XOM/","Exxon Mobil Corp.")</f>
        <v>0</v>
      </c>
      <c r="C503">
        <v>43.52</v>
      </c>
      <c r="D503">
        <v>184011.6992</v>
      </c>
      <c r="E503" t="s">
        <v>662</v>
      </c>
      <c r="F503" t="s">
        <v>631</v>
      </c>
      <c r="G503" t="s">
        <v>670</v>
      </c>
      <c r="H503" t="s">
        <v>699</v>
      </c>
      <c r="I503" t="s">
        <v>1198</v>
      </c>
      <c r="J503" t="s">
        <v>1316</v>
      </c>
      <c r="K503">
        <v>43958</v>
      </c>
      <c r="L503">
        <v>0.079963235294117</v>
      </c>
      <c r="M503">
        <v>-0.007084979206094522</v>
      </c>
      <c r="N503">
        <v>0.09</v>
      </c>
      <c r="O503">
        <v>0.1366183431484864</v>
      </c>
      <c r="P503" t="s">
        <v>558</v>
      </c>
      <c r="Q503" t="s">
        <v>300</v>
      </c>
      <c r="R503">
        <v>37</v>
      </c>
      <c r="S503">
        <v>9.99</v>
      </c>
      <c r="T503">
        <v>42</v>
      </c>
      <c r="U503">
        <v>1.036190476190476</v>
      </c>
      <c r="V503">
        <v>2.6622</v>
      </c>
      <c r="W503">
        <v>-0.4</v>
      </c>
      <c r="X503">
        <v>3.48</v>
      </c>
      <c r="Y503">
        <v>-0.418493</v>
      </c>
      <c r="Z503">
        <v>0.8231404958677686</v>
      </c>
      <c r="AA503">
        <v>0.1497584541062802</v>
      </c>
      <c r="AB503">
        <v>0.8633440514469453</v>
      </c>
      <c r="AC503">
        <v>0.5659163987138264</v>
      </c>
      <c r="AD503">
        <v>0.8842443729903537</v>
      </c>
    </row>
    <row r="504" spans="1:30">
      <c r="A504" s="1" t="s">
        <v>511</v>
      </c>
      <c r="B504">
        <f>HYPERLINK("https://www.suredividend.com/sure-analysis-UFS/","Domtar Corp.")</f>
        <v>0</v>
      </c>
      <c r="C504">
        <v>22.39</v>
      </c>
      <c r="D504">
        <v>1235.742163</v>
      </c>
      <c r="E504" t="s">
        <v>660</v>
      </c>
      <c r="F504" t="s">
        <v>631</v>
      </c>
      <c r="G504" t="s">
        <v>670</v>
      </c>
      <c r="H504" t="s">
        <v>699</v>
      </c>
      <c r="I504" t="s">
        <v>1199</v>
      </c>
      <c r="J504" t="s">
        <v>1319</v>
      </c>
      <c r="K504">
        <v>43959</v>
      </c>
      <c r="L504">
        <v>0.081286288521661</v>
      </c>
      <c r="M504">
        <v>0.04573293828112512</v>
      </c>
      <c r="N504">
        <v>0.03</v>
      </c>
      <c r="O504">
        <v>0.1355103073897053</v>
      </c>
      <c r="P504" t="s">
        <v>558</v>
      </c>
      <c r="Q504" t="s">
        <v>300</v>
      </c>
      <c r="R504">
        <v>10</v>
      </c>
      <c r="S504">
        <v>3.64</v>
      </c>
      <c r="T504">
        <v>28</v>
      </c>
      <c r="U504">
        <v>0.7996428571428572</v>
      </c>
      <c r="V504">
        <v>0.1067</v>
      </c>
      <c r="W504">
        <v>0.5</v>
      </c>
      <c r="X504">
        <v>1.82</v>
      </c>
      <c r="Y504">
        <v>-0.457607</v>
      </c>
      <c r="Z504">
        <v>0.8297520661157024</v>
      </c>
      <c r="AA504">
        <v>0.1191626409017713</v>
      </c>
      <c r="AB504">
        <v>0.247588424437299</v>
      </c>
      <c r="AC504">
        <v>0.8488745980707395</v>
      </c>
      <c r="AD504">
        <v>0.8794212218649519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8.92</v>
      </c>
      <c r="D505">
        <v>9046.8424</v>
      </c>
      <c r="E505" t="s">
        <v>659</v>
      </c>
      <c r="F505" t="s">
        <v>631</v>
      </c>
      <c r="G505" t="s">
        <v>670</v>
      </c>
      <c r="H505" t="s">
        <v>701</v>
      </c>
      <c r="I505" t="s">
        <v>1200</v>
      </c>
      <c r="J505" t="s">
        <v>1311</v>
      </c>
      <c r="K505">
        <v>43944</v>
      </c>
      <c r="L505">
        <v>0.066143497757847</v>
      </c>
      <c r="M505">
        <v>0.04281091000177462</v>
      </c>
      <c r="N505">
        <v>0.04</v>
      </c>
      <c r="O505">
        <v>0.1352492395978251</v>
      </c>
      <c r="P505" t="s">
        <v>558</v>
      </c>
      <c r="Q505" t="s">
        <v>300</v>
      </c>
      <c r="R505">
        <v>10</v>
      </c>
      <c r="S505">
        <v>2.36</v>
      </c>
      <c r="T505">
        <v>11</v>
      </c>
      <c r="U505">
        <v>0.8109090909090909</v>
      </c>
      <c r="V505">
        <v>0.9924000000000001</v>
      </c>
      <c r="W505">
        <v>0.25</v>
      </c>
      <c r="X505">
        <v>0.59</v>
      </c>
      <c r="Y505">
        <v>-0.351744</v>
      </c>
      <c r="Z505">
        <v>0.7636363636363636</v>
      </c>
      <c r="AA505">
        <v>0.2206119162640902</v>
      </c>
      <c r="AB505">
        <v>0.3794212218649518</v>
      </c>
      <c r="AC505">
        <v>0.8295819935691319</v>
      </c>
      <c r="AD505">
        <v>0.8778135048231512</v>
      </c>
    </row>
    <row r="506" spans="1:30">
      <c r="A506" s="1" t="s">
        <v>513</v>
      </c>
      <c r="B506">
        <f>HYPERLINK("https://www.suredividend.com/sure-analysis-OLN/","Olin Corp.")</f>
        <v>0</v>
      </c>
      <c r="C506">
        <v>12.12</v>
      </c>
      <c r="D506">
        <v>1913.15412</v>
      </c>
      <c r="E506" t="s">
        <v>666</v>
      </c>
      <c r="F506" t="s">
        <v>631</v>
      </c>
      <c r="G506" t="s">
        <v>670</v>
      </c>
      <c r="H506" t="s">
        <v>699</v>
      </c>
      <c r="I506" t="s">
        <v>1201</v>
      </c>
      <c r="J506" t="s">
        <v>1319</v>
      </c>
      <c r="K506">
        <v>43971</v>
      </c>
      <c r="L506">
        <v>0.066006600660066</v>
      </c>
      <c r="M506">
        <v>0.070013507989102</v>
      </c>
      <c r="N506">
        <v>0.02</v>
      </c>
      <c r="O506">
        <v>0.1344090769572444</v>
      </c>
      <c r="P506" t="s">
        <v>558</v>
      </c>
      <c r="Q506" t="s">
        <v>300</v>
      </c>
      <c r="R506">
        <v>0</v>
      </c>
      <c r="S506">
        <v>9.99</v>
      </c>
      <c r="T506">
        <v>17</v>
      </c>
      <c r="U506">
        <v>0.7129411764705882</v>
      </c>
      <c r="V506">
        <v>-0.8435</v>
      </c>
      <c r="W506">
        <v>-1.25</v>
      </c>
      <c r="X506">
        <v>0.8</v>
      </c>
      <c r="Y506">
        <v>-0.434174</v>
      </c>
      <c r="Z506">
        <v>0.7619834710743801</v>
      </c>
      <c r="AA506">
        <v>0.1368760064412238</v>
      </c>
      <c r="AB506">
        <v>0.157556270096463</v>
      </c>
      <c r="AC506">
        <v>0.9244372990353698</v>
      </c>
      <c r="AD506">
        <v>0.8729903536977491</v>
      </c>
    </row>
    <row r="507" spans="1:30">
      <c r="A507" s="1" t="s">
        <v>514</v>
      </c>
      <c r="B507">
        <f>HYPERLINK("https://www.suredividend.com/sure-analysis-CEO/","CNOOC Ltd.")</f>
        <v>0</v>
      </c>
      <c r="C507">
        <v>111.02</v>
      </c>
      <c r="D507">
        <v>49567.6545</v>
      </c>
      <c r="E507" t="s">
        <v>662</v>
      </c>
      <c r="F507" t="s">
        <v>631</v>
      </c>
      <c r="G507" t="s">
        <v>692</v>
      </c>
      <c r="H507" t="s">
        <v>699</v>
      </c>
      <c r="I507" t="s">
        <v>1202</v>
      </c>
      <c r="J507" t="s">
        <v>1316</v>
      </c>
      <c r="K507">
        <v>43984</v>
      </c>
      <c r="L507">
        <v>0.08078697531976201</v>
      </c>
      <c r="M507">
        <v>-0.1342380248977608</v>
      </c>
      <c r="N507">
        <v>0.25</v>
      </c>
      <c r="O507">
        <v>0.1336729572984989</v>
      </c>
      <c r="P507" t="s">
        <v>558</v>
      </c>
      <c r="Q507" t="s">
        <v>383</v>
      </c>
      <c r="R507">
        <v>3</v>
      </c>
      <c r="S507">
        <v>1.494828333333333</v>
      </c>
      <c r="T507">
        <v>54</v>
      </c>
      <c r="U507">
        <v>2.055925925925926</v>
      </c>
      <c r="V507">
        <v>19.7958</v>
      </c>
      <c r="W507">
        <v>6</v>
      </c>
      <c r="X507">
        <v>8.968970000000001</v>
      </c>
      <c r="Y507">
        <v>-0.325516</v>
      </c>
      <c r="Z507">
        <v>0.828099173553719</v>
      </c>
      <c r="AA507">
        <v>0.2560386473429952</v>
      </c>
      <c r="AB507">
        <v>0.997588424437299</v>
      </c>
      <c r="AC507">
        <v>0.02411575562700964</v>
      </c>
      <c r="AD507">
        <v>0.8713826366559485</v>
      </c>
    </row>
    <row r="508" spans="1:30">
      <c r="A508" s="1" t="s">
        <v>515</v>
      </c>
      <c r="B508">
        <f>HYPERLINK("https://www.suredividend.com/sure-analysis-LMRK/","Landmark Infrastructure Partners LP")</f>
        <v>0</v>
      </c>
      <c r="C508">
        <v>9.33</v>
      </c>
      <c r="D508">
        <v>237.70974</v>
      </c>
      <c r="E508" t="s">
        <v>669</v>
      </c>
      <c r="F508" t="s">
        <v>632</v>
      </c>
      <c r="G508" t="s">
        <v>670</v>
      </c>
      <c r="H508" t="s">
        <v>701</v>
      </c>
      <c r="I508" t="s">
        <v>1203</v>
      </c>
      <c r="J508" t="s">
        <v>1321</v>
      </c>
      <c r="K508">
        <v>44012</v>
      </c>
      <c r="L508">
        <v>0.157556270096463</v>
      </c>
      <c r="M508">
        <v>0.03348031350915059</v>
      </c>
      <c r="N508">
        <v>0.025</v>
      </c>
      <c r="O508">
        <v>0.1333402359175535</v>
      </c>
      <c r="P508" t="s">
        <v>558</v>
      </c>
      <c r="Q508" t="s">
        <v>383</v>
      </c>
      <c r="R508">
        <v>0</v>
      </c>
      <c r="S508">
        <v>1.47</v>
      </c>
      <c r="T508">
        <v>11</v>
      </c>
      <c r="U508">
        <v>0.8481818181818181</v>
      </c>
      <c r="V508">
        <v>-0.0002</v>
      </c>
      <c r="W508">
        <v>1</v>
      </c>
      <c r="X508">
        <v>1.47</v>
      </c>
      <c r="Y508">
        <v>-0.435913</v>
      </c>
      <c r="Z508">
        <v>0.9487603305785125</v>
      </c>
      <c r="AA508">
        <v>0.1336553945249598</v>
      </c>
      <c r="AB508">
        <v>0.1945337620578778</v>
      </c>
      <c r="AC508">
        <v>0.7861736334405144</v>
      </c>
      <c r="AD508">
        <v>0.8697749196141479</v>
      </c>
    </row>
    <row r="509" spans="1:30">
      <c r="A509" s="1" t="s">
        <v>516</v>
      </c>
      <c r="B509">
        <f>HYPERLINK("https://www.suredividend.com/sure-analysis-MPC/","Marathon Petroleum Corp.")</f>
        <v>0</v>
      </c>
      <c r="C509">
        <v>37.93</v>
      </c>
      <c r="D509">
        <v>24664.39973</v>
      </c>
      <c r="E509" t="s">
        <v>662</v>
      </c>
      <c r="F509" t="s">
        <v>631</v>
      </c>
      <c r="G509" t="s">
        <v>670</v>
      </c>
      <c r="H509" t="s">
        <v>699</v>
      </c>
      <c r="I509" t="s">
        <v>951</v>
      </c>
      <c r="J509" t="s">
        <v>1316</v>
      </c>
      <c r="K509">
        <v>43964</v>
      </c>
      <c r="L509">
        <v>0.057210651199578</v>
      </c>
      <c r="M509">
        <v>0.05254978643519892</v>
      </c>
      <c r="N509">
        <v>0.03</v>
      </c>
      <c r="O509">
        <v>0.1287325931172669</v>
      </c>
      <c r="P509" t="s">
        <v>558</v>
      </c>
      <c r="Q509" t="s">
        <v>300</v>
      </c>
      <c r="R509">
        <v>9</v>
      </c>
      <c r="S509">
        <v>9.99</v>
      </c>
      <c r="T509">
        <v>49</v>
      </c>
      <c r="U509">
        <v>0.7740816326530612</v>
      </c>
      <c r="V509">
        <v>-10.2265</v>
      </c>
      <c r="W509">
        <v>-1.8</v>
      </c>
      <c r="X509">
        <v>2.17</v>
      </c>
      <c r="Y509">
        <v>-0.314848</v>
      </c>
      <c r="Z509">
        <v>0.7041322314049587</v>
      </c>
      <c r="AA509">
        <v>0.2689210950080515</v>
      </c>
      <c r="AB509">
        <v>0.247588424437299</v>
      </c>
      <c r="AC509">
        <v>0.8665594855305465</v>
      </c>
      <c r="AD509">
        <v>0.8553054662379421</v>
      </c>
    </row>
    <row r="510" spans="1:30">
      <c r="A510" s="1" t="s">
        <v>517</v>
      </c>
      <c r="B510">
        <f>HYPERLINK("https://www.suredividend.com/sure-analysis-CIM/","Chimera Investment Corp.")</f>
        <v>0</v>
      </c>
      <c r="C510">
        <v>9.119999999999999</v>
      </c>
      <c r="D510">
        <v>1695.0432</v>
      </c>
      <c r="E510" t="s">
        <v>662</v>
      </c>
      <c r="F510" t="s">
        <v>631</v>
      </c>
      <c r="G510" t="s">
        <v>670</v>
      </c>
      <c r="H510" t="s">
        <v>699</v>
      </c>
      <c r="I510" t="s">
        <v>1204</v>
      </c>
      <c r="J510" t="s">
        <v>1321</v>
      </c>
      <c r="K510">
        <v>43977</v>
      </c>
      <c r="L510">
        <v>0.219298245614035</v>
      </c>
      <c r="M510">
        <v>0.03630198951317576</v>
      </c>
      <c r="N510">
        <v>0.01</v>
      </c>
      <c r="O510">
        <v>0.1252938321335009</v>
      </c>
      <c r="P510" t="s">
        <v>558</v>
      </c>
      <c r="Q510" t="s">
        <v>636</v>
      </c>
      <c r="R510">
        <v>0</v>
      </c>
      <c r="S510">
        <v>1.428571428571429</v>
      </c>
      <c r="T510">
        <v>10.9</v>
      </c>
      <c r="U510">
        <v>0.836697247706422</v>
      </c>
      <c r="V510">
        <v>-0.7983</v>
      </c>
      <c r="W510">
        <v>1.4</v>
      </c>
      <c r="X510">
        <v>2</v>
      </c>
      <c r="Y510">
        <v>-0.5235109999999999</v>
      </c>
      <c r="Z510">
        <v>0.9801652892561984</v>
      </c>
      <c r="AA510">
        <v>0.06602254428341385</v>
      </c>
      <c r="AB510">
        <v>0.0819935691318328</v>
      </c>
      <c r="AC510">
        <v>0.8038585209003216</v>
      </c>
      <c r="AD510">
        <v>0.8440514469453376</v>
      </c>
    </row>
    <row r="511" spans="1:30">
      <c r="A511" s="1" t="s">
        <v>518</v>
      </c>
      <c r="B511">
        <f>HYPERLINK("https://www.suredividend.com/sure-analysis-WSR/","Whitestone REIT")</f>
        <v>0</v>
      </c>
      <c r="C511">
        <v>6.58</v>
      </c>
      <c r="D511">
        <v>277.2483</v>
      </c>
      <c r="E511" t="s">
        <v>668</v>
      </c>
      <c r="F511" t="s">
        <v>633</v>
      </c>
      <c r="G511" t="s">
        <v>670</v>
      </c>
      <c r="H511" t="s">
        <v>699</v>
      </c>
      <c r="I511" t="s">
        <v>1205</v>
      </c>
      <c r="J511" t="s">
        <v>1321</v>
      </c>
      <c r="K511">
        <v>44014</v>
      </c>
      <c r="L511">
        <v>0.145896656534954</v>
      </c>
      <c r="M511">
        <v>0.06464133351760881</v>
      </c>
      <c r="N511">
        <v>0</v>
      </c>
      <c r="O511">
        <v>0.1203507173358564</v>
      </c>
      <c r="P511" t="s">
        <v>558</v>
      </c>
      <c r="Q511" t="s">
        <v>383</v>
      </c>
      <c r="R511">
        <v>0</v>
      </c>
      <c r="S511">
        <v>1.432835820895522</v>
      </c>
      <c r="T511">
        <v>9</v>
      </c>
      <c r="U511">
        <v>0.7311111111111112</v>
      </c>
      <c r="V511">
        <v>0.5551</v>
      </c>
      <c r="W511">
        <v>0.67</v>
      </c>
      <c r="X511">
        <v>0.96</v>
      </c>
      <c r="Y511">
        <v>-0.481073</v>
      </c>
      <c r="Z511">
        <v>0.9355371900826447</v>
      </c>
      <c r="AA511">
        <v>0.09822866344605474</v>
      </c>
      <c r="AB511">
        <v>0.04180064308681672</v>
      </c>
      <c r="AC511">
        <v>0.9131832797427653</v>
      </c>
      <c r="AD511">
        <v>0.8263665594855305</v>
      </c>
    </row>
    <row r="512" spans="1:30">
      <c r="A512" s="1" t="s">
        <v>519</v>
      </c>
      <c r="B512">
        <f>HYPERLINK("https://www.suredividend.com/sure-analysis-CVX/","Chevron Corp.")</f>
        <v>0</v>
      </c>
      <c r="C512">
        <v>87.19</v>
      </c>
      <c r="D512">
        <v>162781.9862</v>
      </c>
      <c r="E512" t="s">
        <v>662</v>
      </c>
      <c r="F512" t="s">
        <v>631</v>
      </c>
      <c r="G512" t="s">
        <v>670</v>
      </c>
      <c r="H512" t="s">
        <v>699</v>
      </c>
      <c r="I512" t="s">
        <v>1206</v>
      </c>
      <c r="J512" t="s">
        <v>1316</v>
      </c>
      <c r="K512">
        <v>43958</v>
      </c>
      <c r="L512">
        <v>0.05574033719463201</v>
      </c>
      <c r="M512">
        <v>-0.04571854817624943</v>
      </c>
      <c r="N512">
        <v>0.13</v>
      </c>
      <c r="O512">
        <v>0.1200646357371</v>
      </c>
      <c r="P512" t="s">
        <v>558</v>
      </c>
      <c r="Q512" t="s">
        <v>300</v>
      </c>
      <c r="R512">
        <v>33</v>
      </c>
      <c r="S512">
        <v>9.99</v>
      </c>
      <c r="T512">
        <v>69</v>
      </c>
      <c r="U512">
        <v>1.263623188405797</v>
      </c>
      <c r="V512">
        <v>2.0527</v>
      </c>
      <c r="W512">
        <v>-0.7</v>
      </c>
      <c r="X512">
        <v>4.86</v>
      </c>
      <c r="Y512">
        <v>-0.30069</v>
      </c>
      <c r="Z512">
        <v>0.6925619834710744</v>
      </c>
      <c r="AA512">
        <v>0.2818035426731079</v>
      </c>
      <c r="AB512">
        <v>0.9606109324758844</v>
      </c>
      <c r="AC512">
        <v>0.3118971061093248</v>
      </c>
      <c r="AD512">
        <v>0.8247588424437299</v>
      </c>
    </row>
    <row r="513" spans="1:30">
      <c r="A513" s="1" t="s">
        <v>520</v>
      </c>
      <c r="B513">
        <f>HYPERLINK("https://www.suredividend.com/sure-analysis-LVS/","Las Vegas Sands Corp.")</f>
        <v>0</v>
      </c>
      <c r="C513">
        <v>48.69</v>
      </c>
      <c r="D513">
        <v>37186.0137</v>
      </c>
      <c r="E513" t="s">
        <v>660</v>
      </c>
      <c r="F513" t="s">
        <v>631</v>
      </c>
      <c r="G513" t="s">
        <v>670</v>
      </c>
      <c r="H513" t="s">
        <v>699</v>
      </c>
      <c r="I513" t="s">
        <v>1207</v>
      </c>
      <c r="J513" t="s">
        <v>1312</v>
      </c>
      <c r="K513">
        <v>43946</v>
      </c>
      <c r="L513">
        <v>0.06366810433353801</v>
      </c>
      <c r="M513">
        <v>0.02837059609751291</v>
      </c>
      <c r="N513">
        <v>0.04</v>
      </c>
      <c r="O513">
        <v>0.1189401796019911</v>
      </c>
      <c r="P513" t="s">
        <v>558</v>
      </c>
      <c r="Q513" t="s">
        <v>300</v>
      </c>
      <c r="R513">
        <v>7</v>
      </c>
      <c r="S513">
        <v>3.875</v>
      </c>
      <c r="T513">
        <v>56</v>
      </c>
      <c r="U513">
        <v>0.8694642857142857</v>
      </c>
      <c r="V513">
        <v>2.7476</v>
      </c>
      <c r="W513">
        <v>0.8</v>
      </c>
      <c r="X513">
        <v>3.1</v>
      </c>
      <c r="Y513">
        <v>-0.243121</v>
      </c>
      <c r="Z513">
        <v>0.7438016528925619</v>
      </c>
      <c r="AA513">
        <v>0.3478260869565217</v>
      </c>
      <c r="AB513">
        <v>0.3794212218649518</v>
      </c>
      <c r="AC513">
        <v>0.7604501607717041</v>
      </c>
      <c r="AD513">
        <v>0.8215434083601286</v>
      </c>
    </row>
    <row r="514" spans="1:30">
      <c r="A514" s="1" t="s">
        <v>521</v>
      </c>
      <c r="B514">
        <f>HYPERLINK("https://www.suredividend.com/sure-analysis-CRT/","Cross Timbers Royalty Trust")</f>
        <v>0</v>
      </c>
      <c r="C514">
        <v>6.17</v>
      </c>
      <c r="D514">
        <v>37.02</v>
      </c>
      <c r="E514" t="s">
        <v>662</v>
      </c>
      <c r="F514" t="s">
        <v>631</v>
      </c>
      <c r="G514" t="s">
        <v>670</v>
      </c>
      <c r="H514" t="s">
        <v>699</v>
      </c>
      <c r="J514" t="s">
        <v>1316</v>
      </c>
      <c r="K514">
        <v>43984</v>
      </c>
      <c r="L514">
        <v>0.161612155591572</v>
      </c>
      <c r="M514">
        <v>0.004178866308761409</v>
      </c>
      <c r="N514">
        <v>0</v>
      </c>
      <c r="O514">
        <v>0.1184787009367265</v>
      </c>
      <c r="P514" t="s">
        <v>558</v>
      </c>
      <c r="Q514" t="s">
        <v>636</v>
      </c>
      <c r="R514">
        <v>0</v>
      </c>
      <c r="S514">
        <v>1.107941111111111</v>
      </c>
      <c r="T514">
        <v>6.3</v>
      </c>
      <c r="U514">
        <v>0.9793650793650793</v>
      </c>
      <c r="V514">
        <v>0.9972000000000001</v>
      </c>
      <c r="W514">
        <v>0.9</v>
      </c>
      <c r="X514">
        <v>0.997147</v>
      </c>
      <c r="Y514">
        <v>-0.468103</v>
      </c>
      <c r="Z514">
        <v>0.9520661157024793</v>
      </c>
      <c r="AA514">
        <v>0.107890499194847</v>
      </c>
      <c r="AB514">
        <v>0.04180064308681672</v>
      </c>
      <c r="AC514">
        <v>0.6237942122186495</v>
      </c>
      <c r="AD514">
        <v>0.819935691318328</v>
      </c>
    </row>
    <row r="515" spans="1:30">
      <c r="A515" s="1" t="s">
        <v>522</v>
      </c>
      <c r="B515">
        <f>HYPERLINK("https://www.suredividend.com/sure-analysis-VLO/","Valero Energy Corp.")</f>
        <v>0</v>
      </c>
      <c r="C515">
        <v>55.47</v>
      </c>
      <c r="D515">
        <v>22615.06353</v>
      </c>
      <c r="E515" t="s">
        <v>662</v>
      </c>
      <c r="F515" t="s">
        <v>631</v>
      </c>
      <c r="G515" t="s">
        <v>670</v>
      </c>
      <c r="H515" t="s">
        <v>699</v>
      </c>
      <c r="I515" t="s">
        <v>1208</v>
      </c>
      <c r="J515" t="s">
        <v>1316</v>
      </c>
      <c r="K515">
        <v>43955</v>
      </c>
      <c r="L515">
        <v>0.066342166937083</v>
      </c>
      <c r="M515">
        <v>0.02250797682025185</v>
      </c>
      <c r="N515">
        <v>0.04</v>
      </c>
      <c r="O515">
        <v>0.1179277663269112</v>
      </c>
      <c r="P515" t="s">
        <v>558</v>
      </c>
      <c r="Q515" t="s">
        <v>300</v>
      </c>
      <c r="R515">
        <v>10</v>
      </c>
      <c r="S515">
        <v>3.066666666666667</v>
      </c>
      <c r="T515">
        <v>62</v>
      </c>
      <c r="U515">
        <v>0.8946774193548387</v>
      </c>
      <c r="V515">
        <v>0.9884000000000001</v>
      </c>
      <c r="W515">
        <v>1.2</v>
      </c>
      <c r="X515">
        <v>3.68</v>
      </c>
      <c r="Y515">
        <v>-0.334493</v>
      </c>
      <c r="Z515">
        <v>0.768595041322314</v>
      </c>
      <c r="AA515">
        <v>0.251207729468599</v>
      </c>
      <c r="AB515">
        <v>0.3794212218649518</v>
      </c>
      <c r="AC515">
        <v>0.7331189710610932</v>
      </c>
      <c r="AD515">
        <v>0.8151125401929261</v>
      </c>
    </row>
    <row r="516" spans="1:30">
      <c r="A516" s="1" t="s">
        <v>523</v>
      </c>
      <c r="B516">
        <f>HYPERLINK("https://www.suredividend.com/sure-analysis-RCL/","Royal Caribbean Cruises Ltd.")</f>
        <v>0</v>
      </c>
      <c r="C516">
        <v>53.14</v>
      </c>
      <c r="D516">
        <v>11126.7189</v>
      </c>
      <c r="E516" t="s">
        <v>663</v>
      </c>
      <c r="F516" t="s">
        <v>631</v>
      </c>
      <c r="G516" t="s">
        <v>670</v>
      </c>
      <c r="H516" t="s">
        <v>699</v>
      </c>
      <c r="I516" t="s">
        <v>1209</v>
      </c>
      <c r="J516" t="s">
        <v>1312</v>
      </c>
      <c r="K516">
        <v>43974</v>
      </c>
      <c r="L516">
        <v>0.057207376740684</v>
      </c>
      <c r="M516">
        <v>0.05666007427329611</v>
      </c>
      <c r="N516">
        <v>0.04</v>
      </c>
      <c r="O516">
        <v>0.1139917824399401</v>
      </c>
      <c r="P516" t="s">
        <v>558</v>
      </c>
      <c r="Q516" t="s">
        <v>300</v>
      </c>
      <c r="R516">
        <v>0</v>
      </c>
      <c r="S516">
        <v>9.99</v>
      </c>
      <c r="T516">
        <v>70</v>
      </c>
      <c r="U516">
        <v>0.7591428571428571</v>
      </c>
      <c r="V516">
        <v>0.8685</v>
      </c>
      <c r="W516">
        <v>-11</v>
      </c>
      <c r="X516">
        <v>3.04</v>
      </c>
      <c r="Y516">
        <v>-0.521261</v>
      </c>
      <c r="Z516">
        <v>0.7024793388429752</v>
      </c>
      <c r="AA516">
        <v>0.06924315619967794</v>
      </c>
      <c r="AB516">
        <v>0.3794212218649518</v>
      </c>
      <c r="AC516">
        <v>0.8858520900321544</v>
      </c>
      <c r="AD516">
        <v>0.8006430868167204</v>
      </c>
    </row>
    <row r="517" spans="1:30">
      <c r="A517" s="1" t="s">
        <v>524</v>
      </c>
      <c r="B517">
        <f>HYPERLINK("https://www.suredividend.com/sure-analysis-CNQ/","Canadian Natural Resources Ltd.")</f>
        <v>0</v>
      </c>
      <c r="C517">
        <v>17.37</v>
      </c>
      <c r="D517">
        <v>20511.3645</v>
      </c>
      <c r="E517" t="s">
        <v>662</v>
      </c>
      <c r="F517" t="s">
        <v>631</v>
      </c>
      <c r="G517" t="s">
        <v>671</v>
      </c>
      <c r="H517" t="s">
        <v>699</v>
      </c>
      <c r="J517" t="s">
        <v>1316</v>
      </c>
      <c r="K517">
        <v>43983</v>
      </c>
      <c r="L517">
        <v>0.06702967185260801</v>
      </c>
      <c r="M517">
        <v>-0.02891266932333025</v>
      </c>
      <c r="N517">
        <v>0.1</v>
      </c>
      <c r="O517">
        <v>0.1131717236746943</v>
      </c>
      <c r="P517" t="s">
        <v>558</v>
      </c>
      <c r="Q517" t="s">
        <v>300</v>
      </c>
      <c r="R517">
        <v>4</v>
      </c>
      <c r="S517">
        <v>9.99</v>
      </c>
      <c r="T517">
        <v>15</v>
      </c>
      <c r="U517">
        <v>1.158</v>
      </c>
      <c r="V517">
        <v>2.0056</v>
      </c>
      <c r="W517">
        <v>-1.9</v>
      </c>
      <c r="X517">
        <v>1.16430540007981</v>
      </c>
      <c r="Y517">
        <v>-0.331923</v>
      </c>
      <c r="Z517">
        <v>0.7735537190082644</v>
      </c>
      <c r="AA517">
        <v>0.2528180354267311</v>
      </c>
      <c r="AB517">
        <v>0.9051446945337621</v>
      </c>
      <c r="AC517">
        <v>0.4244372990353698</v>
      </c>
      <c r="AD517">
        <v>0.7958199356913184</v>
      </c>
    </row>
    <row r="518" spans="1:30">
      <c r="A518" s="1" t="s">
        <v>525</v>
      </c>
      <c r="B518">
        <f>HYPERLINK("https://www.suredividend.com/sure-analysis-INN/","Summit Hotel Properties, Inc.")</f>
        <v>0</v>
      </c>
      <c r="C518">
        <v>5.43</v>
      </c>
      <c r="D518">
        <v>574.532363</v>
      </c>
      <c r="E518" t="s">
        <v>669</v>
      </c>
      <c r="F518" t="s">
        <v>633</v>
      </c>
      <c r="G518" t="s">
        <v>670</v>
      </c>
      <c r="H518" t="s">
        <v>699</v>
      </c>
      <c r="I518" t="s">
        <v>1210</v>
      </c>
      <c r="J518" t="s">
        <v>1321</v>
      </c>
      <c r="K518">
        <v>43978</v>
      </c>
      <c r="L518">
        <v>0.132596685082872</v>
      </c>
      <c r="M518">
        <v>0.02016468184820908</v>
      </c>
      <c r="N518">
        <v>0.046</v>
      </c>
      <c r="O518">
        <v>0.1122859840965422</v>
      </c>
      <c r="P518" t="s">
        <v>558</v>
      </c>
      <c r="Q518" t="s">
        <v>300</v>
      </c>
      <c r="R518">
        <v>0</v>
      </c>
      <c r="S518">
        <v>14.4</v>
      </c>
      <c r="T518">
        <v>6</v>
      </c>
      <c r="U518">
        <v>0.9049999999999999</v>
      </c>
      <c r="W518">
        <v>0.05</v>
      </c>
      <c r="X518">
        <v>0.72</v>
      </c>
      <c r="Y518">
        <v>-0.522427</v>
      </c>
      <c r="Z518">
        <v>0.9157024793388431</v>
      </c>
      <c r="AA518">
        <v>0.06763285024154589</v>
      </c>
      <c r="AB518">
        <v>0.4445337620578778</v>
      </c>
      <c r="AC518">
        <v>0.7234726688102895</v>
      </c>
      <c r="AD518">
        <v>0.7893890675241156</v>
      </c>
    </row>
    <row r="519" spans="1:30">
      <c r="A519" s="1" t="s">
        <v>526</v>
      </c>
      <c r="B519">
        <f>HYPERLINK("https://www.suredividend.com/sure-analysis-SPKE/","Spark Energy, Inc.")</f>
        <v>0</v>
      </c>
      <c r="C519">
        <v>7.27</v>
      </c>
      <c r="D519">
        <v>256.699338</v>
      </c>
      <c r="E519" t="s">
        <v>662</v>
      </c>
      <c r="F519" t="s">
        <v>631</v>
      </c>
      <c r="G519" t="s">
        <v>670</v>
      </c>
      <c r="H519" t="s">
        <v>701</v>
      </c>
      <c r="I519" t="s">
        <v>1211</v>
      </c>
      <c r="J519" t="s">
        <v>1315</v>
      </c>
      <c r="K519">
        <v>43980</v>
      </c>
      <c r="L519">
        <v>0.09972489683631301</v>
      </c>
      <c r="M519">
        <v>-0.1567323176804741</v>
      </c>
      <c r="N519">
        <v>0.229</v>
      </c>
      <c r="O519">
        <v>0.1116560147088443</v>
      </c>
      <c r="P519" t="s">
        <v>558</v>
      </c>
      <c r="Q519" t="s">
        <v>383</v>
      </c>
      <c r="R519">
        <v>0</v>
      </c>
      <c r="S519">
        <v>2.9</v>
      </c>
      <c r="T519">
        <v>3.1</v>
      </c>
      <c r="U519">
        <v>2.34516129032258</v>
      </c>
      <c r="V519">
        <v>0.3127</v>
      </c>
      <c r="W519">
        <v>0.25</v>
      </c>
      <c r="X519">
        <v>0.725</v>
      </c>
      <c r="Y519">
        <v>-0.358907</v>
      </c>
      <c r="Z519">
        <v>0.8710743801652893</v>
      </c>
      <c r="AA519">
        <v>0.2045088566827697</v>
      </c>
      <c r="AB519">
        <v>0.9935691318327975</v>
      </c>
      <c r="AC519">
        <v>0.01768488745980707</v>
      </c>
      <c r="AD519">
        <v>0.7829581993569131</v>
      </c>
    </row>
    <row r="520" spans="1:30">
      <c r="A520" s="1" t="s">
        <v>527</v>
      </c>
      <c r="B520">
        <f>HYPERLINK("https://www.suredividend.com/sure-analysis-AM/","Antero Midstream Corp.")</f>
        <v>0</v>
      </c>
      <c r="C520">
        <v>5.9</v>
      </c>
      <c r="D520">
        <v>2811.3264</v>
      </c>
      <c r="E520" t="s">
        <v>669</v>
      </c>
      <c r="F520" t="s">
        <v>631</v>
      </c>
      <c r="G520" t="s">
        <v>670</v>
      </c>
      <c r="H520" t="s">
        <v>699</v>
      </c>
      <c r="I520" t="s">
        <v>1212</v>
      </c>
      <c r="J520" t="s">
        <v>1316</v>
      </c>
      <c r="K520">
        <v>43999</v>
      </c>
      <c r="L520">
        <v>0.208474576271186</v>
      </c>
      <c r="M520">
        <v>-0.03256098310273881</v>
      </c>
      <c r="N520">
        <v>0.07000000000000001</v>
      </c>
      <c r="O520">
        <v>0.1115790353720656</v>
      </c>
      <c r="P520" t="s">
        <v>558</v>
      </c>
      <c r="Q520" t="s">
        <v>636</v>
      </c>
      <c r="R520">
        <v>0</v>
      </c>
      <c r="S520">
        <v>1.892307692307692</v>
      </c>
      <c r="T520">
        <v>5</v>
      </c>
      <c r="U520">
        <v>1.18</v>
      </c>
      <c r="V520">
        <v>-1.5385</v>
      </c>
      <c r="W520">
        <v>0.65</v>
      </c>
      <c r="X520">
        <v>1.23</v>
      </c>
      <c r="Y520">
        <v>-0.46461</v>
      </c>
      <c r="Z520">
        <v>0.9785123966942149</v>
      </c>
      <c r="AA520">
        <v>0.1127214170692432</v>
      </c>
      <c r="AB520">
        <v>0.7387459807073955</v>
      </c>
      <c r="AC520">
        <v>0.3842443729903537</v>
      </c>
      <c r="AD520">
        <v>0.7813504823151125</v>
      </c>
    </row>
    <row r="521" spans="1:30">
      <c r="A521" s="1" t="s">
        <v>528</v>
      </c>
      <c r="B521">
        <f>HYPERLINK("https://www.suredividend.com/sure-analysis-NLY/","Annaly Capital Management, Inc.")</f>
        <v>0</v>
      </c>
      <c r="C521">
        <v>7.02</v>
      </c>
      <c r="D521">
        <v>10041.5484</v>
      </c>
      <c r="E521" t="s">
        <v>669</v>
      </c>
      <c r="F521" t="s">
        <v>633</v>
      </c>
      <c r="G521" t="s">
        <v>670</v>
      </c>
      <c r="H521" t="s">
        <v>699</v>
      </c>
      <c r="I521" t="s">
        <v>1213</v>
      </c>
      <c r="J521" t="s">
        <v>1321</v>
      </c>
      <c r="K521">
        <v>44012</v>
      </c>
      <c r="L521">
        <v>0.142450142450142</v>
      </c>
      <c r="M521">
        <v>-0.01832309839372348</v>
      </c>
      <c r="N521">
        <v>0.019</v>
      </c>
      <c r="O521">
        <v>0.1103571785710451</v>
      </c>
      <c r="P521" t="s">
        <v>558</v>
      </c>
      <c r="Q521" t="s">
        <v>636</v>
      </c>
      <c r="R521">
        <v>0</v>
      </c>
      <c r="S521">
        <v>1.098901098901099</v>
      </c>
      <c r="T521">
        <v>6.4</v>
      </c>
      <c r="U521">
        <v>1.096875</v>
      </c>
      <c r="V521">
        <v>-3.5293</v>
      </c>
      <c r="W521">
        <v>0.91</v>
      </c>
      <c r="X521">
        <v>1</v>
      </c>
      <c r="Y521">
        <v>-0.253191</v>
      </c>
      <c r="Z521">
        <v>0.9289256198347107</v>
      </c>
      <c r="AA521">
        <v>0.3333333333333334</v>
      </c>
      <c r="AB521">
        <v>0.1221864951768489</v>
      </c>
      <c r="AC521">
        <v>0.4967845659163987</v>
      </c>
      <c r="AD521">
        <v>0.7749196141479099</v>
      </c>
    </row>
    <row r="522" spans="1:30">
      <c r="A522" s="1" t="s">
        <v>529</v>
      </c>
      <c r="B522">
        <f>HYPERLINK("https://www.suredividend.com/sure-analysis-LADR/","Ladder Capital Corp.")</f>
        <v>0</v>
      </c>
      <c r="C522">
        <v>7.53</v>
      </c>
      <c r="D522">
        <v>907.341905</v>
      </c>
      <c r="E522" t="s">
        <v>666</v>
      </c>
      <c r="F522" t="s">
        <v>633</v>
      </c>
      <c r="G522" t="s">
        <v>670</v>
      </c>
      <c r="H522" t="s">
        <v>699</v>
      </c>
      <c r="I522" t="s">
        <v>1214</v>
      </c>
      <c r="J522" t="s">
        <v>1321</v>
      </c>
      <c r="K522">
        <v>44000</v>
      </c>
      <c r="L522">
        <v>0.180610889774236</v>
      </c>
      <c r="M522">
        <v>-0.0007980856140379355</v>
      </c>
      <c r="N522">
        <v>0.02</v>
      </c>
      <c r="O522">
        <v>0.1097833124777439</v>
      </c>
      <c r="P522" t="s">
        <v>558</v>
      </c>
      <c r="Q522" t="s">
        <v>636</v>
      </c>
      <c r="R522">
        <v>0</v>
      </c>
      <c r="S522">
        <v>1.373737373737374</v>
      </c>
      <c r="T522">
        <v>7.5</v>
      </c>
      <c r="U522">
        <v>1.004</v>
      </c>
      <c r="V522">
        <v>0.7959000000000001</v>
      </c>
      <c r="W522">
        <v>0.99</v>
      </c>
      <c r="X522">
        <v>1.36</v>
      </c>
      <c r="Y522">
        <v>-0.549102</v>
      </c>
      <c r="Z522">
        <v>0.9619834710743801</v>
      </c>
      <c r="AA522">
        <v>0.06119162640901771</v>
      </c>
      <c r="AB522">
        <v>0.157556270096463</v>
      </c>
      <c r="AC522">
        <v>0.6061093247588425</v>
      </c>
      <c r="AD522">
        <v>0.770096463022508</v>
      </c>
    </row>
    <row r="523" spans="1:30">
      <c r="A523" s="1" t="s">
        <v>530</v>
      </c>
      <c r="B523">
        <f>HYPERLINK("https://www.suredividend.com/sure-analysis-RRD/","R.R. Donnelley &amp; Sons Co.")</f>
        <v>0</v>
      </c>
      <c r="C523">
        <v>1.19</v>
      </c>
      <c r="D523">
        <v>84.84699999999999</v>
      </c>
      <c r="E523" t="s">
        <v>659</v>
      </c>
      <c r="F523" t="s">
        <v>631</v>
      </c>
      <c r="G523" t="s">
        <v>670</v>
      </c>
      <c r="H523" t="s">
        <v>699</v>
      </c>
      <c r="I523" t="s">
        <v>1215</v>
      </c>
      <c r="J523" t="s">
        <v>1313</v>
      </c>
      <c r="K523">
        <v>43958</v>
      </c>
      <c r="L523">
        <v>0.07563025210084001</v>
      </c>
      <c r="M523">
        <v>0.1094215736557493</v>
      </c>
      <c r="N523">
        <v>0</v>
      </c>
      <c r="O523">
        <v>0.1094215736557493</v>
      </c>
      <c r="P523" t="s">
        <v>558</v>
      </c>
      <c r="Q523" t="s">
        <v>300</v>
      </c>
      <c r="R523">
        <v>0</v>
      </c>
      <c r="S523">
        <v>9.99</v>
      </c>
      <c r="T523">
        <v>2</v>
      </c>
      <c r="U523">
        <v>0.595</v>
      </c>
      <c r="V523">
        <v>-1.362</v>
      </c>
      <c r="W523">
        <v>-1</v>
      </c>
      <c r="X523">
        <v>0.09</v>
      </c>
      <c r="Y523">
        <v>-0.410891</v>
      </c>
      <c r="Z523">
        <v>0.8082644628099174</v>
      </c>
      <c r="AA523">
        <v>0.1561996779388084</v>
      </c>
      <c r="AB523">
        <v>0.04180064308681672</v>
      </c>
      <c r="AC523">
        <v>0.9807073954983924</v>
      </c>
      <c r="AD523">
        <v>0.7684887459807074</v>
      </c>
    </row>
    <row r="524" spans="1:30">
      <c r="A524" s="1" t="s">
        <v>531</v>
      </c>
      <c r="B524">
        <f>HYPERLINK("https://www.suredividend.com/sure-analysis-WFC/","Wells Fargo &amp; Co.")</f>
        <v>0</v>
      </c>
      <c r="C524">
        <v>24.95</v>
      </c>
      <c r="D524">
        <v>102784.02</v>
      </c>
      <c r="E524" t="s">
        <v>663</v>
      </c>
      <c r="F524" t="s">
        <v>631</v>
      </c>
      <c r="G524" t="s">
        <v>670</v>
      </c>
      <c r="H524" t="s">
        <v>699</v>
      </c>
      <c r="I524" t="s">
        <v>1216</v>
      </c>
      <c r="J524" t="s">
        <v>1311</v>
      </c>
      <c r="K524">
        <v>44027</v>
      </c>
      <c r="L524">
        <v>0.08176352705410801</v>
      </c>
      <c r="M524">
        <v>0.05752021527385165</v>
      </c>
      <c r="N524">
        <v>0.03</v>
      </c>
      <c r="O524">
        <v>0.1089263785171817</v>
      </c>
      <c r="P524" t="s">
        <v>558</v>
      </c>
      <c r="Q524" t="s">
        <v>383</v>
      </c>
      <c r="R524">
        <v>0</v>
      </c>
      <c r="S524">
        <v>2.04</v>
      </c>
      <c r="T524">
        <v>33</v>
      </c>
      <c r="U524">
        <v>0.756060606060606</v>
      </c>
      <c r="V524">
        <v>0.8869</v>
      </c>
      <c r="W524">
        <v>1</v>
      </c>
      <c r="X524">
        <v>2.04</v>
      </c>
      <c r="Y524">
        <v>-0.455478</v>
      </c>
      <c r="Z524">
        <v>0.8314049586776859</v>
      </c>
      <c r="AA524">
        <v>0.1223832528180354</v>
      </c>
      <c r="AB524">
        <v>0.247588424437299</v>
      </c>
      <c r="AC524">
        <v>0.8906752411575564</v>
      </c>
      <c r="AD524">
        <v>0.7652733118971061</v>
      </c>
    </row>
    <row r="525" spans="1:30">
      <c r="A525" s="1" t="s">
        <v>532</v>
      </c>
      <c r="B525">
        <f>HYPERLINK("https://www.suredividend.com/sure-analysis-BKR/","Baker Hughes Co.")</f>
        <v>0</v>
      </c>
      <c r="C525">
        <v>15.27</v>
      </c>
      <c r="D525">
        <v>15765.707628</v>
      </c>
      <c r="E525" t="s">
        <v>662</v>
      </c>
      <c r="F525" t="s">
        <v>631</v>
      </c>
      <c r="G525" t="s">
        <v>670</v>
      </c>
      <c r="H525" t="s">
        <v>699</v>
      </c>
      <c r="I525" t="s">
        <v>1217</v>
      </c>
      <c r="J525" t="s">
        <v>1316</v>
      </c>
      <c r="K525">
        <v>43962</v>
      </c>
      <c r="L525">
        <v>0.047151277013752</v>
      </c>
      <c r="M525">
        <v>-0.03167562757176734</v>
      </c>
      <c r="N525">
        <v>0.11</v>
      </c>
      <c r="O525">
        <v>0.1080512111629905</v>
      </c>
      <c r="P525" t="s">
        <v>558</v>
      </c>
      <c r="Q525" t="s">
        <v>300</v>
      </c>
      <c r="R525">
        <v>0</v>
      </c>
      <c r="S525">
        <v>3.6</v>
      </c>
      <c r="T525">
        <v>13</v>
      </c>
      <c r="U525">
        <v>1.174615384615385</v>
      </c>
      <c r="V525">
        <v>-15.4757</v>
      </c>
      <c r="W525">
        <v>0.2</v>
      </c>
      <c r="X525">
        <v>0.72</v>
      </c>
      <c r="Y525">
        <v>-0.344916</v>
      </c>
      <c r="Z525">
        <v>0.6297520661157026</v>
      </c>
      <c r="AA525">
        <v>0.2399355877616747</v>
      </c>
      <c r="AB525">
        <v>0.9316720257234726</v>
      </c>
      <c r="AC525">
        <v>0.3938906752411575</v>
      </c>
      <c r="AD525">
        <v>0.7620578778135048</v>
      </c>
    </row>
    <row r="526" spans="1:30">
      <c r="A526" s="1" t="s">
        <v>533</v>
      </c>
      <c r="B526">
        <f>HYPERLINK("https://www.suredividend.com/sure-analysis-IMO/","Imperial Oil Ltd.")</f>
        <v>0</v>
      </c>
      <c r="C526">
        <v>16.26</v>
      </c>
      <c r="D526">
        <v>11936.09202</v>
      </c>
      <c r="E526" t="s">
        <v>662</v>
      </c>
      <c r="F526" t="s">
        <v>631</v>
      </c>
      <c r="G526" t="s">
        <v>671</v>
      </c>
      <c r="H526" t="s">
        <v>702</v>
      </c>
      <c r="I526" t="s">
        <v>1218</v>
      </c>
      <c r="J526" t="s">
        <v>1316</v>
      </c>
      <c r="K526">
        <v>43965</v>
      </c>
      <c r="L526">
        <v>0.040667326752738</v>
      </c>
      <c r="M526">
        <v>0.04227396796924698</v>
      </c>
      <c r="N526">
        <v>0.03</v>
      </c>
      <c r="O526">
        <v>0.1041091348839138</v>
      </c>
      <c r="P526" t="s">
        <v>558</v>
      </c>
      <c r="Q526" t="s">
        <v>558</v>
      </c>
      <c r="R526">
        <v>4</v>
      </c>
      <c r="S526">
        <v>9.99</v>
      </c>
      <c r="T526">
        <v>20</v>
      </c>
      <c r="U526">
        <v>0.8130000000000001</v>
      </c>
      <c r="V526">
        <v>1.6877</v>
      </c>
      <c r="W526">
        <v>-1.3</v>
      </c>
      <c r="X526">
        <v>0.6612507329995231</v>
      </c>
      <c r="Y526">
        <v>-0.413843</v>
      </c>
      <c r="Z526">
        <v>0.5586776859504132</v>
      </c>
      <c r="AA526">
        <v>0.1545893719806763</v>
      </c>
      <c r="AB526">
        <v>0.247588424437299</v>
      </c>
      <c r="AC526">
        <v>0.8279742765273312</v>
      </c>
      <c r="AD526">
        <v>0.7459807073954984</v>
      </c>
    </row>
    <row r="527" spans="1:30">
      <c r="A527" s="1" t="s">
        <v>534</v>
      </c>
      <c r="B527">
        <f>HYPERLINK("https://www.suredividend.com/sure-analysis-ABEV/","Ambev SA")</f>
        <v>0</v>
      </c>
      <c r="C527">
        <v>2.61</v>
      </c>
      <c r="D527">
        <v>41063.30748</v>
      </c>
      <c r="E527" t="s">
        <v>661</v>
      </c>
      <c r="F527" t="s">
        <v>631</v>
      </c>
      <c r="G527" t="s">
        <v>689</v>
      </c>
      <c r="H527" t="s">
        <v>699</v>
      </c>
      <c r="I527" t="s">
        <v>1219</v>
      </c>
      <c r="J527" t="s">
        <v>1318</v>
      </c>
      <c r="K527">
        <v>43993</v>
      </c>
      <c r="L527">
        <v>0.046283524904214</v>
      </c>
      <c r="M527">
        <v>0.03434065345712578</v>
      </c>
      <c r="N527">
        <v>0.03</v>
      </c>
      <c r="O527">
        <v>0.1019553567391263</v>
      </c>
      <c r="P527" t="s">
        <v>558</v>
      </c>
      <c r="Q527" t="s">
        <v>300</v>
      </c>
      <c r="R527">
        <v>0</v>
      </c>
      <c r="S527">
        <v>1.208</v>
      </c>
      <c r="T527">
        <v>3.09</v>
      </c>
      <c r="U527">
        <v>0.8446601941747572</v>
      </c>
      <c r="V527">
        <v>0.1598</v>
      </c>
      <c r="W527">
        <v>0.1</v>
      </c>
      <c r="X527">
        <v>0.1208</v>
      </c>
      <c r="Y527">
        <v>-0.461856</v>
      </c>
      <c r="Z527">
        <v>0.6148760330578512</v>
      </c>
      <c r="AA527">
        <v>0.1175523349436393</v>
      </c>
      <c r="AB527">
        <v>0.247588424437299</v>
      </c>
      <c r="AC527">
        <v>0.7942122186495177</v>
      </c>
      <c r="AD527">
        <v>0.7315112540192926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23.11</v>
      </c>
      <c r="D528">
        <v>3378.61267</v>
      </c>
      <c r="E528" t="s">
        <v>669</v>
      </c>
      <c r="F528" t="s">
        <v>633</v>
      </c>
      <c r="G528" t="s">
        <v>670</v>
      </c>
      <c r="H528" t="s">
        <v>699</v>
      </c>
      <c r="I528" t="s">
        <v>1220</v>
      </c>
      <c r="J528" t="s">
        <v>1321</v>
      </c>
      <c r="K528">
        <v>44001</v>
      </c>
      <c r="L528">
        <v>0.107312851579402</v>
      </c>
      <c r="M528">
        <v>-0.0009537865276281199</v>
      </c>
      <c r="N528">
        <v>0.018</v>
      </c>
      <c r="O528">
        <v>0.1019260583047807</v>
      </c>
      <c r="P528" t="s">
        <v>558</v>
      </c>
      <c r="Q528" t="s">
        <v>383</v>
      </c>
      <c r="R528">
        <v>0</v>
      </c>
      <c r="S528">
        <v>1.092511013215859</v>
      </c>
      <c r="T528">
        <v>23</v>
      </c>
      <c r="U528">
        <v>1.004782608695652</v>
      </c>
      <c r="V528">
        <v>1.3431</v>
      </c>
      <c r="W528">
        <v>2.27</v>
      </c>
      <c r="X528">
        <v>2.48</v>
      </c>
      <c r="Y528">
        <v>-0.354469</v>
      </c>
      <c r="Z528">
        <v>0.8859504132231405</v>
      </c>
      <c r="AA528">
        <v>0.214170692431562</v>
      </c>
      <c r="AB528">
        <v>0.1181672025723473</v>
      </c>
      <c r="AC528">
        <v>0.6028938906752411</v>
      </c>
      <c r="AD528">
        <v>0.7282958199356914</v>
      </c>
    </row>
    <row r="529" spans="1:30">
      <c r="A529" s="1" t="s">
        <v>536</v>
      </c>
      <c r="B529">
        <f>HYPERLINK("https://www.suredividend.com/sure-analysis-ALARF/","Alaris Royalty Corp.")</f>
        <v>0</v>
      </c>
      <c r="C529">
        <v>8.720000000000001</v>
      </c>
      <c r="D529">
        <v>311.564728</v>
      </c>
      <c r="E529" t="s">
        <v>662</v>
      </c>
      <c r="F529" t="s">
        <v>631</v>
      </c>
      <c r="G529" t="s">
        <v>671</v>
      </c>
      <c r="H529" t="s">
        <v>700</v>
      </c>
      <c r="I529" t="s">
        <v>1221</v>
      </c>
      <c r="J529" t="s">
        <v>1311</v>
      </c>
      <c r="K529">
        <v>43985</v>
      </c>
      <c r="L529">
        <v>0.142184073896112</v>
      </c>
      <c r="M529">
        <v>-0.002767570129358909</v>
      </c>
      <c r="N529">
        <v>0.02</v>
      </c>
      <c r="O529">
        <v>0.09922079663260908</v>
      </c>
      <c r="P529" t="s">
        <v>558</v>
      </c>
      <c r="Q529" t="s">
        <v>383</v>
      </c>
      <c r="R529">
        <v>0</v>
      </c>
      <c r="S529">
        <v>9.99</v>
      </c>
      <c r="T529">
        <v>8.6</v>
      </c>
      <c r="U529">
        <v>1.013953488372093</v>
      </c>
      <c r="V529">
        <v>-0.3524</v>
      </c>
      <c r="W529">
        <v>-1</v>
      </c>
      <c r="X529">
        <v>1.2398451243741</v>
      </c>
      <c r="Y529">
        <v>-0.433476</v>
      </c>
      <c r="Z529">
        <v>0.9272727272727274</v>
      </c>
      <c r="AA529">
        <v>0.1384863123993559</v>
      </c>
      <c r="AB529">
        <v>0.157556270096463</v>
      </c>
      <c r="AC529">
        <v>0.5916398713826366</v>
      </c>
      <c r="AD529">
        <v>0.7090032154340836</v>
      </c>
    </row>
    <row r="530" spans="1:30">
      <c r="A530" s="1" t="s">
        <v>537</v>
      </c>
      <c r="B530">
        <f>HYPERLINK("https://www.suredividend.com/sure-analysis-CVA/","Covanta Holding Corp.")</f>
        <v>0</v>
      </c>
      <c r="C530">
        <v>9.74</v>
      </c>
      <c r="D530">
        <v>1285.23196</v>
      </c>
      <c r="E530" t="s">
        <v>667</v>
      </c>
      <c r="F530" t="s">
        <v>631</v>
      </c>
      <c r="G530" t="s">
        <v>670</v>
      </c>
      <c r="H530" t="s">
        <v>699</v>
      </c>
      <c r="I530" t="s">
        <v>1222</v>
      </c>
      <c r="J530" t="s">
        <v>1313</v>
      </c>
      <c r="K530">
        <v>44020</v>
      </c>
      <c r="L530">
        <v>0.102669404517453</v>
      </c>
      <c r="M530">
        <v>-0.0362037939134594</v>
      </c>
      <c r="N530">
        <v>0.1</v>
      </c>
      <c r="O530">
        <v>0.09730474974280168</v>
      </c>
      <c r="P530" t="s">
        <v>558</v>
      </c>
      <c r="Q530" t="s">
        <v>300</v>
      </c>
      <c r="R530">
        <v>0</v>
      </c>
      <c r="S530">
        <v>9.99</v>
      </c>
      <c r="T530">
        <v>8.1</v>
      </c>
      <c r="U530">
        <v>1.202469135802469</v>
      </c>
      <c r="V530">
        <v>-0.2061</v>
      </c>
      <c r="W530">
        <v>-0.41</v>
      </c>
      <c r="X530">
        <v>1</v>
      </c>
      <c r="Y530">
        <v>-0.45373</v>
      </c>
      <c r="Z530">
        <v>0.8809917355371901</v>
      </c>
      <c r="AA530">
        <v>0.1256038647342995</v>
      </c>
      <c r="AB530">
        <v>0.9051446945337621</v>
      </c>
      <c r="AC530">
        <v>0.3617363344051447</v>
      </c>
      <c r="AD530">
        <v>0.6961414790996784</v>
      </c>
    </row>
    <row r="531" spans="1:30">
      <c r="A531" s="1" t="s">
        <v>538</v>
      </c>
      <c r="B531">
        <f>HYPERLINK("https://www.suredividend.com/sure-analysis-MAC/","Macerich Co.")</f>
        <v>0</v>
      </c>
      <c r="C531">
        <v>8.18</v>
      </c>
      <c r="D531">
        <v>1899.01972</v>
      </c>
      <c r="E531" t="s">
        <v>662</v>
      </c>
      <c r="F531" t="s">
        <v>633</v>
      </c>
      <c r="G531" t="s">
        <v>670</v>
      </c>
      <c r="H531" t="s">
        <v>699</v>
      </c>
      <c r="I531" t="s">
        <v>1223</v>
      </c>
      <c r="J531" t="s">
        <v>1321</v>
      </c>
      <c r="K531">
        <v>43971</v>
      </c>
      <c r="L531">
        <v>0.366748166259168</v>
      </c>
      <c r="M531">
        <v>0.07965646204412757</v>
      </c>
      <c r="N531">
        <v>-0.02</v>
      </c>
      <c r="O531">
        <v>0.0944855173123833</v>
      </c>
      <c r="P531" t="s">
        <v>558</v>
      </c>
      <c r="Q531" t="s">
        <v>636</v>
      </c>
      <c r="R531">
        <v>0</v>
      </c>
      <c r="S531">
        <v>1.25</v>
      </c>
      <c r="T531">
        <v>12</v>
      </c>
      <c r="U531">
        <v>0.6816666666666666</v>
      </c>
      <c r="V531">
        <v>0.9754</v>
      </c>
      <c r="W531">
        <v>2.4</v>
      </c>
      <c r="X531">
        <v>3</v>
      </c>
      <c r="Y531">
        <v>-0.751745</v>
      </c>
      <c r="Z531">
        <v>0.996694214876033</v>
      </c>
      <c r="AA531">
        <v>0.00644122383252818</v>
      </c>
      <c r="AB531">
        <v>0.01286173633440514</v>
      </c>
      <c r="AC531">
        <v>0.9517684887459806</v>
      </c>
      <c r="AD531">
        <v>0.6752411575562701</v>
      </c>
    </row>
    <row r="532" spans="1:30">
      <c r="A532" s="1" t="s">
        <v>539</v>
      </c>
      <c r="B532">
        <f>HYPERLINK("https://www.suredividend.com/sure-analysis-COP/","ConocoPhillips")</f>
        <v>0</v>
      </c>
      <c r="C532">
        <v>39.96</v>
      </c>
      <c r="D532">
        <v>42854.3028</v>
      </c>
      <c r="E532" t="s">
        <v>662</v>
      </c>
      <c r="F532" t="s">
        <v>631</v>
      </c>
      <c r="G532" t="s">
        <v>670</v>
      </c>
      <c r="H532" t="s">
        <v>699</v>
      </c>
      <c r="I532" t="s">
        <v>1224</v>
      </c>
      <c r="J532" t="s">
        <v>1316</v>
      </c>
      <c r="K532">
        <v>43962</v>
      </c>
      <c r="L532">
        <v>0.036286286286286</v>
      </c>
      <c r="M532">
        <v>-0.02615797302529754</v>
      </c>
      <c r="N532">
        <v>0.09</v>
      </c>
      <c r="O532">
        <v>0.093960400038408</v>
      </c>
      <c r="P532" t="s">
        <v>558</v>
      </c>
      <c r="Q532" t="s">
        <v>558</v>
      </c>
      <c r="R532">
        <v>4</v>
      </c>
      <c r="S532">
        <v>9.99</v>
      </c>
      <c r="T532">
        <v>35</v>
      </c>
      <c r="U532">
        <v>1.141714285714286</v>
      </c>
      <c r="V532">
        <v>3.2137</v>
      </c>
      <c r="W532">
        <v>-0.9</v>
      </c>
      <c r="X532">
        <v>1.45</v>
      </c>
      <c r="Y532">
        <v>-0.337533</v>
      </c>
      <c r="Z532">
        <v>0.5024793388429752</v>
      </c>
      <c r="AA532">
        <v>0.2447665056360708</v>
      </c>
      <c r="AB532">
        <v>0.8633440514469453</v>
      </c>
      <c r="AC532">
        <v>0.4437299035369775</v>
      </c>
      <c r="AD532">
        <v>0.6736334405144695</v>
      </c>
    </row>
    <row r="533" spans="1:30">
      <c r="A533" s="1" t="s">
        <v>540</v>
      </c>
      <c r="B533">
        <f>HYPERLINK("https://www.suredividend.com/sure-analysis-HAL/","Halliburton Co.")</f>
        <v>0</v>
      </c>
      <c r="C533">
        <v>13.08</v>
      </c>
      <c r="D533">
        <v>11474.79624</v>
      </c>
      <c r="E533" t="s">
        <v>662</v>
      </c>
      <c r="F533" t="s">
        <v>631</v>
      </c>
      <c r="G533" t="s">
        <v>670</v>
      </c>
      <c r="H533" t="s">
        <v>699</v>
      </c>
      <c r="I533" t="s">
        <v>1225</v>
      </c>
      <c r="J533" t="s">
        <v>1316</v>
      </c>
      <c r="K533">
        <v>43942</v>
      </c>
      <c r="L533">
        <v>0.055045871559633</v>
      </c>
      <c r="M533">
        <v>-0.08476144151830933</v>
      </c>
      <c r="N533">
        <v>0.149</v>
      </c>
      <c r="O533">
        <v>0.09319692711022776</v>
      </c>
      <c r="P533" t="s">
        <v>558</v>
      </c>
      <c r="Q533" t="s">
        <v>300</v>
      </c>
      <c r="R533">
        <v>0</v>
      </c>
      <c r="S533">
        <v>9.99</v>
      </c>
      <c r="T533">
        <v>8.4</v>
      </c>
      <c r="U533">
        <v>1.557142857142857</v>
      </c>
      <c r="V533">
        <v>-2.6184</v>
      </c>
      <c r="W533">
        <v>-0.1</v>
      </c>
      <c r="X533">
        <v>0.72</v>
      </c>
      <c r="Y533">
        <v>-0.396679</v>
      </c>
      <c r="Z533">
        <v>0.684297520661157</v>
      </c>
      <c r="AA533">
        <v>0.1723027375201288</v>
      </c>
      <c r="AB533">
        <v>0.9694533762057879</v>
      </c>
      <c r="AC533">
        <v>0.1398713826366559</v>
      </c>
      <c r="AD533">
        <v>0.6672025723472669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9.960000000000001</v>
      </c>
      <c r="D534">
        <v>330.585348</v>
      </c>
      <c r="E534" t="s">
        <v>660</v>
      </c>
      <c r="F534" t="s">
        <v>634</v>
      </c>
      <c r="G534" t="s">
        <v>670</v>
      </c>
      <c r="H534" t="s">
        <v>701</v>
      </c>
      <c r="I534" t="s">
        <v>1101</v>
      </c>
      <c r="J534" t="s">
        <v>1311</v>
      </c>
      <c r="K534">
        <v>43977</v>
      </c>
      <c r="L534">
        <v>0.08253012048192701</v>
      </c>
      <c r="M534">
        <v>-0.02006643345200909</v>
      </c>
      <c r="N534">
        <v>0.04</v>
      </c>
      <c r="O534">
        <v>0.09129878205729525</v>
      </c>
      <c r="P534" t="s">
        <v>558</v>
      </c>
      <c r="Q534" t="s">
        <v>383</v>
      </c>
      <c r="R534">
        <v>9</v>
      </c>
      <c r="S534">
        <v>1.264615384615385</v>
      </c>
      <c r="T534">
        <v>9</v>
      </c>
      <c r="U534">
        <v>1.106666666666667</v>
      </c>
      <c r="V534">
        <v>-0.2125</v>
      </c>
      <c r="W534">
        <v>0.65</v>
      </c>
      <c r="X534">
        <v>0.8220000000000001</v>
      </c>
      <c r="Y534">
        <v>-0.115111</v>
      </c>
      <c r="Z534">
        <v>0.8330578512396695</v>
      </c>
      <c r="AA534">
        <v>0.5249597423510467</v>
      </c>
      <c r="AB534">
        <v>0.3794212218649518</v>
      </c>
      <c r="AC534">
        <v>0.4790996784565916</v>
      </c>
      <c r="AD534">
        <v>0.657556270096463</v>
      </c>
    </row>
    <row r="535" spans="1:30">
      <c r="A535" s="1" t="s">
        <v>542</v>
      </c>
      <c r="B535">
        <f>HYPERLINK("https://www.suredividend.com/sure-analysis-PBR/","Petróleo Brasileiro SA")</f>
        <v>0</v>
      </c>
      <c r="C535">
        <v>8.779999999999999</v>
      </c>
      <c r="D535">
        <v>32671.377584</v>
      </c>
      <c r="E535" t="s">
        <v>661</v>
      </c>
      <c r="F535" t="s">
        <v>631</v>
      </c>
      <c r="G535" t="s">
        <v>689</v>
      </c>
      <c r="H535" t="s">
        <v>699</v>
      </c>
      <c r="I535" t="s">
        <v>1226</v>
      </c>
      <c r="J535" t="s">
        <v>1316</v>
      </c>
      <c r="K535">
        <v>43993</v>
      </c>
      <c r="L535">
        <v>0.03255125284738</v>
      </c>
      <c r="M535">
        <v>-0.01843493217443526</v>
      </c>
      <c r="N535">
        <v>0.1</v>
      </c>
      <c r="O535">
        <v>0.08911038192315734</v>
      </c>
      <c r="P535" t="s">
        <v>558</v>
      </c>
      <c r="Q535" t="s">
        <v>558</v>
      </c>
      <c r="R535">
        <v>0</v>
      </c>
      <c r="S535">
        <v>9.99</v>
      </c>
      <c r="T535">
        <v>8</v>
      </c>
      <c r="U535">
        <v>1.0975</v>
      </c>
      <c r="V535">
        <v>-0.2739</v>
      </c>
      <c r="W535">
        <v>-1</v>
      </c>
      <c r="X535">
        <v>0.2858</v>
      </c>
      <c r="Y535">
        <v>-0.455673</v>
      </c>
      <c r="Z535">
        <v>0.4314049586776859</v>
      </c>
      <c r="AA535">
        <v>0.1207729468599034</v>
      </c>
      <c r="AB535">
        <v>0.9051446945337621</v>
      </c>
      <c r="AC535">
        <v>0.4935691318327974</v>
      </c>
      <c r="AD535">
        <v>0.6414790996784566</v>
      </c>
    </row>
    <row r="536" spans="1:30">
      <c r="A536" s="1" t="s">
        <v>543</v>
      </c>
      <c r="B536">
        <f>HYPERLINK("https://www.suredividend.com/sure-analysis-ALK/","Alaska Air Group, Inc.")</f>
        <v>0</v>
      </c>
      <c r="C536">
        <v>37</v>
      </c>
      <c r="D536">
        <v>4535.645</v>
      </c>
      <c r="E536" t="s">
        <v>663</v>
      </c>
      <c r="F536" t="s">
        <v>631</v>
      </c>
      <c r="G536" t="s">
        <v>670</v>
      </c>
      <c r="H536" t="s">
        <v>699</v>
      </c>
      <c r="I536" t="s">
        <v>1227</v>
      </c>
      <c r="J536" t="s">
        <v>1313</v>
      </c>
      <c r="K536">
        <v>43959</v>
      </c>
      <c r="L536">
        <v>0.038513513513513</v>
      </c>
      <c r="M536">
        <v>0.03526180275714541</v>
      </c>
      <c r="N536">
        <v>0.04</v>
      </c>
      <c r="O536">
        <v>0.08847796915080752</v>
      </c>
      <c r="P536" t="s">
        <v>558</v>
      </c>
      <c r="Q536" t="s">
        <v>558</v>
      </c>
      <c r="R536">
        <v>0</v>
      </c>
      <c r="S536">
        <v>9.99</v>
      </c>
      <c r="T536">
        <v>44</v>
      </c>
      <c r="U536">
        <v>0.8409090909090909</v>
      </c>
      <c r="V536">
        <v>4.3158</v>
      </c>
      <c r="W536">
        <v>-6.2</v>
      </c>
      <c r="X536">
        <v>1.425</v>
      </c>
      <c r="Y536">
        <v>-0.425109</v>
      </c>
      <c r="Z536">
        <v>0.5289256198347108</v>
      </c>
      <c r="AA536">
        <v>0.1449275362318841</v>
      </c>
      <c r="AB536">
        <v>0.3794212218649518</v>
      </c>
      <c r="AC536">
        <v>0.7990353697749196</v>
      </c>
      <c r="AD536">
        <v>0.6366559485530546</v>
      </c>
    </row>
    <row r="537" spans="1:30">
      <c r="A537" s="1" t="s">
        <v>544</v>
      </c>
      <c r="B537">
        <f>HYPERLINK("https://www.suredividend.com/sure-analysis-PTR/","PetroChina Co., Ltd.")</f>
        <v>0</v>
      </c>
      <c r="C537">
        <v>34.14</v>
      </c>
      <c r="D537">
        <v>7203.16446</v>
      </c>
      <c r="E537" t="s">
        <v>662</v>
      </c>
      <c r="F537" t="s">
        <v>631</v>
      </c>
      <c r="G537" t="s">
        <v>672</v>
      </c>
      <c r="H537" t="s">
        <v>699</v>
      </c>
      <c r="J537" t="s">
        <v>1316</v>
      </c>
      <c r="K537">
        <v>43972</v>
      </c>
      <c r="L537">
        <v>0.06839607498535401</v>
      </c>
      <c r="M537">
        <v>-0.01286331409723407</v>
      </c>
      <c r="N537">
        <v>0.07000000000000001</v>
      </c>
      <c r="O537">
        <v>0.08794656116831057</v>
      </c>
      <c r="P537" t="s">
        <v>558</v>
      </c>
      <c r="Q537" t="s">
        <v>300</v>
      </c>
      <c r="R537">
        <v>1</v>
      </c>
      <c r="S537">
        <v>9.99</v>
      </c>
      <c r="T537">
        <v>32</v>
      </c>
      <c r="U537">
        <v>1.066875</v>
      </c>
      <c r="V537">
        <v>4.4358</v>
      </c>
      <c r="W537">
        <v>-0.7</v>
      </c>
      <c r="X537">
        <v>2.335042</v>
      </c>
      <c r="Y537">
        <v>-0.373923</v>
      </c>
      <c r="Z537">
        <v>0.7851239669421487</v>
      </c>
      <c r="AA537">
        <v>0.1884057971014493</v>
      </c>
      <c r="AB537">
        <v>0.7387459807073955</v>
      </c>
      <c r="AC537">
        <v>0.5369774919614148</v>
      </c>
      <c r="AD537">
        <v>0.6318327974276527</v>
      </c>
    </row>
    <row r="538" spans="1:30">
      <c r="A538" s="1" t="s">
        <v>545</v>
      </c>
      <c r="B538">
        <f>HYPERLINK("https://www.suredividend.com/sure-analysis-SIX/","Six Flags Entertainment Corp.")</f>
        <v>0</v>
      </c>
      <c r="C538">
        <v>20.55</v>
      </c>
      <c r="D538">
        <v>1740.307575</v>
      </c>
      <c r="E538" t="s">
        <v>662</v>
      </c>
      <c r="F538" t="s">
        <v>631</v>
      </c>
      <c r="G538" t="s">
        <v>670</v>
      </c>
      <c r="H538" t="s">
        <v>699</v>
      </c>
      <c r="I538" t="s">
        <v>1228</v>
      </c>
      <c r="J538" t="s">
        <v>1312</v>
      </c>
      <c r="K538">
        <v>43963</v>
      </c>
      <c r="L538">
        <v>0.132360097323601</v>
      </c>
      <c r="M538">
        <v>0.05611299775839163</v>
      </c>
      <c r="N538">
        <v>0.03</v>
      </c>
      <c r="O538">
        <v>0.0877963876911434</v>
      </c>
      <c r="P538" t="s">
        <v>558</v>
      </c>
      <c r="Q538" t="s">
        <v>383</v>
      </c>
      <c r="R538">
        <v>0</v>
      </c>
      <c r="S538">
        <v>9.99</v>
      </c>
      <c r="T538">
        <v>27</v>
      </c>
      <c r="U538">
        <v>0.7611111111111112</v>
      </c>
      <c r="V538">
        <v>1.9432</v>
      </c>
      <c r="W538">
        <v>-1.8</v>
      </c>
      <c r="X538">
        <v>2.72</v>
      </c>
      <c r="Y538">
        <v>-0.615024</v>
      </c>
      <c r="Z538">
        <v>0.9140495867768595</v>
      </c>
      <c r="AA538">
        <v>0.035426731078905</v>
      </c>
      <c r="AB538">
        <v>0.247588424437299</v>
      </c>
      <c r="AC538">
        <v>0.8778135048231512</v>
      </c>
      <c r="AD538">
        <v>0.6302250803858521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18.62</v>
      </c>
      <c r="D539">
        <v>25841.0222</v>
      </c>
      <c r="E539" t="s">
        <v>662</v>
      </c>
      <c r="F539" t="s">
        <v>631</v>
      </c>
      <c r="G539" t="s">
        <v>670</v>
      </c>
      <c r="H539" t="s">
        <v>699</v>
      </c>
      <c r="I539" t="s">
        <v>1229</v>
      </c>
      <c r="J539" t="s">
        <v>1316</v>
      </c>
      <c r="K539">
        <v>43944</v>
      </c>
      <c r="L539">
        <v>0.107411385606874</v>
      </c>
      <c r="M539">
        <v>0.01440192293923093</v>
      </c>
      <c r="N539">
        <v>0.05</v>
      </c>
      <c r="O539">
        <v>0.0874708664542454</v>
      </c>
      <c r="P539" t="s">
        <v>558</v>
      </c>
      <c r="Q539" t="s">
        <v>300</v>
      </c>
      <c r="R539">
        <v>0</v>
      </c>
      <c r="S539">
        <v>20</v>
      </c>
      <c r="T539">
        <v>20</v>
      </c>
      <c r="U539">
        <v>0.931</v>
      </c>
      <c r="V539">
        <v>-12.9406</v>
      </c>
      <c r="W539">
        <v>0.1</v>
      </c>
      <c r="X539">
        <v>2</v>
      </c>
      <c r="Y539">
        <v>-0.519856</v>
      </c>
      <c r="Z539">
        <v>0.8876033057851239</v>
      </c>
      <c r="AA539">
        <v>0.07246376811594203</v>
      </c>
      <c r="AB539">
        <v>0.5160771704180064</v>
      </c>
      <c r="AC539">
        <v>0.6864951768488745</v>
      </c>
      <c r="AD539">
        <v>0.6270096463022508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29.28</v>
      </c>
      <c r="D540">
        <v>426.881904</v>
      </c>
      <c r="E540" t="s">
        <v>662</v>
      </c>
      <c r="F540" t="s">
        <v>631</v>
      </c>
      <c r="G540" t="s">
        <v>670</v>
      </c>
      <c r="H540" t="s">
        <v>699</v>
      </c>
      <c r="J540" t="s">
        <v>1316</v>
      </c>
      <c r="K540">
        <v>43984</v>
      </c>
      <c r="L540">
        <v>0.100623975409836</v>
      </c>
      <c r="M540">
        <v>-0.04713504892778286</v>
      </c>
      <c r="N540">
        <v>0.05</v>
      </c>
      <c r="O540">
        <v>0.08704794413802741</v>
      </c>
      <c r="P540" t="s">
        <v>558</v>
      </c>
      <c r="Q540" t="s">
        <v>383</v>
      </c>
      <c r="R540">
        <v>0</v>
      </c>
      <c r="S540">
        <v>1.133180769230769</v>
      </c>
      <c r="T540">
        <v>23</v>
      </c>
      <c r="U540">
        <v>1.27304347826087</v>
      </c>
      <c r="V540">
        <v>2.8528</v>
      </c>
      <c r="W540">
        <v>2.6</v>
      </c>
      <c r="X540">
        <v>2.94627</v>
      </c>
      <c r="Y540">
        <v>-0.3697800000000001</v>
      </c>
      <c r="Z540">
        <v>0.8743801652892561</v>
      </c>
      <c r="AA540">
        <v>0.1932367149758454</v>
      </c>
      <c r="AB540">
        <v>0.5160771704180064</v>
      </c>
      <c r="AC540">
        <v>0.3054662379421222</v>
      </c>
      <c r="AD540">
        <v>0.6237942122186495</v>
      </c>
    </row>
    <row r="541" spans="1:30">
      <c r="A541" s="1" t="s">
        <v>548</v>
      </c>
      <c r="B541">
        <f>HYPERLINK("https://www.suredividend.com/sure-analysis-AGNC/","AGNC Investment Corp.")</f>
        <v>0</v>
      </c>
      <c r="C541">
        <v>13.37</v>
      </c>
      <c r="D541">
        <v>7478.60309</v>
      </c>
      <c r="E541" t="s">
        <v>669</v>
      </c>
      <c r="F541" t="s">
        <v>633</v>
      </c>
      <c r="G541" t="s">
        <v>670</v>
      </c>
      <c r="H541" t="s">
        <v>701</v>
      </c>
      <c r="I541" t="s">
        <v>1230</v>
      </c>
      <c r="J541" t="s">
        <v>1321</v>
      </c>
      <c r="K541">
        <v>43971</v>
      </c>
      <c r="L541">
        <v>0.145100972326103</v>
      </c>
      <c r="M541">
        <v>-0.09761531508560928</v>
      </c>
      <c r="N541">
        <v>0.118</v>
      </c>
      <c r="O541">
        <v>0.08551075917582929</v>
      </c>
      <c r="P541" t="s">
        <v>558</v>
      </c>
      <c r="Q541" t="s">
        <v>383</v>
      </c>
      <c r="R541">
        <v>0</v>
      </c>
      <c r="S541">
        <v>1.94</v>
      </c>
      <c r="T541">
        <v>8</v>
      </c>
      <c r="U541">
        <v>1.67125</v>
      </c>
      <c r="V541">
        <v>-3.7726</v>
      </c>
      <c r="W541">
        <v>1</v>
      </c>
      <c r="X541">
        <v>1.94</v>
      </c>
      <c r="Y541">
        <v>-0.233811</v>
      </c>
      <c r="Z541">
        <v>0.9338842975206612</v>
      </c>
      <c r="AA541">
        <v>0.3607085346215781</v>
      </c>
      <c r="AB541">
        <v>0.9372990353697749</v>
      </c>
      <c r="AC541">
        <v>0.09003215434083602</v>
      </c>
      <c r="AD541">
        <v>0.6141479099678456</v>
      </c>
    </row>
    <row r="542" spans="1:30">
      <c r="A542" s="1" t="s">
        <v>549</v>
      </c>
      <c r="B542">
        <f>HYPERLINK("https://www.suredividend.com/sure-analysis-HST/","Host Hotels &amp; Resorts, Inc.")</f>
        <v>0</v>
      </c>
      <c r="C542">
        <v>11.01</v>
      </c>
      <c r="D542">
        <v>7761.59859</v>
      </c>
      <c r="E542" t="s">
        <v>662</v>
      </c>
      <c r="F542" t="s">
        <v>633</v>
      </c>
      <c r="G542" t="s">
        <v>670</v>
      </c>
      <c r="H542" t="s">
        <v>699</v>
      </c>
      <c r="I542" t="s">
        <v>1231</v>
      </c>
      <c r="J542" t="s">
        <v>1321</v>
      </c>
      <c r="K542">
        <v>43969</v>
      </c>
      <c r="L542">
        <v>0.072661217075386</v>
      </c>
      <c r="M542">
        <v>0.06380196457174514</v>
      </c>
      <c r="N542">
        <v>0</v>
      </c>
      <c r="O542">
        <v>0.08427470199129727</v>
      </c>
      <c r="P542" t="s">
        <v>558</v>
      </c>
      <c r="Q542" t="s">
        <v>300</v>
      </c>
      <c r="R542">
        <v>0</v>
      </c>
      <c r="S542">
        <v>5.333333333333334</v>
      </c>
      <c r="T542">
        <v>15</v>
      </c>
      <c r="U542">
        <v>0.734</v>
      </c>
      <c r="V542">
        <v>1.0017</v>
      </c>
      <c r="W542">
        <v>0.15</v>
      </c>
      <c r="X542">
        <v>0.8</v>
      </c>
      <c r="Y542">
        <v>-0.381461</v>
      </c>
      <c r="Z542">
        <v>0.796694214876033</v>
      </c>
      <c r="AA542">
        <v>0.1819645732689211</v>
      </c>
      <c r="AB542">
        <v>0.04180064308681672</v>
      </c>
      <c r="AC542">
        <v>0.9083601286173634</v>
      </c>
      <c r="AD542">
        <v>0.6045016077170419</v>
      </c>
    </row>
    <row r="543" spans="1:30">
      <c r="A543" s="1" t="s">
        <v>550</v>
      </c>
      <c r="B543">
        <f>HYPERLINK("https://www.suredividend.com/sure-analysis-NOV/","National Oilwell Varco, Inc.")</f>
        <v>0</v>
      </c>
      <c r="C543">
        <v>11.36</v>
      </c>
      <c r="D543">
        <v>4410.21328</v>
      </c>
      <c r="E543" t="s">
        <v>662</v>
      </c>
      <c r="F543" t="s">
        <v>631</v>
      </c>
      <c r="G543" t="s">
        <v>670</v>
      </c>
      <c r="H543" t="s">
        <v>699</v>
      </c>
      <c r="I543" t="s">
        <v>1232</v>
      </c>
      <c r="J543" t="s">
        <v>1316</v>
      </c>
      <c r="K543">
        <v>43971</v>
      </c>
      <c r="L543">
        <v>0.017605633802816</v>
      </c>
      <c r="M543">
        <v>0.07089854932200002</v>
      </c>
      <c r="N543">
        <v>0</v>
      </c>
      <c r="O543">
        <v>0.08396215077933533</v>
      </c>
      <c r="P543" t="s">
        <v>558</v>
      </c>
      <c r="Q543" t="s">
        <v>558</v>
      </c>
      <c r="R543">
        <v>0</v>
      </c>
      <c r="S543">
        <v>9.99</v>
      </c>
      <c r="T543">
        <v>16</v>
      </c>
      <c r="U543">
        <v>0.71</v>
      </c>
      <c r="V543">
        <v>-21.0986</v>
      </c>
      <c r="W543">
        <v>-0.5</v>
      </c>
      <c r="X543">
        <v>0.2</v>
      </c>
      <c r="Y543">
        <v>-0.452266</v>
      </c>
      <c r="Z543">
        <v>0.1851239669421487</v>
      </c>
      <c r="AA543">
        <v>0.1288244766505636</v>
      </c>
      <c r="AB543">
        <v>0.04180064308681672</v>
      </c>
      <c r="AC543">
        <v>0.9308681672025724</v>
      </c>
      <c r="AD543">
        <v>0.5964630225080385</v>
      </c>
    </row>
    <row r="544" spans="1:30">
      <c r="A544" s="1" t="s">
        <v>551</v>
      </c>
      <c r="B544">
        <f>HYPERLINK("https://www.suredividend.com/sure-analysis-VGR/","Vector Group Ltd.")</f>
        <v>0</v>
      </c>
      <c r="C544">
        <v>8.890000000000001</v>
      </c>
      <c r="D544">
        <v>1360.92565</v>
      </c>
      <c r="E544" t="s">
        <v>661</v>
      </c>
      <c r="F544" t="s">
        <v>631</v>
      </c>
      <c r="G544" t="s">
        <v>670</v>
      </c>
      <c r="H544" t="s">
        <v>699</v>
      </c>
      <c r="I544" t="s">
        <v>1233</v>
      </c>
      <c r="J544" t="s">
        <v>1318</v>
      </c>
      <c r="K544">
        <v>43985</v>
      </c>
      <c r="L544">
        <v>0.15319513713847</v>
      </c>
      <c r="M544">
        <v>-0.02087611451234739</v>
      </c>
      <c r="N544">
        <v>0.03</v>
      </c>
      <c r="O544">
        <v>0.08348092715852573</v>
      </c>
      <c r="P544" t="s">
        <v>558</v>
      </c>
      <c r="Q544" t="s">
        <v>383</v>
      </c>
      <c r="R544">
        <v>0</v>
      </c>
      <c r="S544">
        <v>3.321718949173171</v>
      </c>
      <c r="T544">
        <v>8</v>
      </c>
      <c r="U544">
        <v>1.11125</v>
      </c>
      <c r="V544">
        <v>0.5231</v>
      </c>
      <c r="W544">
        <v>0.41</v>
      </c>
      <c r="X544">
        <v>1.361904769161</v>
      </c>
      <c r="Y544">
        <v>-0.037681</v>
      </c>
      <c r="Z544">
        <v>0.940495867768595</v>
      </c>
      <c r="AA544">
        <v>0.6457326892109501</v>
      </c>
      <c r="AB544">
        <v>0.247588424437299</v>
      </c>
      <c r="AC544">
        <v>0.4774919614147909</v>
      </c>
      <c r="AD544">
        <v>0.5916398713826366</v>
      </c>
    </row>
    <row r="545" spans="1:30">
      <c r="A545" s="1" t="s">
        <v>552</v>
      </c>
      <c r="B545">
        <f>HYPERLINK("https://www.suredividend.com/sure-analysis-DTEGY/","Deutsche Telekom AG")</f>
        <v>0</v>
      </c>
      <c r="C545">
        <v>17.57</v>
      </c>
      <c r="D545">
        <v>83325.02220000001</v>
      </c>
      <c r="E545" t="s">
        <v>662</v>
      </c>
      <c r="F545" t="s">
        <v>631</v>
      </c>
      <c r="G545" t="s">
        <v>677</v>
      </c>
      <c r="H545" t="s">
        <v>700</v>
      </c>
      <c r="I545" t="s">
        <v>1234</v>
      </c>
      <c r="J545" t="s">
        <v>1320</v>
      </c>
      <c r="K545">
        <v>43978</v>
      </c>
      <c r="L545">
        <v>0.07568013659647101</v>
      </c>
      <c r="M545">
        <v>-0.006574206351700695</v>
      </c>
      <c r="N545">
        <v>0.06</v>
      </c>
      <c r="O545">
        <v>0.08269079151660286</v>
      </c>
      <c r="P545" t="s">
        <v>558</v>
      </c>
      <c r="Q545" t="s">
        <v>383</v>
      </c>
      <c r="R545">
        <v>0</v>
      </c>
      <c r="S545">
        <v>1.208818181818182</v>
      </c>
      <c r="T545">
        <v>17</v>
      </c>
      <c r="U545">
        <v>1.033529411764706</v>
      </c>
      <c r="V545">
        <v>0.9098000000000001</v>
      </c>
      <c r="W545">
        <v>1.1</v>
      </c>
      <c r="X545">
        <v>1.3297</v>
      </c>
      <c r="Y545">
        <v>0.05716</v>
      </c>
      <c r="Z545">
        <v>0.8099173553719008</v>
      </c>
      <c r="AA545">
        <v>0.753623188405797</v>
      </c>
      <c r="AB545">
        <v>0.6463022508038585</v>
      </c>
      <c r="AC545">
        <v>0.572347266881029</v>
      </c>
      <c r="AD545">
        <v>0.5868167202572347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9.35</v>
      </c>
      <c r="D546">
        <v>1438.24505</v>
      </c>
      <c r="E546" t="s">
        <v>669</v>
      </c>
      <c r="F546" t="s">
        <v>633</v>
      </c>
      <c r="G546" t="s">
        <v>670</v>
      </c>
      <c r="H546" t="s">
        <v>699</v>
      </c>
      <c r="I546" t="s">
        <v>1235</v>
      </c>
      <c r="J546" t="s">
        <v>1321</v>
      </c>
      <c r="K546">
        <v>44000</v>
      </c>
      <c r="L546">
        <v>0.190374331550802</v>
      </c>
      <c r="M546">
        <v>0.01149727415513624</v>
      </c>
      <c r="N546">
        <v>-0.042</v>
      </c>
      <c r="O546">
        <v>0.08130988219959878</v>
      </c>
      <c r="P546" t="s">
        <v>558</v>
      </c>
      <c r="Q546" t="s">
        <v>636</v>
      </c>
      <c r="R546">
        <v>0</v>
      </c>
      <c r="S546">
        <v>1.435483870967742</v>
      </c>
      <c r="T546">
        <v>9.9</v>
      </c>
      <c r="U546">
        <v>0.9444444444444444</v>
      </c>
      <c r="V546">
        <v>0.1243</v>
      </c>
      <c r="W546">
        <v>1.24</v>
      </c>
      <c r="X546">
        <v>1.78</v>
      </c>
      <c r="Y546">
        <v>-0.498391</v>
      </c>
      <c r="Z546">
        <v>0.9702479338842975</v>
      </c>
      <c r="AA546">
        <v>0.08534621578099839</v>
      </c>
      <c r="AB546">
        <v>0.006430868167202572</v>
      </c>
      <c r="AC546">
        <v>0.6720257234726688</v>
      </c>
      <c r="AD546">
        <v>0.5771704180064309</v>
      </c>
    </row>
    <row r="547" spans="1:30">
      <c r="A547" s="1" t="s">
        <v>554</v>
      </c>
      <c r="B547">
        <f>HYPERLINK("https://www.suredividend.com/sure-analysis-HSBC/","HSBC Holdings Plc")</f>
        <v>0</v>
      </c>
      <c r="C547">
        <v>23.61</v>
      </c>
      <c r="D547">
        <v>96168.7242</v>
      </c>
      <c r="E547" t="s">
        <v>667</v>
      </c>
      <c r="F547" t="s">
        <v>631</v>
      </c>
      <c r="G547" t="s">
        <v>673</v>
      </c>
      <c r="H547" t="s">
        <v>699</v>
      </c>
      <c r="I547" t="s">
        <v>1236</v>
      </c>
      <c r="J547" t="s">
        <v>1311</v>
      </c>
      <c r="K547">
        <v>43971</v>
      </c>
      <c r="L547">
        <v>0.08682761541719601</v>
      </c>
      <c r="M547">
        <v>-0.03264294862258854</v>
      </c>
      <c r="N547">
        <v>0.02</v>
      </c>
      <c r="O547">
        <v>0.08087513820797088</v>
      </c>
      <c r="P547" t="s">
        <v>558</v>
      </c>
      <c r="Q547" t="s">
        <v>383</v>
      </c>
      <c r="R547">
        <v>0</v>
      </c>
      <c r="S547">
        <v>1.25</v>
      </c>
      <c r="T547">
        <v>20</v>
      </c>
      <c r="U547">
        <v>1.1805</v>
      </c>
      <c r="V547">
        <v>0.8952</v>
      </c>
      <c r="W547">
        <v>1.64</v>
      </c>
      <c r="X547">
        <v>2.05</v>
      </c>
      <c r="Y547">
        <v>-0.430123</v>
      </c>
      <c r="Z547">
        <v>0.8413223140495867</v>
      </c>
      <c r="AA547">
        <v>0.14170692431562</v>
      </c>
      <c r="AB547">
        <v>0.157556270096463</v>
      </c>
      <c r="AC547">
        <v>0.3826366559485531</v>
      </c>
      <c r="AD547">
        <v>0.5739549839228296</v>
      </c>
    </row>
    <row r="548" spans="1:30">
      <c r="A548" s="1" t="s">
        <v>555</v>
      </c>
      <c r="B548">
        <f>HYPERLINK("https://www.suredividend.com/sure-analysis-FUN/","Cedar Fair LP")</f>
        <v>0</v>
      </c>
      <c r="C548">
        <v>26.56</v>
      </c>
      <c r="D548">
        <v>1506.03168</v>
      </c>
      <c r="E548" t="s">
        <v>664</v>
      </c>
      <c r="F548" t="s">
        <v>631</v>
      </c>
      <c r="G548" t="s">
        <v>670</v>
      </c>
      <c r="H548" t="s">
        <v>699</v>
      </c>
      <c r="I548" t="s">
        <v>1237</v>
      </c>
      <c r="J548" t="s">
        <v>1312</v>
      </c>
      <c r="K548">
        <v>43957</v>
      </c>
      <c r="L548">
        <v>0.140060240963855</v>
      </c>
      <c r="M548">
        <v>-0.004252888066091365</v>
      </c>
      <c r="N548">
        <v>0.05</v>
      </c>
      <c r="O548">
        <v>0.0776898865639315</v>
      </c>
      <c r="P548" t="s">
        <v>558</v>
      </c>
      <c r="Q548" t="s">
        <v>383</v>
      </c>
      <c r="R548">
        <v>0</v>
      </c>
      <c r="S548">
        <v>9.99</v>
      </c>
      <c r="T548">
        <v>26</v>
      </c>
      <c r="U548">
        <v>1.021538461538462</v>
      </c>
      <c r="V548">
        <v>0.7024</v>
      </c>
      <c r="W548">
        <v>-1.36</v>
      </c>
      <c r="X548">
        <v>3.72</v>
      </c>
      <c r="Y548">
        <v>-0.471653</v>
      </c>
      <c r="Z548">
        <v>0.9239669421487604</v>
      </c>
      <c r="AA548">
        <v>0.106280193236715</v>
      </c>
      <c r="AB548">
        <v>0.5160771704180064</v>
      </c>
      <c r="AC548">
        <v>0.5884244372990354</v>
      </c>
      <c r="AD548">
        <v>0.5546623794212219</v>
      </c>
    </row>
    <row r="549" spans="1:30">
      <c r="A549" s="1" t="s">
        <v>556</v>
      </c>
      <c r="B549">
        <f>HYPERLINK("https://www.suredividend.com/sure-analysis-R/","Ryder System, Inc.")</f>
        <v>0</v>
      </c>
      <c r="C549">
        <v>43.48</v>
      </c>
      <c r="D549">
        <v>2336.44128</v>
      </c>
      <c r="E549" t="s">
        <v>659</v>
      </c>
      <c r="F549" t="s">
        <v>631</v>
      </c>
      <c r="G549" t="s">
        <v>670</v>
      </c>
      <c r="H549" t="s">
        <v>699</v>
      </c>
      <c r="I549" t="s">
        <v>1238</v>
      </c>
      <c r="J549" t="s">
        <v>1313</v>
      </c>
      <c r="K549">
        <v>43958</v>
      </c>
      <c r="L549">
        <v>0.051057957681692</v>
      </c>
      <c r="M549">
        <v>-0.01654590917541776</v>
      </c>
      <c r="N549">
        <v>0.05</v>
      </c>
      <c r="O549">
        <v>0.07745157126099311</v>
      </c>
      <c r="P549" t="s">
        <v>558</v>
      </c>
      <c r="Q549" t="s">
        <v>300</v>
      </c>
      <c r="R549">
        <v>15</v>
      </c>
      <c r="S549">
        <v>9.99</v>
      </c>
      <c r="T549">
        <v>40</v>
      </c>
      <c r="U549">
        <v>1.087</v>
      </c>
      <c r="V549">
        <v>-3.4422</v>
      </c>
      <c r="W549">
        <v>-1.5</v>
      </c>
      <c r="X549">
        <v>2.22</v>
      </c>
      <c r="Y549">
        <v>-0.236791</v>
      </c>
      <c r="Z549">
        <v>0.6611570247933883</v>
      </c>
      <c r="AA549">
        <v>0.357487922705314</v>
      </c>
      <c r="AB549">
        <v>0.5160771704180064</v>
      </c>
      <c r="AC549">
        <v>0.5064308681672025</v>
      </c>
      <c r="AD549">
        <v>0.5466237942122186</v>
      </c>
    </row>
    <row r="550" spans="1:30">
      <c r="A550" s="1" t="s">
        <v>557</v>
      </c>
      <c r="B550">
        <f>HYPERLINK("https://www.suredividend.com/sure-analysis-MAIN/","Main Street Capital Corp.")</f>
        <v>0</v>
      </c>
      <c r="C550">
        <v>31.77</v>
      </c>
      <c r="D550">
        <v>2061.329733</v>
      </c>
      <c r="E550" t="s">
        <v>666</v>
      </c>
      <c r="F550" t="s">
        <v>631</v>
      </c>
      <c r="G550" t="s">
        <v>670</v>
      </c>
      <c r="H550" t="s">
        <v>699</v>
      </c>
      <c r="I550" t="s">
        <v>1239</v>
      </c>
      <c r="J550" t="s">
        <v>1311</v>
      </c>
      <c r="K550">
        <v>43922</v>
      </c>
      <c r="L550">
        <v>0.07743153918791301</v>
      </c>
      <c r="M550">
        <v>-0.03201347906401708</v>
      </c>
      <c r="N550">
        <v>0.02</v>
      </c>
      <c r="O550">
        <v>0.07703167069330652</v>
      </c>
      <c r="P550" t="s">
        <v>558</v>
      </c>
      <c r="Q550" t="s">
        <v>383</v>
      </c>
      <c r="R550">
        <v>5</v>
      </c>
      <c r="S550">
        <v>1.23</v>
      </c>
      <c r="T550">
        <v>27</v>
      </c>
      <c r="U550">
        <v>1.176666666666667</v>
      </c>
      <c r="V550">
        <v>-1.2614</v>
      </c>
      <c r="W550">
        <v>2</v>
      </c>
      <c r="X550">
        <v>2.46</v>
      </c>
      <c r="Y550">
        <v>-0.24267</v>
      </c>
      <c r="Z550">
        <v>0.8165289256198348</v>
      </c>
      <c r="AA550">
        <v>0.3494363929146538</v>
      </c>
      <c r="AB550">
        <v>0.157556270096463</v>
      </c>
      <c r="AC550">
        <v>0.3906752411575563</v>
      </c>
      <c r="AD550">
        <v>0.5434083601286174</v>
      </c>
    </row>
    <row r="551" spans="1:30">
      <c r="A551" s="1" t="s">
        <v>558</v>
      </c>
      <c r="B551">
        <f>HYPERLINK("https://www.suredividend.com/sure-analysis-F/","Ford Motor Co.")</f>
        <v>0</v>
      </c>
      <c r="C551">
        <v>6.8</v>
      </c>
      <c r="D551">
        <v>27043.886117</v>
      </c>
      <c r="E551" t="s">
        <v>663</v>
      </c>
      <c r="F551" t="s">
        <v>631</v>
      </c>
      <c r="G551" t="s">
        <v>670</v>
      </c>
      <c r="H551" t="s">
        <v>699</v>
      </c>
      <c r="I551" t="s">
        <v>1240</v>
      </c>
      <c r="J551" t="s">
        <v>1312</v>
      </c>
      <c r="K551">
        <v>43950</v>
      </c>
      <c r="L551">
        <v>0.08823529411764701</v>
      </c>
      <c r="M551">
        <v>0.02517111829582741</v>
      </c>
      <c r="N551">
        <v>0.02</v>
      </c>
      <c r="O551">
        <v>0.07695610796095975</v>
      </c>
      <c r="P551" t="s">
        <v>558</v>
      </c>
      <c r="Q551" t="s">
        <v>300</v>
      </c>
      <c r="R551">
        <v>0</v>
      </c>
      <c r="S551">
        <v>9.99</v>
      </c>
      <c r="T551">
        <v>7.7</v>
      </c>
      <c r="U551">
        <v>0.8831168831168831</v>
      </c>
      <c r="V551">
        <v>-0.7636000000000001</v>
      </c>
      <c r="W551">
        <v>-0.5</v>
      </c>
      <c r="X551">
        <v>0.6000000000000001</v>
      </c>
      <c r="Y551">
        <v>-0.337232</v>
      </c>
      <c r="Z551">
        <v>0.8446280991735537</v>
      </c>
      <c r="AA551">
        <v>0.2479871175523349</v>
      </c>
      <c r="AB551">
        <v>0.157556270096463</v>
      </c>
      <c r="AC551">
        <v>0.747588424437299</v>
      </c>
      <c r="AD551">
        <v>0.5401929260450161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16.73</v>
      </c>
      <c r="D552">
        <v>1085.777</v>
      </c>
      <c r="E552" t="s">
        <v>660</v>
      </c>
      <c r="F552" t="s">
        <v>631</v>
      </c>
      <c r="G552" t="s">
        <v>670</v>
      </c>
      <c r="H552" t="s">
        <v>699</v>
      </c>
      <c r="I552" t="s">
        <v>1241</v>
      </c>
      <c r="J552" t="s">
        <v>1313</v>
      </c>
      <c r="K552">
        <v>43969</v>
      </c>
      <c r="L552">
        <v>0.107591153616258</v>
      </c>
      <c r="M552">
        <v>-0.0350019873513232</v>
      </c>
      <c r="N552">
        <v>0.04</v>
      </c>
      <c r="O552">
        <v>0.07691828855172989</v>
      </c>
      <c r="P552" t="s">
        <v>558</v>
      </c>
      <c r="Q552" t="s">
        <v>383</v>
      </c>
      <c r="R552">
        <v>0</v>
      </c>
      <c r="S552">
        <v>1.565217391304348</v>
      </c>
      <c r="T552">
        <v>14</v>
      </c>
      <c r="U552">
        <v>1.195</v>
      </c>
      <c r="V552">
        <v>-1.8733</v>
      </c>
      <c r="W552">
        <v>1.15</v>
      </c>
      <c r="X552">
        <v>1.8</v>
      </c>
      <c r="Y552">
        <v>-0.130457</v>
      </c>
      <c r="Z552">
        <v>0.890909090909091</v>
      </c>
      <c r="AA552">
        <v>0.5024154589371981</v>
      </c>
      <c r="AB552">
        <v>0.3794212218649518</v>
      </c>
      <c r="AC552">
        <v>0.3713826366559486</v>
      </c>
      <c r="AD552">
        <v>0.5385852090032155</v>
      </c>
    </row>
    <row r="553" spans="1:30">
      <c r="A553" s="1" t="s">
        <v>560</v>
      </c>
      <c r="B553">
        <f>HYPERLINK("https://www.suredividend.com/sure-analysis-OGZPY/","Gazprom PJSC")</f>
        <v>0</v>
      </c>
      <c r="C553">
        <v>5.11</v>
      </c>
      <c r="D553">
        <v>60485.7925</v>
      </c>
      <c r="E553" t="s">
        <v>662</v>
      </c>
      <c r="F553" t="s">
        <v>631</v>
      </c>
      <c r="G553" t="s">
        <v>697</v>
      </c>
      <c r="H553" t="s">
        <v>700</v>
      </c>
      <c r="I553" t="s">
        <v>1242</v>
      </c>
      <c r="J553" t="s">
        <v>1316</v>
      </c>
      <c r="K553">
        <v>43956</v>
      </c>
      <c r="L553">
        <v>0.184070450097847</v>
      </c>
      <c r="M553">
        <v>-0.07289392077663082</v>
      </c>
      <c r="N553">
        <v>0.08</v>
      </c>
      <c r="O553">
        <v>0.07046442040556977</v>
      </c>
      <c r="P553" t="s">
        <v>558</v>
      </c>
      <c r="Q553" t="s">
        <v>636</v>
      </c>
      <c r="R553">
        <v>1</v>
      </c>
      <c r="S553">
        <v>1.343714285714286</v>
      </c>
      <c r="T553">
        <v>3.5</v>
      </c>
      <c r="U553">
        <v>1.46</v>
      </c>
      <c r="V553">
        <v>0.7695000000000001</v>
      </c>
      <c r="W553">
        <v>0.7</v>
      </c>
      <c r="X553">
        <v>0.9406</v>
      </c>
      <c r="Y553">
        <v>-0.261561</v>
      </c>
      <c r="Z553">
        <v>0.9636363636363636</v>
      </c>
      <c r="AA553">
        <v>0.322061191626409</v>
      </c>
      <c r="AB553">
        <v>0.8127009646302251</v>
      </c>
      <c r="AC553">
        <v>0.1881028938906752</v>
      </c>
      <c r="AD553">
        <v>0.4887459807073955</v>
      </c>
    </row>
    <row r="554" spans="1:30">
      <c r="A554" s="1" t="s">
        <v>561</v>
      </c>
      <c r="B554">
        <f>HYPERLINK("https://www.suredividend.com/sure-analysis-WPP/","WPP Plc")</f>
        <v>0</v>
      </c>
      <c r="C554">
        <v>38.04</v>
      </c>
      <c r="D554">
        <v>9209.552518</v>
      </c>
      <c r="E554" t="s">
        <v>663</v>
      </c>
      <c r="F554" t="s">
        <v>631</v>
      </c>
      <c r="G554" t="s">
        <v>673</v>
      </c>
      <c r="H554" t="s">
        <v>699</v>
      </c>
      <c r="I554" t="s">
        <v>1243</v>
      </c>
      <c r="J554" t="s">
        <v>1320</v>
      </c>
      <c r="K554">
        <v>43990</v>
      </c>
      <c r="L554">
        <v>0.09962776025236501</v>
      </c>
      <c r="M554">
        <v>0.01509963050079999</v>
      </c>
      <c r="N554">
        <v>0.03</v>
      </c>
      <c r="O554">
        <v>0.07010895394248773</v>
      </c>
      <c r="P554" t="s">
        <v>558</v>
      </c>
      <c r="Q554" t="s">
        <v>383</v>
      </c>
      <c r="R554">
        <v>0</v>
      </c>
      <c r="S554">
        <v>1.26328</v>
      </c>
      <c r="T554">
        <v>41</v>
      </c>
      <c r="U554">
        <v>0.9278048780487804</v>
      </c>
      <c r="V554">
        <v>3.6111</v>
      </c>
      <c r="W554">
        <v>3</v>
      </c>
      <c r="X554">
        <v>3.78984</v>
      </c>
      <c r="Y554">
        <v>-0.348295</v>
      </c>
      <c r="Z554">
        <v>0.8694214876033058</v>
      </c>
      <c r="AA554">
        <v>0.2286634460547504</v>
      </c>
      <c r="AB554">
        <v>0.247588424437299</v>
      </c>
      <c r="AC554">
        <v>0.6929260450160771</v>
      </c>
      <c r="AD554">
        <v>0.4839228295819936</v>
      </c>
    </row>
    <row r="555" spans="1:30">
      <c r="A555" s="1" t="s">
        <v>562</v>
      </c>
      <c r="B555">
        <f>HYPERLINK("https://www.suredividend.com/sure-analysis-DDS/","Dillard's, Inc.")</f>
        <v>0</v>
      </c>
      <c r="C555">
        <v>24.71</v>
      </c>
      <c r="D555">
        <v>574.013325</v>
      </c>
      <c r="E555" t="s">
        <v>660</v>
      </c>
      <c r="F555" t="s">
        <v>631</v>
      </c>
      <c r="G555" t="s">
        <v>670</v>
      </c>
      <c r="H555" t="s">
        <v>699</v>
      </c>
      <c r="I555" t="s">
        <v>1244</v>
      </c>
      <c r="J555" t="s">
        <v>1312</v>
      </c>
      <c r="K555">
        <v>43977</v>
      </c>
      <c r="L555">
        <v>0.022258195062727</v>
      </c>
      <c r="M555">
        <v>0.01788380302374115</v>
      </c>
      <c r="N555">
        <v>0.03</v>
      </c>
      <c r="O555">
        <v>0.06889279203922638</v>
      </c>
      <c r="P555" t="s">
        <v>558</v>
      </c>
      <c r="Q555" t="s">
        <v>558</v>
      </c>
      <c r="R555">
        <v>10</v>
      </c>
      <c r="S555">
        <v>9.99</v>
      </c>
      <c r="T555">
        <v>27</v>
      </c>
      <c r="U555">
        <v>0.9151851851851852</v>
      </c>
      <c r="V555">
        <v>-5.5541</v>
      </c>
      <c r="W555">
        <v>-0.5</v>
      </c>
      <c r="X555">
        <v>0.55</v>
      </c>
      <c r="Y555">
        <v>-0.613906</v>
      </c>
      <c r="Z555">
        <v>0.2892561983471074</v>
      </c>
      <c r="AA555">
        <v>0.03703703703703703</v>
      </c>
      <c r="AB555">
        <v>0.247588424437299</v>
      </c>
      <c r="AC555">
        <v>0.7057877813504823</v>
      </c>
      <c r="AD555">
        <v>0.4742765273311897</v>
      </c>
    </row>
    <row r="556" spans="1:30">
      <c r="A556" s="1" t="s">
        <v>563</v>
      </c>
      <c r="B556">
        <f>HYPERLINK("https://www.suredividend.com/sure-analysis-M/","Macy's, Inc.")</f>
        <v>0</v>
      </c>
      <c r="C556">
        <v>6.65</v>
      </c>
      <c r="D556">
        <v>2063.06275</v>
      </c>
      <c r="E556" t="s">
        <v>660</v>
      </c>
      <c r="F556" t="s">
        <v>631</v>
      </c>
      <c r="G556" t="s">
        <v>670</v>
      </c>
      <c r="H556" t="s">
        <v>699</v>
      </c>
      <c r="I556" t="s">
        <v>1245</v>
      </c>
      <c r="J556" t="s">
        <v>1312</v>
      </c>
      <c r="K556">
        <v>44015</v>
      </c>
      <c r="L556">
        <v>0.227067669172932</v>
      </c>
      <c r="M556">
        <v>0.06239048603138309</v>
      </c>
      <c r="N556">
        <v>-0.03</v>
      </c>
      <c r="O556">
        <v>0.06773356202018288</v>
      </c>
      <c r="P556" t="s">
        <v>558</v>
      </c>
      <c r="Q556" t="s">
        <v>383</v>
      </c>
      <c r="R556">
        <v>0</v>
      </c>
      <c r="S556">
        <v>9.99</v>
      </c>
      <c r="T556">
        <v>9</v>
      </c>
      <c r="U556">
        <v>0.7388888888888889</v>
      </c>
      <c r="V556">
        <v>-10.1481</v>
      </c>
      <c r="W556">
        <v>-4</v>
      </c>
      <c r="X556">
        <v>1.51</v>
      </c>
      <c r="Y556">
        <v>-0.691415</v>
      </c>
      <c r="Z556">
        <v>0.9851239669421488</v>
      </c>
      <c r="AA556">
        <v>0.0177133655394525</v>
      </c>
      <c r="AB556">
        <v>0.008842443729903537</v>
      </c>
      <c r="AC556">
        <v>0.9019292604501608</v>
      </c>
      <c r="AD556">
        <v>0.4662379421221865</v>
      </c>
    </row>
    <row r="557" spans="1:30">
      <c r="A557" s="1" t="s">
        <v>564</v>
      </c>
      <c r="B557">
        <f>HYPERLINK("https://www.suredividend.com/sure-analysis-CLDT/","Chatham Lodging Trust")</f>
        <v>0</v>
      </c>
      <c r="C557">
        <v>5.64</v>
      </c>
      <c r="D557">
        <v>264.871884</v>
      </c>
      <c r="E557" t="s">
        <v>666</v>
      </c>
      <c r="F557" t="s">
        <v>633</v>
      </c>
      <c r="G557" t="s">
        <v>670</v>
      </c>
      <c r="H557" t="s">
        <v>699</v>
      </c>
      <c r="I557" t="s">
        <v>1246</v>
      </c>
      <c r="J557" t="s">
        <v>1321</v>
      </c>
      <c r="K557">
        <v>44000</v>
      </c>
      <c r="L557">
        <v>0.156028368794326</v>
      </c>
      <c r="M557">
        <v>-0.07593845254178611</v>
      </c>
      <c r="N557">
        <v>0.1</v>
      </c>
      <c r="O557">
        <v>0.06752817445880477</v>
      </c>
      <c r="P557" t="s">
        <v>558</v>
      </c>
      <c r="Q557" t="s">
        <v>383</v>
      </c>
      <c r="R557">
        <v>0</v>
      </c>
      <c r="S557">
        <v>2.146341463414634</v>
      </c>
      <c r="T557">
        <v>3.8</v>
      </c>
      <c r="U557">
        <v>1.484210526315789</v>
      </c>
      <c r="V557">
        <v>-0.2324</v>
      </c>
      <c r="W557">
        <v>0.41</v>
      </c>
      <c r="X557">
        <v>0.88</v>
      </c>
      <c r="Y557">
        <v>-0.6959569999999999</v>
      </c>
      <c r="Z557">
        <v>0.9421487603305785</v>
      </c>
      <c r="AA557">
        <v>0.01610305958132045</v>
      </c>
      <c r="AB557">
        <v>0.9051446945337621</v>
      </c>
      <c r="AC557">
        <v>0.1736334405144694</v>
      </c>
      <c r="AD557">
        <v>0.4630225080385852</v>
      </c>
    </row>
    <row r="558" spans="1:30">
      <c r="A558" s="1" t="s">
        <v>565</v>
      </c>
      <c r="B558">
        <f>HYPERLINK("https://www.suredividend.com/sure-analysis-ARR/","ARMOUR Residential REIT, Inc.")</f>
        <v>0</v>
      </c>
      <c r="C558">
        <v>9.44</v>
      </c>
      <c r="D558">
        <v>609.694672</v>
      </c>
      <c r="E558" t="s">
        <v>669</v>
      </c>
      <c r="F558" t="s">
        <v>633</v>
      </c>
      <c r="G558" t="s">
        <v>670</v>
      </c>
      <c r="H558" t="s">
        <v>699</v>
      </c>
      <c r="I558" t="s">
        <v>1247</v>
      </c>
      <c r="J558" t="s">
        <v>1321</v>
      </c>
      <c r="K558">
        <v>44001</v>
      </c>
      <c r="L558">
        <v>0.222457627118644</v>
      </c>
      <c r="M558">
        <v>-0.01619403449267875</v>
      </c>
      <c r="N558">
        <v>0.002</v>
      </c>
      <c r="O558">
        <v>0.06711003556346529</v>
      </c>
      <c r="P558" t="s">
        <v>558</v>
      </c>
      <c r="Q558" t="s">
        <v>636</v>
      </c>
      <c r="R558">
        <v>0</v>
      </c>
      <c r="S558">
        <v>1.693548387096774</v>
      </c>
      <c r="T558">
        <v>8.699999999999999</v>
      </c>
      <c r="U558">
        <v>1.085057471264368</v>
      </c>
      <c r="V558">
        <v>-9.4047</v>
      </c>
      <c r="W558">
        <v>1.24</v>
      </c>
      <c r="X558">
        <v>2.1</v>
      </c>
      <c r="Y558">
        <v>-0.492473</v>
      </c>
      <c r="Z558">
        <v>0.9834710743801652</v>
      </c>
      <c r="AA558">
        <v>0.08695652173913043</v>
      </c>
      <c r="AB558">
        <v>0.06591639871382637</v>
      </c>
      <c r="AC558">
        <v>0.5080385852090032</v>
      </c>
      <c r="AD558">
        <v>0.4598070739549839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5.25</v>
      </c>
      <c r="D559">
        <v>1436.043</v>
      </c>
      <c r="E559" t="s">
        <v>669</v>
      </c>
      <c r="F559" t="s">
        <v>633</v>
      </c>
      <c r="G559" t="s">
        <v>670</v>
      </c>
      <c r="H559" t="s">
        <v>699</v>
      </c>
      <c r="I559" t="s">
        <v>1248</v>
      </c>
      <c r="J559" t="s">
        <v>1321</v>
      </c>
      <c r="K559">
        <v>44019</v>
      </c>
      <c r="L559">
        <v>0.228571428571428</v>
      </c>
      <c r="M559">
        <v>-0.03035973390442093</v>
      </c>
      <c r="N559">
        <v>0.001</v>
      </c>
      <c r="O559">
        <v>0.06667977897793387</v>
      </c>
      <c r="P559" t="s">
        <v>558</v>
      </c>
      <c r="Q559" t="s">
        <v>636</v>
      </c>
      <c r="R559">
        <v>0</v>
      </c>
      <c r="S559">
        <v>2.4</v>
      </c>
      <c r="T559">
        <v>4.5</v>
      </c>
      <c r="U559">
        <v>1.166666666666667</v>
      </c>
      <c r="V559">
        <v>-5.8343</v>
      </c>
      <c r="W559">
        <v>0.5</v>
      </c>
      <c r="X559">
        <v>1.2</v>
      </c>
      <c r="Y559">
        <v>-0.6019709999999999</v>
      </c>
      <c r="Z559">
        <v>0.9867768595041322</v>
      </c>
      <c r="AA559">
        <v>0.04347826086956522</v>
      </c>
      <c r="AB559">
        <v>0.06430868167202572</v>
      </c>
      <c r="AC559">
        <v>0.4083601286173634</v>
      </c>
      <c r="AD559">
        <v>0.4565916398713826</v>
      </c>
    </row>
    <row r="560" spans="1:30">
      <c r="A560" s="1" t="s">
        <v>567</v>
      </c>
      <c r="B560">
        <f>HYPERLINK("https://www.suredividend.com/sure-analysis-DOW/","Dow, Inc.")</f>
        <v>0</v>
      </c>
      <c r="C560">
        <v>43.67</v>
      </c>
      <c r="D560">
        <v>32347.72277</v>
      </c>
      <c r="E560" t="s">
        <v>663</v>
      </c>
      <c r="F560" t="s">
        <v>631</v>
      </c>
      <c r="G560" t="s">
        <v>670</v>
      </c>
      <c r="H560" t="s">
        <v>699</v>
      </c>
      <c r="I560" t="s">
        <v>1249</v>
      </c>
      <c r="J560" t="s">
        <v>1319</v>
      </c>
      <c r="K560">
        <v>43953</v>
      </c>
      <c r="L560">
        <v>0.06411724295855201</v>
      </c>
      <c r="M560">
        <v>-0.02236603143554483</v>
      </c>
      <c r="N560">
        <v>0.03</v>
      </c>
      <c r="O560">
        <v>0.06584796969357987</v>
      </c>
      <c r="P560" t="s">
        <v>558</v>
      </c>
      <c r="Q560" t="s">
        <v>300</v>
      </c>
      <c r="R560">
        <v>0</v>
      </c>
      <c r="S560">
        <v>1.931034482758621</v>
      </c>
      <c r="T560">
        <v>39</v>
      </c>
      <c r="U560">
        <v>1.11974358974359</v>
      </c>
      <c r="V560">
        <v>-2.2752</v>
      </c>
      <c r="W560">
        <v>1.45</v>
      </c>
      <c r="X560">
        <v>2.8</v>
      </c>
      <c r="Y560">
        <v>-0.156135</v>
      </c>
      <c r="Z560">
        <v>0.7504132231404959</v>
      </c>
      <c r="AA560">
        <v>0.465378421900161</v>
      </c>
      <c r="AB560">
        <v>0.247588424437299</v>
      </c>
      <c r="AC560">
        <v>0.4710610932475884</v>
      </c>
      <c r="AD560">
        <v>0.4517684887459807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11.62</v>
      </c>
      <c r="D561">
        <v>5025.9405</v>
      </c>
      <c r="E561" t="s">
        <v>669</v>
      </c>
      <c r="F561" t="s">
        <v>633</v>
      </c>
      <c r="G561" t="s">
        <v>670</v>
      </c>
      <c r="H561" t="s">
        <v>699</v>
      </c>
      <c r="I561" t="s">
        <v>1250</v>
      </c>
      <c r="J561" t="s">
        <v>1321</v>
      </c>
      <c r="K561">
        <v>44012</v>
      </c>
      <c r="L561">
        <v>0.09638554216867401</v>
      </c>
      <c r="M561">
        <v>-0.08877978371459982</v>
      </c>
      <c r="N561">
        <v>0.11</v>
      </c>
      <c r="O561">
        <v>0.06482642022730811</v>
      </c>
      <c r="P561" t="s">
        <v>558</v>
      </c>
      <c r="Q561" t="s">
        <v>383</v>
      </c>
      <c r="R561">
        <v>0</v>
      </c>
      <c r="S561">
        <v>1.534246575342466</v>
      </c>
      <c r="T561">
        <v>7.3</v>
      </c>
      <c r="U561">
        <v>1.591780821917808</v>
      </c>
      <c r="V561">
        <v>0.755</v>
      </c>
      <c r="W561">
        <v>0.73</v>
      </c>
      <c r="X561">
        <v>1.12</v>
      </c>
      <c r="Y561">
        <v>-0.362589</v>
      </c>
      <c r="Z561">
        <v>0.859504132231405</v>
      </c>
      <c r="AA561">
        <v>0.2012882447665056</v>
      </c>
      <c r="AB561">
        <v>0.9316720257234726</v>
      </c>
      <c r="AC561">
        <v>0.1254019292604502</v>
      </c>
      <c r="AD561">
        <v>0.4437299035369775</v>
      </c>
    </row>
    <row r="562" spans="1:30">
      <c r="A562" s="1" t="s">
        <v>569</v>
      </c>
      <c r="B562">
        <f>HYPERLINK("https://www.suredividend.com/sure-analysis-HP/","Helmerich &amp; Payne, Inc.")</f>
        <v>0</v>
      </c>
      <c r="C562">
        <v>18.15</v>
      </c>
      <c r="D562">
        <v>1949.6367</v>
      </c>
      <c r="E562" t="s">
        <v>662</v>
      </c>
      <c r="F562" t="s">
        <v>631</v>
      </c>
      <c r="G562" t="s">
        <v>670</v>
      </c>
      <c r="H562" t="s">
        <v>699</v>
      </c>
      <c r="I562" t="s">
        <v>1251</v>
      </c>
      <c r="J562" t="s">
        <v>1316</v>
      </c>
      <c r="K562">
        <v>43962</v>
      </c>
      <c r="L562">
        <v>0.156473829201101</v>
      </c>
      <c r="M562">
        <v>-0.1308931437614322</v>
      </c>
      <c r="N562">
        <v>0.17</v>
      </c>
      <c r="O562">
        <v>0.06384078287719208</v>
      </c>
      <c r="P562" t="s">
        <v>558</v>
      </c>
      <c r="Q562" t="s">
        <v>383</v>
      </c>
      <c r="R562">
        <v>0</v>
      </c>
      <c r="S562">
        <v>9.99</v>
      </c>
      <c r="T562">
        <v>9</v>
      </c>
      <c r="U562">
        <v>2.016666666666667</v>
      </c>
      <c r="V562">
        <v>-4.66</v>
      </c>
      <c r="W562">
        <v>-1.1</v>
      </c>
      <c r="X562">
        <v>2.84</v>
      </c>
      <c r="Y562">
        <v>-0.641446</v>
      </c>
      <c r="Z562">
        <v>0.947107438016529</v>
      </c>
      <c r="AA562">
        <v>0.03381642512077294</v>
      </c>
      <c r="AB562">
        <v>0.9855305466237942</v>
      </c>
      <c r="AC562">
        <v>0.03054662379421222</v>
      </c>
      <c r="AD562">
        <v>0.4389067524115756</v>
      </c>
    </row>
    <row r="563" spans="1:30">
      <c r="A563" s="1" t="s">
        <v>570</v>
      </c>
      <c r="B563">
        <f>HYPERLINK("https://www.suredividend.com/sure-analysis-FL/","Foot Locker, Inc.")</f>
        <v>0</v>
      </c>
      <c r="C563">
        <v>27.72</v>
      </c>
      <c r="D563">
        <v>2889.36648</v>
      </c>
      <c r="E563" t="s">
        <v>663</v>
      </c>
      <c r="F563" t="s">
        <v>631</v>
      </c>
      <c r="G563" t="s">
        <v>670</v>
      </c>
      <c r="H563" t="s">
        <v>699</v>
      </c>
      <c r="I563" t="s">
        <v>1252</v>
      </c>
      <c r="J563" t="s">
        <v>1312</v>
      </c>
      <c r="K563">
        <v>43990</v>
      </c>
      <c r="L563">
        <v>0.055555555555555</v>
      </c>
      <c r="M563">
        <v>0.009069209442838178</v>
      </c>
      <c r="N563">
        <v>0.04</v>
      </c>
      <c r="O563">
        <v>0.0631660988338143</v>
      </c>
      <c r="P563" t="s">
        <v>558</v>
      </c>
      <c r="Q563" t="s">
        <v>300</v>
      </c>
      <c r="R563">
        <v>0</v>
      </c>
      <c r="S563">
        <v>2.053333333333333</v>
      </c>
      <c r="T563">
        <v>29</v>
      </c>
      <c r="U563">
        <v>0.9558620689655172</v>
      </c>
      <c r="V563">
        <v>2.0095</v>
      </c>
      <c r="W563">
        <v>0.75</v>
      </c>
      <c r="X563">
        <v>1.54</v>
      </c>
      <c r="Y563">
        <v>-0.345455</v>
      </c>
      <c r="Z563">
        <v>0.6909090909090909</v>
      </c>
      <c r="AA563">
        <v>0.2367149758454106</v>
      </c>
      <c r="AB563">
        <v>0.3794212218649518</v>
      </c>
      <c r="AC563">
        <v>0.657556270096463</v>
      </c>
      <c r="AD563">
        <v>0.4372990353697749</v>
      </c>
    </row>
    <row r="564" spans="1:30">
      <c r="A564" s="1" t="s">
        <v>571</v>
      </c>
      <c r="B564">
        <f>HYPERLINK("https://www.suredividend.com/sure-analysis-OXY/","Occidental Petroleum Corp.")</f>
        <v>0</v>
      </c>
      <c r="C564">
        <v>16.28</v>
      </c>
      <c r="D564">
        <v>14948.32856</v>
      </c>
      <c r="E564" t="s">
        <v>662</v>
      </c>
      <c r="F564" t="s">
        <v>631</v>
      </c>
      <c r="G564" t="s">
        <v>670</v>
      </c>
      <c r="H564" t="s">
        <v>699</v>
      </c>
      <c r="I564" t="s">
        <v>1253</v>
      </c>
      <c r="J564" t="s">
        <v>1316</v>
      </c>
      <c r="K564">
        <v>43976</v>
      </c>
      <c r="L564">
        <v>0.193488943488943</v>
      </c>
      <c r="M564">
        <v>0.020289978423083</v>
      </c>
      <c r="N564">
        <v>0.02</v>
      </c>
      <c r="O564">
        <v>0.06277952975539081</v>
      </c>
      <c r="P564" t="s">
        <v>558</v>
      </c>
      <c r="Q564" t="s">
        <v>383</v>
      </c>
      <c r="R564">
        <v>0</v>
      </c>
      <c r="S564">
        <v>9.99</v>
      </c>
      <c r="T564">
        <v>18</v>
      </c>
      <c r="U564">
        <v>0.9044444444444445</v>
      </c>
      <c r="V564">
        <v>-4.2181</v>
      </c>
      <c r="W564">
        <v>-4</v>
      </c>
      <c r="X564">
        <v>3.15</v>
      </c>
      <c r="Y564">
        <v>-0.680847</v>
      </c>
      <c r="Z564">
        <v>0.9719008264462811</v>
      </c>
      <c r="AA564">
        <v>0.02737520128824477</v>
      </c>
      <c r="AB564">
        <v>0.157556270096463</v>
      </c>
      <c r="AC564">
        <v>0.7250803858520901</v>
      </c>
      <c r="AD564">
        <v>0.4308681672025723</v>
      </c>
    </row>
    <row r="565" spans="1:30">
      <c r="A565" s="1" t="s">
        <v>572</v>
      </c>
      <c r="B565">
        <f>HYPERLINK("https://www.suredividend.com/sure-analysis-EADSY/","Airbus SE")</f>
        <v>0</v>
      </c>
      <c r="C565">
        <v>18.93</v>
      </c>
      <c r="D565">
        <v>59301.619149</v>
      </c>
      <c r="E565" t="s">
        <v>660</v>
      </c>
      <c r="F565" t="s">
        <v>631</v>
      </c>
      <c r="G565" t="s">
        <v>684</v>
      </c>
      <c r="H565" t="s">
        <v>700</v>
      </c>
      <c r="I565" t="s">
        <v>1254</v>
      </c>
      <c r="J565" t="s">
        <v>1313</v>
      </c>
      <c r="K565">
        <v>43979</v>
      </c>
      <c r="L565">
        <v>0.019947173798203</v>
      </c>
      <c r="M565">
        <v>-0.01002465624835602</v>
      </c>
      <c r="N565">
        <v>0.06</v>
      </c>
      <c r="O565">
        <v>0.06138099349385628</v>
      </c>
      <c r="P565" t="s">
        <v>558</v>
      </c>
      <c r="Q565" t="s">
        <v>558</v>
      </c>
      <c r="R565">
        <v>0</v>
      </c>
      <c r="S565">
        <v>9.99</v>
      </c>
      <c r="T565">
        <v>18</v>
      </c>
      <c r="U565">
        <v>1.051666666666667</v>
      </c>
      <c r="V565">
        <v>-0.4685</v>
      </c>
      <c r="W565">
        <v>-0.5</v>
      </c>
      <c r="X565">
        <v>0.3776</v>
      </c>
      <c r="Y565">
        <v>-0.491948</v>
      </c>
      <c r="Z565">
        <v>0.2363636363636364</v>
      </c>
      <c r="AA565">
        <v>0.08856682769726248</v>
      </c>
      <c r="AB565">
        <v>0.6463022508038585</v>
      </c>
      <c r="AC565">
        <v>0.5498392282958199</v>
      </c>
      <c r="AD565">
        <v>0.4244372990353698</v>
      </c>
    </row>
    <row r="566" spans="1:30">
      <c r="A566" s="1" t="s">
        <v>573</v>
      </c>
      <c r="B566">
        <f>HYPERLINK("https://www.suredividend.com/sure-analysis-EPR/","EPR Properties")</f>
        <v>0</v>
      </c>
      <c r="C566">
        <v>31.43</v>
      </c>
      <c r="D566">
        <v>2470.02084</v>
      </c>
      <c r="E566" t="s">
        <v>663</v>
      </c>
      <c r="F566" t="s">
        <v>633</v>
      </c>
      <c r="G566" t="s">
        <v>670</v>
      </c>
      <c r="H566" t="s">
        <v>699</v>
      </c>
      <c r="I566" t="s">
        <v>1255</v>
      </c>
      <c r="J566" t="s">
        <v>1321</v>
      </c>
      <c r="K566">
        <v>43982</v>
      </c>
      <c r="L566">
        <v>0.143413935730194</v>
      </c>
      <c r="M566">
        <v>0.0217502029949117</v>
      </c>
      <c r="N566">
        <v>0</v>
      </c>
      <c r="O566">
        <v>0.061305110768759</v>
      </c>
      <c r="P566" t="s">
        <v>558</v>
      </c>
      <c r="Q566" t="s">
        <v>383</v>
      </c>
      <c r="R566">
        <v>0</v>
      </c>
      <c r="S566">
        <v>1.287857142857143</v>
      </c>
      <c r="T566">
        <v>35</v>
      </c>
      <c r="U566">
        <v>0.898</v>
      </c>
      <c r="V566">
        <v>1.9127</v>
      </c>
      <c r="W566">
        <v>3.5</v>
      </c>
      <c r="X566">
        <v>4.5075</v>
      </c>
      <c r="Y566">
        <v>-0.5822700000000001</v>
      </c>
      <c r="Z566">
        <v>0.9305785123966942</v>
      </c>
      <c r="AA566">
        <v>0.05152979066022544</v>
      </c>
      <c r="AB566">
        <v>0.04180064308681672</v>
      </c>
      <c r="AC566">
        <v>0.7282958199356914</v>
      </c>
      <c r="AD566">
        <v>0.4228295819935691</v>
      </c>
    </row>
    <row r="567" spans="1:30">
      <c r="A567" s="1" t="s">
        <v>574</v>
      </c>
      <c r="B567">
        <f>HYPERLINK("https://www.suredividend.com/sure-analysis-SJR/","Shaw Communications, Inc.")</f>
        <v>0</v>
      </c>
      <c r="C567">
        <v>18.16</v>
      </c>
      <c r="D567">
        <v>9314.173199999999</v>
      </c>
      <c r="E567" t="s">
        <v>666</v>
      </c>
      <c r="F567" t="s">
        <v>631</v>
      </c>
      <c r="G567" t="s">
        <v>671</v>
      </c>
      <c r="H567" t="s">
        <v>699</v>
      </c>
      <c r="I567" t="s">
        <v>1256</v>
      </c>
      <c r="J567" t="s">
        <v>1320</v>
      </c>
      <c r="K567">
        <v>43951</v>
      </c>
      <c r="L567">
        <v>0.06525330396475701</v>
      </c>
      <c r="M567">
        <v>-0.04139365751819013</v>
      </c>
      <c r="N567">
        <v>0.06</v>
      </c>
      <c r="O567">
        <v>0.0600862258515471</v>
      </c>
      <c r="P567" t="s">
        <v>558</v>
      </c>
      <c r="Q567" t="s">
        <v>300</v>
      </c>
      <c r="R567">
        <v>0</v>
      </c>
      <c r="S567">
        <v>1.28804347826087</v>
      </c>
      <c r="T567">
        <v>14.7</v>
      </c>
      <c r="U567">
        <v>1.235374149659864</v>
      </c>
      <c r="V567">
        <v>0.9707</v>
      </c>
      <c r="W567">
        <v>0.92</v>
      </c>
      <c r="X567">
        <v>1.185</v>
      </c>
      <c r="Y567">
        <v>-0.07864</v>
      </c>
      <c r="Z567">
        <v>0.7570247933884298</v>
      </c>
      <c r="AA567">
        <v>0.5797101449275363</v>
      </c>
      <c r="AB567">
        <v>0.6463022508038585</v>
      </c>
      <c r="AC567">
        <v>0.3295819935691318</v>
      </c>
      <c r="AD567">
        <v>0.4180064308681672</v>
      </c>
    </row>
    <row r="568" spans="1:30">
      <c r="A568" s="1" t="s">
        <v>575</v>
      </c>
      <c r="B568">
        <f>HYPERLINK("https://www.suredividend.com/sure-analysis-AB/","AllianceBernstein Holding LP")</f>
        <v>0</v>
      </c>
      <c r="C568">
        <v>28.26</v>
      </c>
      <c r="D568">
        <v>2763.635832</v>
      </c>
      <c r="E568" t="s">
        <v>669</v>
      </c>
      <c r="F568" t="s">
        <v>631</v>
      </c>
      <c r="G568" t="s">
        <v>670</v>
      </c>
      <c r="H568" t="s">
        <v>699</v>
      </c>
      <c r="I568" t="s">
        <v>1257</v>
      </c>
      <c r="J568" t="s">
        <v>1311</v>
      </c>
      <c r="K568">
        <v>43951</v>
      </c>
      <c r="L568">
        <v>0.089525831564048</v>
      </c>
      <c r="M568">
        <v>-0.0668067954495789</v>
      </c>
      <c r="N568">
        <v>0.05</v>
      </c>
      <c r="O568">
        <v>0.05809842562754453</v>
      </c>
      <c r="P568" t="s">
        <v>558</v>
      </c>
      <c r="Q568" t="s">
        <v>383</v>
      </c>
      <c r="R568">
        <v>0</v>
      </c>
      <c r="S568">
        <v>1.265</v>
      </c>
      <c r="T568">
        <v>20</v>
      </c>
      <c r="U568">
        <v>1.413</v>
      </c>
      <c r="V568">
        <v>2.633</v>
      </c>
      <c r="W568">
        <v>2</v>
      </c>
      <c r="X568">
        <v>2.53</v>
      </c>
      <c r="Y568">
        <v>-0.073139</v>
      </c>
      <c r="Z568">
        <v>0.8479338842975207</v>
      </c>
      <c r="AA568">
        <v>0.5942028985507246</v>
      </c>
      <c r="AB568">
        <v>0.5160771704180064</v>
      </c>
      <c r="AC568">
        <v>0.1993569131832797</v>
      </c>
      <c r="AD568">
        <v>0.4035369774919614</v>
      </c>
    </row>
    <row r="569" spans="1:30">
      <c r="A569" s="1" t="s">
        <v>576</v>
      </c>
      <c r="B569">
        <f>HYPERLINK("https://www.suredividend.com/sure-analysis-ROST/","Ross Stores, Inc.")</f>
        <v>0</v>
      </c>
      <c r="C569">
        <v>85.79000000000001</v>
      </c>
      <c r="D569">
        <v>30534.54838</v>
      </c>
      <c r="E569" t="s">
        <v>662</v>
      </c>
      <c r="F569" t="s">
        <v>631</v>
      </c>
      <c r="G569" t="s">
        <v>670</v>
      </c>
      <c r="H569" t="s">
        <v>701</v>
      </c>
      <c r="I569" t="s">
        <v>1258</v>
      </c>
      <c r="J569" t="s">
        <v>1312</v>
      </c>
      <c r="K569">
        <v>43976</v>
      </c>
      <c r="L569">
        <v>0.012239188716633</v>
      </c>
      <c r="M569">
        <v>-0.06901450092659644</v>
      </c>
      <c r="N569">
        <v>0.13</v>
      </c>
      <c r="O569">
        <v>0.05585764417855854</v>
      </c>
      <c r="P569" t="s">
        <v>558</v>
      </c>
      <c r="Q569" t="s">
        <v>558</v>
      </c>
      <c r="R569">
        <v>0</v>
      </c>
      <c r="S569">
        <v>1.235294117647059</v>
      </c>
      <c r="T569">
        <v>60</v>
      </c>
      <c r="U569">
        <v>1.429833333333334</v>
      </c>
      <c r="V569">
        <v>2.6063</v>
      </c>
      <c r="W569">
        <v>0.85</v>
      </c>
      <c r="X569">
        <v>1.05</v>
      </c>
      <c r="Y569">
        <v>-0.198524</v>
      </c>
      <c r="Z569">
        <v>0.1008264462809917</v>
      </c>
      <c r="AA569">
        <v>0.4106280193236715</v>
      </c>
      <c r="AB569">
        <v>0.9606109324758844</v>
      </c>
      <c r="AC569">
        <v>0.1945337620578778</v>
      </c>
      <c r="AD569">
        <v>0.3874598070739549</v>
      </c>
    </row>
    <row r="570" spans="1:30">
      <c r="A570" s="1" t="s">
        <v>577</v>
      </c>
      <c r="B570">
        <f>HYPERLINK("https://www.suredividend.com/sure-analysis-ORC/","Orchid Island Capital, Inc.")</f>
        <v>0</v>
      </c>
      <c r="C570">
        <v>4.96</v>
      </c>
      <c r="D570">
        <v>328.454672</v>
      </c>
      <c r="E570" t="s">
        <v>669</v>
      </c>
      <c r="F570" t="s">
        <v>633</v>
      </c>
      <c r="G570" t="s">
        <v>670</v>
      </c>
      <c r="H570" t="s">
        <v>699</v>
      </c>
      <c r="I570" t="s">
        <v>1259</v>
      </c>
      <c r="J570" t="s">
        <v>1321</v>
      </c>
      <c r="K570">
        <v>44015</v>
      </c>
      <c r="L570">
        <v>0.193548387096774</v>
      </c>
      <c r="M570">
        <v>-0.04210994805604396</v>
      </c>
      <c r="N570">
        <v>-0.019</v>
      </c>
      <c r="O570">
        <v>0.05349526280994099</v>
      </c>
      <c r="P570" t="s">
        <v>558</v>
      </c>
      <c r="Q570" t="s">
        <v>636</v>
      </c>
      <c r="R570">
        <v>0</v>
      </c>
      <c r="S570">
        <v>1.263157894736842</v>
      </c>
      <c r="T570">
        <v>4</v>
      </c>
      <c r="U570">
        <v>1.24</v>
      </c>
      <c r="V570">
        <v>-1.1902</v>
      </c>
      <c r="W570">
        <v>0.76</v>
      </c>
      <c r="X570">
        <v>0.96</v>
      </c>
      <c r="Y570">
        <v>-0.246201</v>
      </c>
      <c r="Z570">
        <v>0.9735537190082644</v>
      </c>
      <c r="AA570">
        <v>0.3429951690821256</v>
      </c>
      <c r="AB570">
        <v>0.01446945337620579</v>
      </c>
      <c r="AC570">
        <v>0.3207395498392283</v>
      </c>
      <c r="AD570">
        <v>0.3745980707395498</v>
      </c>
    </row>
    <row r="571" spans="1:30">
      <c r="A571" s="1" t="s">
        <v>578</v>
      </c>
      <c r="B571">
        <f>HYPERLINK("https://www.suredividend.com/sure-analysis-VET/","Vermilion Energy, Inc.")</f>
        <v>0</v>
      </c>
      <c r="C571">
        <v>4.42</v>
      </c>
      <c r="D571">
        <v>690.8018</v>
      </c>
      <c r="E571" t="s">
        <v>669</v>
      </c>
      <c r="F571" t="s">
        <v>631</v>
      </c>
      <c r="G571" t="s">
        <v>671</v>
      </c>
      <c r="H571" t="s">
        <v>699</v>
      </c>
      <c r="J571" t="s">
        <v>1316</v>
      </c>
      <c r="K571">
        <v>43992</v>
      </c>
      <c r="L571">
        <v>0.4498696323954881</v>
      </c>
      <c r="M571">
        <v>-0.1006883577224251</v>
      </c>
      <c r="N571">
        <v>0.05</v>
      </c>
      <c r="O571">
        <v>0.05228726273109108</v>
      </c>
      <c r="P571" t="s">
        <v>558</v>
      </c>
      <c r="Q571" t="s">
        <v>636</v>
      </c>
      <c r="R571">
        <v>0</v>
      </c>
      <c r="S571">
        <v>3.898870147427568</v>
      </c>
      <c r="T571">
        <v>2.6</v>
      </c>
      <c r="U571">
        <v>1.7</v>
      </c>
      <c r="V571">
        <v>-6.2942</v>
      </c>
      <c r="W571">
        <v>0.51</v>
      </c>
      <c r="X571">
        <v>1.98842377518806</v>
      </c>
      <c r="Y571">
        <v>-0.779771</v>
      </c>
      <c r="Z571">
        <v>1</v>
      </c>
      <c r="AA571">
        <v>0.004830917874396135</v>
      </c>
      <c r="AB571">
        <v>0.5160771704180064</v>
      </c>
      <c r="AC571">
        <v>0.08360128617363344</v>
      </c>
      <c r="AD571">
        <v>0.3681672025723473</v>
      </c>
    </row>
    <row r="572" spans="1:30">
      <c r="A572" s="1" t="s">
        <v>579</v>
      </c>
      <c r="B572">
        <f>HYPERLINK("https://www.suredividend.com/sure-analysis-EQM/","EQM Midstream Partners LP")</f>
        <v>0</v>
      </c>
      <c r="C572">
        <v>21.43</v>
      </c>
      <c r="D572">
        <v>4295.81494</v>
      </c>
      <c r="E572" t="s">
        <v>662</v>
      </c>
      <c r="F572" t="s">
        <v>632</v>
      </c>
      <c r="G572" t="s">
        <v>670</v>
      </c>
      <c r="H572" t="s">
        <v>699</v>
      </c>
      <c r="I572" t="s">
        <v>1260</v>
      </c>
      <c r="J572" t="s">
        <v>1316</v>
      </c>
      <c r="K572">
        <v>43979</v>
      </c>
      <c r="L572">
        <v>0.180471301913205</v>
      </c>
      <c r="M572">
        <v>-0.01371696043083381</v>
      </c>
      <c r="N572">
        <v>0</v>
      </c>
      <c r="O572">
        <v>0.04884025297801764</v>
      </c>
      <c r="P572" t="s">
        <v>558</v>
      </c>
      <c r="Q572" t="s">
        <v>636</v>
      </c>
      <c r="R572">
        <v>0</v>
      </c>
      <c r="S572">
        <v>1.105</v>
      </c>
      <c r="T572">
        <v>20</v>
      </c>
      <c r="U572">
        <v>1.0715</v>
      </c>
      <c r="V572">
        <v>0.4171</v>
      </c>
      <c r="W572">
        <v>3.5</v>
      </c>
      <c r="X572">
        <v>3.8675</v>
      </c>
      <c r="Y572">
        <v>0</v>
      </c>
      <c r="Z572">
        <v>0.9603305785123968</v>
      </c>
      <c r="AA572">
        <v>0.6843800322061192</v>
      </c>
      <c r="AB572">
        <v>0.04180064308681672</v>
      </c>
      <c r="AC572">
        <v>0.5337620578778135</v>
      </c>
      <c r="AD572">
        <v>0.3472668810289389</v>
      </c>
    </row>
    <row r="573" spans="1:30">
      <c r="A573" s="1" t="s">
        <v>580</v>
      </c>
      <c r="B573">
        <f>HYPERLINK("https://www.suredividend.com/sure-analysis-NRZ/","New Residential Investment Corp.")</f>
        <v>0</v>
      </c>
      <c r="C573">
        <v>7.71</v>
      </c>
      <c r="D573">
        <v>3204.65379</v>
      </c>
      <c r="E573" t="s">
        <v>660</v>
      </c>
      <c r="F573" t="s">
        <v>633</v>
      </c>
      <c r="G573" t="s">
        <v>670</v>
      </c>
      <c r="H573" t="s">
        <v>699</v>
      </c>
      <c r="I573" t="s">
        <v>1261</v>
      </c>
      <c r="J573" t="s">
        <v>1321</v>
      </c>
      <c r="K573">
        <v>43958</v>
      </c>
      <c r="L573">
        <v>0.201037613488975</v>
      </c>
      <c r="M573">
        <v>-0.01359418533107548</v>
      </c>
      <c r="N573">
        <v>0.04</v>
      </c>
      <c r="O573">
        <v>0.04828218669325612</v>
      </c>
      <c r="P573" t="s">
        <v>558</v>
      </c>
      <c r="Q573" t="s">
        <v>636</v>
      </c>
      <c r="R573">
        <v>0</v>
      </c>
      <c r="S573">
        <v>1.722222222222222</v>
      </c>
      <c r="T573">
        <v>7.2</v>
      </c>
      <c r="U573">
        <v>1.070833333333333</v>
      </c>
      <c r="V573">
        <v>-2.8823</v>
      </c>
      <c r="W573">
        <v>0.9</v>
      </c>
      <c r="X573">
        <v>1.55</v>
      </c>
      <c r="Y573">
        <v>-0.487367</v>
      </c>
      <c r="Z573">
        <v>0.9752066115702479</v>
      </c>
      <c r="AA573">
        <v>0.09500805152979065</v>
      </c>
      <c r="AB573">
        <v>0.3794212218649518</v>
      </c>
      <c r="AC573">
        <v>0.5353697749196141</v>
      </c>
      <c r="AD573">
        <v>0.3456591639871383</v>
      </c>
    </row>
    <row r="574" spans="1:30">
      <c r="A574" s="1" t="s">
        <v>581</v>
      </c>
      <c r="B574">
        <f>HYPERLINK("https://www.suredividend.com/sure-analysis-E/","Eni SpA")</f>
        <v>0</v>
      </c>
      <c r="C574">
        <v>20.13</v>
      </c>
      <c r="D574">
        <v>35957.759241</v>
      </c>
      <c r="E574" t="s">
        <v>662</v>
      </c>
      <c r="F574" t="s">
        <v>631</v>
      </c>
      <c r="G574" t="s">
        <v>691</v>
      </c>
      <c r="H574" t="s">
        <v>699</v>
      </c>
      <c r="I574" t="s">
        <v>1262</v>
      </c>
      <c r="J574" t="s">
        <v>1316</v>
      </c>
      <c r="K574">
        <v>43949</v>
      </c>
      <c r="L574">
        <v>0.066347540983606</v>
      </c>
      <c r="M574">
        <v>-0.05713503864386416</v>
      </c>
      <c r="N574">
        <v>0.06</v>
      </c>
      <c r="O574">
        <v>0.04792680420968587</v>
      </c>
      <c r="P574" t="s">
        <v>558</v>
      </c>
      <c r="Q574" t="s">
        <v>300</v>
      </c>
      <c r="R574">
        <v>0</v>
      </c>
      <c r="S574">
        <v>9.99</v>
      </c>
      <c r="T574">
        <v>15</v>
      </c>
      <c r="U574">
        <v>1.342</v>
      </c>
      <c r="V574">
        <v>0.1066</v>
      </c>
      <c r="W574">
        <v>-1.8</v>
      </c>
      <c r="X574">
        <v>1.335576</v>
      </c>
      <c r="Y574">
        <v>-0.376587</v>
      </c>
      <c r="Z574">
        <v>0.7702479338842976</v>
      </c>
      <c r="AA574">
        <v>0.1851851851851852</v>
      </c>
      <c r="AB574">
        <v>0.6463022508038585</v>
      </c>
      <c r="AC574">
        <v>0.2395498392282958</v>
      </c>
      <c r="AD574">
        <v>0.3408360128617363</v>
      </c>
    </row>
    <row r="575" spans="1:30">
      <c r="A575" s="1" t="s">
        <v>582</v>
      </c>
      <c r="B575">
        <f>HYPERLINK("https://www.suredividend.com/sure-analysis-BA/","The Boeing Co.")</f>
        <v>0</v>
      </c>
      <c r="C575">
        <v>175.66</v>
      </c>
      <c r="D575">
        <v>99129.32950000001</v>
      </c>
      <c r="E575" t="s">
        <v>664</v>
      </c>
      <c r="F575" t="s">
        <v>631</v>
      </c>
      <c r="G575" t="s">
        <v>670</v>
      </c>
      <c r="H575" t="s">
        <v>699</v>
      </c>
      <c r="I575" t="s">
        <v>1263</v>
      </c>
      <c r="J575" t="s">
        <v>1313</v>
      </c>
      <c r="K575">
        <v>43957</v>
      </c>
      <c r="L575">
        <v>0.04679494477968801</v>
      </c>
      <c r="M575">
        <v>-0.006528967352735893</v>
      </c>
      <c r="N575">
        <v>0.054</v>
      </c>
      <c r="O575">
        <v>0.04711846841021639</v>
      </c>
      <c r="P575" t="s">
        <v>558</v>
      </c>
      <c r="Q575" t="s">
        <v>558</v>
      </c>
      <c r="R575">
        <v>0</v>
      </c>
      <c r="S575">
        <v>9.99</v>
      </c>
      <c r="T575">
        <v>170</v>
      </c>
      <c r="U575">
        <v>1.033294117647059</v>
      </c>
      <c r="V575">
        <v>-6.0498</v>
      </c>
      <c r="W575">
        <v>-2.67</v>
      </c>
      <c r="X575">
        <v>8.220000000000001</v>
      </c>
      <c r="Y575">
        <v>-0.513555</v>
      </c>
      <c r="Z575">
        <v>0.6214876033057851</v>
      </c>
      <c r="AA575">
        <v>0.07729468599033816</v>
      </c>
      <c r="AB575">
        <v>0.5868167202572347</v>
      </c>
      <c r="AC575">
        <v>0.5771704180064309</v>
      </c>
      <c r="AD575">
        <v>0.3344051446945338</v>
      </c>
    </row>
    <row r="576" spans="1:30">
      <c r="A576" s="1" t="s">
        <v>583</v>
      </c>
      <c r="B576">
        <f>HYPERLINK("https://www.suredividend.com/sure-analysis-PBA/","Pembina Pipeline Corp.")</f>
        <v>0</v>
      </c>
      <c r="C576">
        <v>24.79</v>
      </c>
      <c r="D576">
        <v>13629.14536</v>
      </c>
      <c r="E576" t="s">
        <v>662</v>
      </c>
      <c r="F576" t="s">
        <v>631</v>
      </c>
      <c r="G576" t="s">
        <v>671</v>
      </c>
      <c r="H576" t="s">
        <v>699</v>
      </c>
      <c r="I576" t="s">
        <v>1264</v>
      </c>
      <c r="J576" t="s">
        <v>1316</v>
      </c>
      <c r="K576">
        <v>43976</v>
      </c>
      <c r="L576">
        <v>0.073345740828807</v>
      </c>
      <c r="M576">
        <v>-0.07266963897974554</v>
      </c>
      <c r="N576">
        <v>0.05</v>
      </c>
      <c r="O576">
        <v>0.04671233948487408</v>
      </c>
      <c r="P576" t="s">
        <v>558</v>
      </c>
      <c r="Q576" t="s">
        <v>383</v>
      </c>
      <c r="R576">
        <v>4</v>
      </c>
      <c r="S576">
        <v>1.212160610097427</v>
      </c>
      <c r="T576">
        <v>17</v>
      </c>
      <c r="U576">
        <v>1.458235294117647</v>
      </c>
      <c r="V576">
        <v>1.9561</v>
      </c>
      <c r="W576">
        <v>1.5</v>
      </c>
      <c r="X576">
        <v>1.81824091514614</v>
      </c>
      <c r="Y576">
        <v>-0.34746</v>
      </c>
      <c r="Z576">
        <v>0.8016528925619835</v>
      </c>
      <c r="AA576">
        <v>0.2318840579710145</v>
      </c>
      <c r="AB576">
        <v>0.5160771704180064</v>
      </c>
      <c r="AC576">
        <v>0.1897106109324759</v>
      </c>
      <c r="AD576">
        <v>0.3263665594855306</v>
      </c>
    </row>
    <row r="577" spans="1:30">
      <c r="A577" s="1" t="s">
        <v>584</v>
      </c>
      <c r="B577">
        <f>HYPERLINK("https://www.suredividend.com/sure-analysis-CBRL/","Cracker Barrel Old Country Store, Inc.")</f>
        <v>0</v>
      </c>
      <c r="C577">
        <v>106.19</v>
      </c>
      <c r="D577">
        <v>2516.06586</v>
      </c>
      <c r="E577" t="s">
        <v>669</v>
      </c>
      <c r="F577" t="s">
        <v>631</v>
      </c>
      <c r="G577" t="s">
        <v>670</v>
      </c>
      <c r="H577" t="s">
        <v>701</v>
      </c>
      <c r="I577" t="s">
        <v>1265</v>
      </c>
      <c r="J577" t="s">
        <v>1312</v>
      </c>
      <c r="K577">
        <v>44019</v>
      </c>
      <c r="L577">
        <v>0.04896882945663401</v>
      </c>
      <c r="M577">
        <v>-0.03254276288280955</v>
      </c>
      <c r="N577">
        <v>0.031</v>
      </c>
      <c r="O577">
        <v>0.04636147950592973</v>
      </c>
      <c r="P577" t="s">
        <v>558</v>
      </c>
      <c r="Q577" t="s">
        <v>300</v>
      </c>
      <c r="R577">
        <v>17</v>
      </c>
      <c r="S577">
        <v>2.937853107344633</v>
      </c>
      <c r="T577">
        <v>90</v>
      </c>
      <c r="U577">
        <v>1.179888888888889</v>
      </c>
      <c r="V577">
        <v>0.2462</v>
      </c>
      <c r="W577">
        <v>1.77</v>
      </c>
      <c r="X577">
        <v>5.2</v>
      </c>
      <c r="Y577">
        <v>-0.379876</v>
      </c>
      <c r="Z577">
        <v>0.6462809917355372</v>
      </c>
      <c r="AA577">
        <v>0.1835748792270532</v>
      </c>
      <c r="AB577">
        <v>0.2934083601286174</v>
      </c>
      <c r="AC577">
        <v>0.3858520900321543</v>
      </c>
      <c r="AD577">
        <v>0.3231511254019293</v>
      </c>
    </row>
    <row r="578" spans="1:30">
      <c r="A578" s="1" t="s">
        <v>585</v>
      </c>
      <c r="B578">
        <f>HYPERLINK("https://www.suredividend.com/sure-analysis-DAL/","Delta Air Lines, Inc.")</f>
        <v>0</v>
      </c>
      <c r="C578">
        <v>27.05</v>
      </c>
      <c r="D578">
        <v>17254.03185</v>
      </c>
      <c r="E578" t="s">
        <v>662</v>
      </c>
      <c r="F578" t="s">
        <v>631</v>
      </c>
      <c r="G578" t="s">
        <v>670</v>
      </c>
      <c r="H578" t="s">
        <v>699</v>
      </c>
      <c r="I578" t="s">
        <v>1266</v>
      </c>
      <c r="J578" t="s">
        <v>1313</v>
      </c>
      <c r="K578">
        <v>43944</v>
      </c>
      <c r="L578">
        <v>0.044639556377079</v>
      </c>
      <c r="M578">
        <v>-0.01563866216071053</v>
      </c>
      <c r="N578">
        <v>0.06</v>
      </c>
      <c r="O578">
        <v>0.0462149797345961</v>
      </c>
      <c r="P578" t="s">
        <v>558</v>
      </c>
      <c r="Q578" t="s">
        <v>558</v>
      </c>
      <c r="R578">
        <v>0</v>
      </c>
      <c r="S578">
        <v>9.99</v>
      </c>
      <c r="T578">
        <v>25</v>
      </c>
      <c r="U578">
        <v>1.082</v>
      </c>
      <c r="V578">
        <v>-5.8154</v>
      </c>
      <c r="W578">
        <v>-9</v>
      </c>
      <c r="X578">
        <v>1.2075</v>
      </c>
      <c r="Y578">
        <v>-0.5683049999999999</v>
      </c>
      <c r="Z578">
        <v>0.5966942148760331</v>
      </c>
      <c r="AA578">
        <v>0.05314009661835748</v>
      </c>
      <c r="AB578">
        <v>0.6463022508038585</v>
      </c>
      <c r="AC578">
        <v>0.5128617363344051</v>
      </c>
      <c r="AD578">
        <v>0.3215434083601286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15.07</v>
      </c>
      <c r="D579">
        <v>2366.48731</v>
      </c>
      <c r="E579" t="s">
        <v>663</v>
      </c>
      <c r="F579" t="s">
        <v>631</v>
      </c>
      <c r="G579" t="s">
        <v>670</v>
      </c>
      <c r="H579" t="s">
        <v>699</v>
      </c>
      <c r="I579" t="s">
        <v>1267</v>
      </c>
      <c r="J579" t="s">
        <v>1312</v>
      </c>
      <c r="K579">
        <v>43990</v>
      </c>
      <c r="L579">
        <v>0.09820836098208301</v>
      </c>
      <c r="M579">
        <v>-0.01462178471865616</v>
      </c>
      <c r="N579">
        <v>0.03</v>
      </c>
      <c r="O579">
        <v>0.04298767737607756</v>
      </c>
      <c r="P579" t="s">
        <v>558</v>
      </c>
      <c r="Q579" t="s">
        <v>300</v>
      </c>
      <c r="R579">
        <v>0</v>
      </c>
      <c r="S579">
        <v>9.99</v>
      </c>
      <c r="T579">
        <v>14</v>
      </c>
      <c r="U579">
        <v>1.076428571428572</v>
      </c>
      <c r="V579">
        <v>-0.3685</v>
      </c>
      <c r="W579">
        <v>-2.85</v>
      </c>
      <c r="X579">
        <v>1.48</v>
      </c>
      <c r="Y579">
        <v>-0.486891</v>
      </c>
      <c r="Z579">
        <v>0.8661157024793389</v>
      </c>
      <c r="AA579">
        <v>0.0966183574879227</v>
      </c>
      <c r="AB579">
        <v>0.247588424437299</v>
      </c>
      <c r="AC579">
        <v>0.5209003215434084</v>
      </c>
      <c r="AD579">
        <v>0.3038585209003216</v>
      </c>
    </row>
    <row r="580" spans="1:30">
      <c r="A580" s="1" t="s">
        <v>587</v>
      </c>
      <c r="B580">
        <f>HYPERLINK("https://www.suredividend.com/sure-analysis-EQNR/","Equinor ASA")</f>
        <v>0</v>
      </c>
      <c r="C580">
        <v>15.17</v>
      </c>
      <c r="D580">
        <v>50136.954339</v>
      </c>
      <c r="E580" t="s">
        <v>665</v>
      </c>
      <c r="F580" t="s">
        <v>631</v>
      </c>
      <c r="G580" t="s">
        <v>670</v>
      </c>
      <c r="H580" t="s">
        <v>699</v>
      </c>
      <c r="I580" t="s">
        <v>1268</v>
      </c>
      <c r="J580" t="s">
        <v>1316</v>
      </c>
      <c r="K580">
        <v>43993</v>
      </c>
      <c r="L580">
        <v>0.06921555702043501</v>
      </c>
      <c r="M580">
        <v>-0.01592433813729432</v>
      </c>
      <c r="N580">
        <v>0.02</v>
      </c>
      <c r="O580">
        <v>0.04089794616875153</v>
      </c>
      <c r="P580" t="s">
        <v>558</v>
      </c>
      <c r="Q580" t="s">
        <v>300</v>
      </c>
      <c r="R580">
        <v>0</v>
      </c>
      <c r="S580">
        <v>6.176470588235294</v>
      </c>
      <c r="T580">
        <v>14</v>
      </c>
      <c r="U580">
        <v>1.083571428571429</v>
      </c>
      <c r="V580">
        <v>-0.1662</v>
      </c>
      <c r="W580">
        <v>0.17</v>
      </c>
      <c r="X580">
        <v>1.05</v>
      </c>
      <c r="Y580">
        <v>-0.195225</v>
      </c>
      <c r="Z580">
        <v>0.7867768595041322</v>
      </c>
      <c r="AA580">
        <v>0.4154589371980676</v>
      </c>
      <c r="AB580">
        <v>0.157556270096463</v>
      </c>
      <c r="AC580">
        <v>0.5096463022508039</v>
      </c>
      <c r="AD580">
        <v>0.2861736334405145</v>
      </c>
    </row>
    <row r="581" spans="1:30">
      <c r="A581" s="1" t="s">
        <v>588</v>
      </c>
      <c r="B581">
        <f>HYPERLINK("https://www.suredividend.com/sure-analysis-HOG/","Harley-Davidson, Inc.")</f>
        <v>0</v>
      </c>
      <c r="C581">
        <v>28.63</v>
      </c>
      <c r="D581">
        <v>4385.34299</v>
      </c>
      <c r="E581" t="s">
        <v>669</v>
      </c>
      <c r="F581" t="s">
        <v>631</v>
      </c>
      <c r="G581" t="s">
        <v>670</v>
      </c>
      <c r="H581" t="s">
        <v>699</v>
      </c>
      <c r="I581" t="s">
        <v>1269</v>
      </c>
      <c r="J581" t="s">
        <v>1312</v>
      </c>
      <c r="K581">
        <v>44012</v>
      </c>
      <c r="L581">
        <v>0.05256723716381401</v>
      </c>
      <c r="M581">
        <v>-0.02675152445555451</v>
      </c>
      <c r="N581">
        <v>0.037</v>
      </c>
      <c r="O581">
        <v>0.04012210368886349</v>
      </c>
      <c r="P581" t="s">
        <v>558</v>
      </c>
      <c r="Q581" t="s">
        <v>300</v>
      </c>
      <c r="R581">
        <v>0</v>
      </c>
      <c r="S581">
        <v>1.194444444444444</v>
      </c>
      <c r="T581">
        <v>25</v>
      </c>
      <c r="U581">
        <v>1.1452</v>
      </c>
      <c r="V581">
        <v>2.329</v>
      </c>
      <c r="W581">
        <v>1.26</v>
      </c>
      <c r="X581">
        <v>1.505</v>
      </c>
      <c r="Y581">
        <v>-0.198937</v>
      </c>
      <c r="Z581">
        <v>0.6694214876033058</v>
      </c>
      <c r="AA581">
        <v>0.4057971014492754</v>
      </c>
      <c r="AB581">
        <v>0.3231511254019293</v>
      </c>
      <c r="AC581">
        <v>0.4405144694533762</v>
      </c>
      <c r="AD581">
        <v>0.2797427652733119</v>
      </c>
    </row>
    <row r="582" spans="1:30">
      <c r="A582" s="1" t="s">
        <v>589</v>
      </c>
      <c r="B582">
        <f>HYPERLINK("https://www.suredividend.com/sure-analysis-WELL/","Welltower, Inc.")</f>
        <v>0</v>
      </c>
      <c r="C582">
        <v>50.99</v>
      </c>
      <c r="D582">
        <v>21287.25421</v>
      </c>
      <c r="E582" t="s">
        <v>668</v>
      </c>
      <c r="F582" t="s">
        <v>633</v>
      </c>
      <c r="G582" t="s">
        <v>670</v>
      </c>
      <c r="H582" t="s">
        <v>699</v>
      </c>
      <c r="I582" t="s">
        <v>1270</v>
      </c>
      <c r="J582" t="s">
        <v>1321</v>
      </c>
      <c r="K582">
        <v>43993</v>
      </c>
      <c r="L582">
        <v>0.068248676211021</v>
      </c>
      <c r="M582">
        <v>-0.02905745192260034</v>
      </c>
      <c r="N582">
        <v>0.02</v>
      </c>
      <c r="O582">
        <v>0.04004160196503936</v>
      </c>
      <c r="P582" t="s">
        <v>558</v>
      </c>
      <c r="Q582" t="s">
        <v>383</v>
      </c>
      <c r="R582">
        <v>0</v>
      </c>
      <c r="S582">
        <v>1.195876288659794</v>
      </c>
      <c r="T582">
        <v>44</v>
      </c>
      <c r="U582">
        <v>1.158863636363636</v>
      </c>
      <c r="V582">
        <v>1.0316</v>
      </c>
      <c r="W582">
        <v>2.91</v>
      </c>
      <c r="X582">
        <v>3.48</v>
      </c>
      <c r="Y582">
        <v>-0.399057</v>
      </c>
      <c r="Z582">
        <v>0.7818181818181819</v>
      </c>
      <c r="AA582">
        <v>0.1674718196457327</v>
      </c>
      <c r="AB582">
        <v>0.157556270096463</v>
      </c>
      <c r="AC582">
        <v>0.4212218649517685</v>
      </c>
      <c r="AD582">
        <v>0.2781350482315113</v>
      </c>
    </row>
    <row r="583" spans="1:30">
      <c r="A583" s="1" t="s">
        <v>590</v>
      </c>
      <c r="B583">
        <f>HYPERLINK("https://www.suredividend.com/sure-analysis-KSS/","Kohl's Corp.")</f>
        <v>0</v>
      </c>
      <c r="C583">
        <v>22.04</v>
      </c>
      <c r="D583">
        <v>3476.52348</v>
      </c>
      <c r="E583" t="s">
        <v>663</v>
      </c>
      <c r="F583" t="s">
        <v>631</v>
      </c>
      <c r="G583" t="s">
        <v>670</v>
      </c>
      <c r="H583" t="s">
        <v>699</v>
      </c>
      <c r="I583" t="s">
        <v>1271</v>
      </c>
      <c r="J583" t="s">
        <v>1312</v>
      </c>
      <c r="K583">
        <v>43982</v>
      </c>
      <c r="L583">
        <v>0.123139745916515</v>
      </c>
      <c r="M583">
        <v>-0.01923788594997156</v>
      </c>
      <c r="N583">
        <v>0</v>
      </c>
      <c r="O583">
        <v>0.03455198060796882</v>
      </c>
      <c r="P583" t="s">
        <v>558</v>
      </c>
      <c r="Q583" t="s">
        <v>383</v>
      </c>
      <c r="R583">
        <v>0</v>
      </c>
      <c r="S583">
        <v>9.99</v>
      </c>
      <c r="T583">
        <v>20</v>
      </c>
      <c r="U583">
        <v>1.102</v>
      </c>
      <c r="V583">
        <v>0.512</v>
      </c>
      <c r="W583">
        <v>-3.5</v>
      </c>
      <c r="X583">
        <v>2.714</v>
      </c>
      <c r="Y583">
        <v>-0.546222</v>
      </c>
      <c r="Z583">
        <v>0.9041322314049587</v>
      </c>
      <c r="AA583">
        <v>0.06280193236714976</v>
      </c>
      <c r="AB583">
        <v>0.04180064308681672</v>
      </c>
      <c r="AC583">
        <v>0.4871382636655949</v>
      </c>
      <c r="AD583">
        <v>0.2524115755627009</v>
      </c>
    </row>
    <row r="584" spans="1:30">
      <c r="A584" s="1" t="s">
        <v>591</v>
      </c>
      <c r="B584">
        <f>HYPERLINK("https://www.suredividend.com/sure-analysis-PTEN/","Patterson-UTI Energy, Inc.")</f>
        <v>0</v>
      </c>
      <c r="C584">
        <v>3.32</v>
      </c>
      <c r="D584">
        <v>619.18996</v>
      </c>
      <c r="E584" t="s">
        <v>662</v>
      </c>
      <c r="F584" t="s">
        <v>631</v>
      </c>
      <c r="G584" t="s">
        <v>670</v>
      </c>
      <c r="H584" t="s">
        <v>701</v>
      </c>
      <c r="I584" t="s">
        <v>1272</v>
      </c>
      <c r="J584" t="s">
        <v>1316</v>
      </c>
      <c r="K584">
        <v>43957</v>
      </c>
      <c r="L584">
        <v>0.048192771084337</v>
      </c>
      <c r="M584">
        <v>0.1738665496725409</v>
      </c>
      <c r="N584">
        <v>-0.14</v>
      </c>
      <c r="O584">
        <v>0.03375060362371607</v>
      </c>
      <c r="P584" t="s">
        <v>558</v>
      </c>
      <c r="Q584" t="s">
        <v>558</v>
      </c>
      <c r="R584">
        <v>0</v>
      </c>
      <c r="S584">
        <v>9.99</v>
      </c>
      <c r="T584">
        <v>7.4</v>
      </c>
      <c r="U584">
        <v>0.4486486486486486</v>
      </c>
      <c r="V584">
        <v>-4.2748</v>
      </c>
      <c r="W584">
        <v>-2.4</v>
      </c>
      <c r="X584">
        <v>0.16</v>
      </c>
      <c r="Y584">
        <v>-0.686792</v>
      </c>
      <c r="Z584">
        <v>0.6396694214876033</v>
      </c>
      <c r="AA584">
        <v>0.02254428341384863</v>
      </c>
      <c r="AB584">
        <v>0.001607717041800643</v>
      </c>
      <c r="AC584">
        <v>0.9983922829581994</v>
      </c>
      <c r="AD584">
        <v>0.247588424437299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11.91</v>
      </c>
      <c r="D585">
        <v>6051.57819</v>
      </c>
      <c r="E585" t="s">
        <v>659</v>
      </c>
      <c r="F585" t="s">
        <v>631</v>
      </c>
      <c r="G585" t="s">
        <v>670</v>
      </c>
      <c r="H585" t="s">
        <v>701</v>
      </c>
      <c r="I585" t="s">
        <v>1273</v>
      </c>
      <c r="J585" t="s">
        <v>1313</v>
      </c>
      <c r="K585">
        <v>43958</v>
      </c>
      <c r="L585">
        <v>0.033585222502099</v>
      </c>
      <c r="M585">
        <v>0.03286427180040641</v>
      </c>
      <c r="N585">
        <v>0</v>
      </c>
      <c r="O585">
        <v>0.03286427180040641</v>
      </c>
      <c r="P585" t="s">
        <v>558</v>
      </c>
      <c r="Q585" t="s">
        <v>558</v>
      </c>
      <c r="R585">
        <v>0</v>
      </c>
      <c r="S585">
        <v>9.99</v>
      </c>
      <c r="T585">
        <v>14</v>
      </c>
      <c r="U585">
        <v>0.8507142857142858</v>
      </c>
      <c r="V585">
        <v>-1.8597</v>
      </c>
      <c r="W585">
        <v>-10</v>
      </c>
      <c r="X585">
        <v>0.4</v>
      </c>
      <c r="Y585">
        <v>-0.647007</v>
      </c>
      <c r="Z585">
        <v>0.4528925619834711</v>
      </c>
      <c r="AA585">
        <v>0.03059581320450885</v>
      </c>
      <c r="AB585">
        <v>0.04180064308681672</v>
      </c>
      <c r="AC585">
        <v>0.7813504823151125</v>
      </c>
      <c r="AD585">
        <v>0.2459807073954984</v>
      </c>
    </row>
    <row r="586" spans="1:30">
      <c r="A586" s="1" t="s">
        <v>593</v>
      </c>
      <c r="B586">
        <f>HYPERLINK("https://www.suredividend.com/sure-analysis-HA/","Hawaiian Holdings, Inc.")</f>
        <v>0</v>
      </c>
      <c r="C586">
        <v>13.62</v>
      </c>
      <c r="D586">
        <v>625.841724</v>
      </c>
      <c r="E586" t="s">
        <v>663</v>
      </c>
      <c r="F586" t="s">
        <v>631</v>
      </c>
      <c r="G586" t="s">
        <v>670</v>
      </c>
      <c r="H586" t="s">
        <v>701</v>
      </c>
      <c r="I586" t="s">
        <v>1274</v>
      </c>
      <c r="J586" t="s">
        <v>1313</v>
      </c>
      <c r="K586">
        <v>43959</v>
      </c>
      <c r="L586">
        <v>0.035242290748898</v>
      </c>
      <c r="M586">
        <v>0.01948967154246861</v>
      </c>
      <c r="N586">
        <v>0</v>
      </c>
      <c r="O586">
        <v>0.03144008001965348</v>
      </c>
      <c r="P586" t="s">
        <v>558</v>
      </c>
      <c r="Q586" t="s">
        <v>558</v>
      </c>
      <c r="R586">
        <v>0</v>
      </c>
      <c r="S586">
        <v>9.99</v>
      </c>
      <c r="T586">
        <v>15</v>
      </c>
      <c r="U586">
        <v>0.9079999999999999</v>
      </c>
      <c r="V586">
        <v>0.8386</v>
      </c>
      <c r="W586">
        <v>-7.15</v>
      </c>
      <c r="X586">
        <v>0.48</v>
      </c>
      <c r="Y586">
        <v>-0.505626</v>
      </c>
      <c r="Z586">
        <v>0.4842975206611571</v>
      </c>
      <c r="AA586">
        <v>0.08373590982286634</v>
      </c>
      <c r="AB586">
        <v>0.04180064308681672</v>
      </c>
      <c r="AC586">
        <v>0.7202572347266881</v>
      </c>
      <c r="AD586">
        <v>0.2443729903536977</v>
      </c>
    </row>
    <row r="587" spans="1:30">
      <c r="A587" s="1" t="s">
        <v>594</v>
      </c>
      <c r="B587">
        <f>HYPERLINK("https://www.suredividend.com/sure-analysis-DX/","Dynex Capital, Inc.")</f>
        <v>0</v>
      </c>
      <c r="C587">
        <v>14.93</v>
      </c>
      <c r="D587">
        <v>343.12126</v>
      </c>
      <c r="E587" t="s">
        <v>669</v>
      </c>
      <c r="F587" t="s">
        <v>633</v>
      </c>
      <c r="G587" t="s">
        <v>670</v>
      </c>
      <c r="H587" t="s">
        <v>699</v>
      </c>
      <c r="I587" t="s">
        <v>1275</v>
      </c>
      <c r="J587" t="s">
        <v>1321</v>
      </c>
      <c r="K587">
        <v>44006</v>
      </c>
      <c r="L587">
        <v>0.128600133958472</v>
      </c>
      <c r="M587">
        <v>-0.1173144117414051</v>
      </c>
      <c r="N587">
        <v>0.08500000000000001</v>
      </c>
      <c r="O587">
        <v>0.03103125783403704</v>
      </c>
      <c r="P587" t="s">
        <v>558</v>
      </c>
      <c r="Q587" t="s">
        <v>383</v>
      </c>
      <c r="R587">
        <v>0</v>
      </c>
      <c r="S587">
        <v>1.92</v>
      </c>
      <c r="T587">
        <v>8</v>
      </c>
      <c r="U587">
        <v>1.86625</v>
      </c>
      <c r="V587">
        <v>-9.0014</v>
      </c>
      <c r="W587">
        <v>1</v>
      </c>
      <c r="X587">
        <v>1.92</v>
      </c>
      <c r="Y587">
        <v>-0.142447</v>
      </c>
      <c r="Z587">
        <v>0.9107438016528926</v>
      </c>
      <c r="AA587">
        <v>0.4847020933977456</v>
      </c>
      <c r="AB587">
        <v>0.8440514469453376</v>
      </c>
      <c r="AC587">
        <v>0.04180064308681672</v>
      </c>
      <c r="AD587">
        <v>0.2411575562700965</v>
      </c>
    </row>
    <row r="588" spans="1:30">
      <c r="A588" s="1" t="s">
        <v>595</v>
      </c>
      <c r="B588">
        <f>HYPERLINK("https://www.suredividend.com/sure-analysis-GLPI/","Gaming &amp; Leisure Properties, Inc.")</f>
        <v>0</v>
      </c>
      <c r="C588">
        <v>34.61</v>
      </c>
      <c r="D588">
        <v>7538.68098</v>
      </c>
      <c r="E588" t="s">
        <v>669</v>
      </c>
      <c r="F588" t="s">
        <v>633</v>
      </c>
      <c r="G588" t="s">
        <v>670</v>
      </c>
      <c r="H588" t="s">
        <v>701</v>
      </c>
      <c r="I588" t="s">
        <v>1276</v>
      </c>
      <c r="J588" t="s">
        <v>1321</v>
      </c>
      <c r="K588">
        <v>43978</v>
      </c>
      <c r="L588">
        <v>0.07974573822594601</v>
      </c>
      <c r="M588">
        <v>-0.1325399869741528</v>
      </c>
      <c r="N588">
        <v>0.129</v>
      </c>
      <c r="O588">
        <v>0.02695104471894028</v>
      </c>
      <c r="P588" t="s">
        <v>558</v>
      </c>
      <c r="Q588" t="s">
        <v>383</v>
      </c>
      <c r="R588">
        <v>0</v>
      </c>
      <c r="S588">
        <v>1.84</v>
      </c>
      <c r="T588">
        <v>17</v>
      </c>
      <c r="U588">
        <v>2.035882352941176</v>
      </c>
      <c r="V588">
        <v>1.8353</v>
      </c>
      <c r="W588">
        <v>1.5</v>
      </c>
      <c r="X588">
        <v>2.76</v>
      </c>
      <c r="Y588">
        <v>-0.101506</v>
      </c>
      <c r="Z588">
        <v>0.8198347107438017</v>
      </c>
      <c r="AA588">
        <v>0.5394524959742352</v>
      </c>
      <c r="AB588">
        <v>0.9565916398713825</v>
      </c>
      <c r="AC588">
        <v>0.02733118971061093</v>
      </c>
      <c r="AD588">
        <v>0.2202572347266881</v>
      </c>
    </row>
    <row r="589" spans="1:30">
      <c r="A589" s="1" t="s">
        <v>596</v>
      </c>
      <c r="B589">
        <f>HYPERLINK("https://www.suredividend.com/sure-analysis-ABB/","ABB Ltd.")</f>
        <v>0</v>
      </c>
      <c r="C589">
        <v>24.76</v>
      </c>
      <c r="D589">
        <v>52827.371918</v>
      </c>
      <c r="E589" t="s">
        <v>662</v>
      </c>
      <c r="F589" t="s">
        <v>631</v>
      </c>
      <c r="G589" t="s">
        <v>674</v>
      </c>
      <c r="H589" t="s">
        <v>699</v>
      </c>
      <c r="I589" t="s">
        <v>1277</v>
      </c>
      <c r="J589" t="s">
        <v>1313</v>
      </c>
      <c r="K589">
        <v>43950</v>
      </c>
      <c r="L589">
        <v>0.033327948303715</v>
      </c>
      <c r="M589">
        <v>-0.05158024361607405</v>
      </c>
      <c r="N589">
        <v>0.05</v>
      </c>
      <c r="O589">
        <v>0.02649485788617723</v>
      </c>
      <c r="P589" t="s">
        <v>558</v>
      </c>
      <c r="Q589" t="s">
        <v>558</v>
      </c>
      <c r="R589">
        <v>0</v>
      </c>
      <c r="S589">
        <v>2.063</v>
      </c>
      <c r="T589">
        <v>19</v>
      </c>
      <c r="U589">
        <v>1.303157894736842</v>
      </c>
      <c r="V589">
        <v>0.5997</v>
      </c>
      <c r="W589">
        <v>0.4</v>
      </c>
      <c r="X589">
        <v>0.8252</v>
      </c>
      <c r="Y589">
        <v>0.319126</v>
      </c>
      <c r="Z589">
        <v>0.4495867768595041</v>
      </c>
      <c r="AA589">
        <v>0.9178743961352658</v>
      </c>
      <c r="AB589">
        <v>0.5160771704180064</v>
      </c>
      <c r="AC589">
        <v>0.2861736334405145</v>
      </c>
      <c r="AD589">
        <v>0.2154340836012862</v>
      </c>
    </row>
    <row r="590" spans="1:30">
      <c r="A590" s="1" t="s">
        <v>597</v>
      </c>
      <c r="B590">
        <f>HYPERLINK("https://www.suredividend.com/sure-analysis-CCL/","Carnival Corp.")</f>
        <v>0</v>
      </c>
      <c r="C590">
        <v>15.47</v>
      </c>
      <c r="D590">
        <v>9292.25661</v>
      </c>
      <c r="E590" t="s">
        <v>663</v>
      </c>
      <c r="F590" t="s">
        <v>631</v>
      </c>
      <c r="G590" t="s">
        <v>670</v>
      </c>
      <c r="H590" t="s">
        <v>699</v>
      </c>
      <c r="I590" t="s">
        <v>1278</v>
      </c>
      <c r="J590" t="s">
        <v>1312</v>
      </c>
      <c r="K590">
        <v>44017</v>
      </c>
      <c r="L590">
        <v>0.09696186166774401</v>
      </c>
      <c r="M590">
        <v>-0.04953049716414026</v>
      </c>
      <c r="N590">
        <v>0.04</v>
      </c>
      <c r="O590">
        <v>0.02613300262746621</v>
      </c>
      <c r="P590" t="s">
        <v>558</v>
      </c>
      <c r="Q590" t="s">
        <v>300</v>
      </c>
      <c r="R590">
        <v>0</v>
      </c>
      <c r="S590">
        <v>9.99</v>
      </c>
      <c r="T590">
        <v>12</v>
      </c>
      <c r="U590">
        <v>1.289166666666667</v>
      </c>
      <c r="V590">
        <v>-4.0083</v>
      </c>
      <c r="W590">
        <v>-6</v>
      </c>
      <c r="X590">
        <v>1.5</v>
      </c>
      <c r="Y590">
        <v>-0.659925</v>
      </c>
      <c r="Z590">
        <v>0.8611570247933884</v>
      </c>
      <c r="AA590">
        <v>0.02898550724637681</v>
      </c>
      <c r="AB590">
        <v>0.3794212218649518</v>
      </c>
      <c r="AC590">
        <v>0.2974276527331189</v>
      </c>
      <c r="AD590">
        <v>0.2138263665594855</v>
      </c>
    </row>
    <row r="591" spans="1:30">
      <c r="A591" s="1" t="s">
        <v>598</v>
      </c>
      <c r="B591">
        <f>HYPERLINK("https://www.suredividend.com/sure-analysis-TM/","Toyota Motor Corp.")</f>
        <v>0</v>
      </c>
      <c r="C591">
        <v>127.06</v>
      </c>
      <c r="D591">
        <v>175733.829691</v>
      </c>
      <c r="E591" t="s">
        <v>660</v>
      </c>
      <c r="F591" t="s">
        <v>631</v>
      </c>
      <c r="G591" t="s">
        <v>690</v>
      </c>
      <c r="H591" t="s">
        <v>699</v>
      </c>
      <c r="I591" t="s">
        <v>1279</v>
      </c>
      <c r="J591" t="s">
        <v>1312</v>
      </c>
      <c r="K591">
        <v>43974</v>
      </c>
      <c r="L591">
        <v>0.03191405635133</v>
      </c>
      <c r="M591">
        <v>-0.0429860592618927</v>
      </c>
      <c r="N591">
        <v>0.04</v>
      </c>
      <c r="O591">
        <v>0.02555820411000997</v>
      </c>
      <c r="P591" t="s">
        <v>558</v>
      </c>
      <c r="Q591" t="s">
        <v>558</v>
      </c>
      <c r="R591">
        <v>0</v>
      </c>
      <c r="S591">
        <v>1.351666666666667</v>
      </c>
      <c r="T591">
        <v>102</v>
      </c>
      <c r="U591">
        <v>1.245686274509804</v>
      </c>
      <c r="V591">
        <v>13.4991</v>
      </c>
      <c r="W591">
        <v>3</v>
      </c>
      <c r="X591">
        <v>4.055</v>
      </c>
      <c r="Y591">
        <v>-0.021185</v>
      </c>
      <c r="Z591">
        <v>0.4231404958677686</v>
      </c>
      <c r="AA591">
        <v>0.6618357487922705</v>
      </c>
      <c r="AB591">
        <v>0.3794212218649518</v>
      </c>
      <c r="AC591">
        <v>0.3167202572347267</v>
      </c>
      <c r="AD591">
        <v>0.207395498392283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2.46</v>
      </c>
      <c r="D592">
        <v>29.92836</v>
      </c>
      <c r="E592" t="s">
        <v>666</v>
      </c>
      <c r="F592" t="s">
        <v>631</v>
      </c>
      <c r="G592" t="s">
        <v>670</v>
      </c>
      <c r="H592" t="s">
        <v>699</v>
      </c>
      <c r="J592" t="s">
        <v>1316</v>
      </c>
      <c r="K592">
        <v>43944</v>
      </c>
      <c r="L592">
        <v>0.266063373983739</v>
      </c>
      <c r="M592">
        <v>-0.03580749599737287</v>
      </c>
      <c r="N592">
        <v>-0.1</v>
      </c>
      <c r="O592">
        <v>0.01986704198608691</v>
      </c>
      <c r="P592" t="s">
        <v>558</v>
      </c>
      <c r="Q592" t="s">
        <v>636</v>
      </c>
      <c r="R592">
        <v>0</v>
      </c>
      <c r="S592">
        <v>1.596380243902439</v>
      </c>
      <c r="T592">
        <v>2.05</v>
      </c>
      <c r="U592">
        <v>1.2</v>
      </c>
      <c r="V592">
        <v>0.6545000000000001</v>
      </c>
      <c r="W592">
        <v>0.41</v>
      </c>
      <c r="X592">
        <v>0.6545158999999999</v>
      </c>
      <c r="Y592">
        <v>-0.6850189999999999</v>
      </c>
      <c r="Z592">
        <v>0.9917355371900827</v>
      </c>
      <c r="AA592">
        <v>0.02415458937198068</v>
      </c>
      <c r="AB592">
        <v>0.003215434083601286</v>
      </c>
      <c r="AC592">
        <v>0.3681672025723473</v>
      </c>
      <c r="AD592">
        <v>0.1832797427652733</v>
      </c>
    </row>
    <row r="593" spans="1:30">
      <c r="A593" s="1" t="s">
        <v>600</v>
      </c>
      <c r="B593">
        <f>HYPERLINK("https://www.suredividend.com/sure-analysis-CAKE/","Cheesecake Factory, Inc.")</f>
        <v>0</v>
      </c>
      <c r="C593">
        <v>22.58</v>
      </c>
      <c r="D593">
        <v>1026.534218</v>
      </c>
      <c r="E593" t="s">
        <v>664</v>
      </c>
      <c r="F593" t="s">
        <v>631</v>
      </c>
      <c r="G593" t="s">
        <v>670</v>
      </c>
      <c r="H593" t="s">
        <v>701</v>
      </c>
      <c r="I593" t="s">
        <v>1280</v>
      </c>
      <c r="J593" t="s">
        <v>1312</v>
      </c>
      <c r="K593">
        <v>43973</v>
      </c>
      <c r="L593">
        <v>0.06244464127546501</v>
      </c>
      <c r="M593">
        <v>-0.1680375707043034</v>
      </c>
      <c r="N593">
        <v>0.198</v>
      </c>
      <c r="O593">
        <v>0.01382984904080842</v>
      </c>
      <c r="P593" t="s">
        <v>558</v>
      </c>
      <c r="Q593" t="s">
        <v>300</v>
      </c>
      <c r="R593">
        <v>0</v>
      </c>
      <c r="S593">
        <v>9.99</v>
      </c>
      <c r="T593">
        <v>9</v>
      </c>
      <c r="U593">
        <v>2.508888888888889</v>
      </c>
      <c r="V593">
        <v>-0.8235</v>
      </c>
      <c r="W593">
        <v>-1.95</v>
      </c>
      <c r="X593">
        <v>1.41</v>
      </c>
      <c r="Y593">
        <v>-0.48833</v>
      </c>
      <c r="Z593">
        <v>0.7388429752066117</v>
      </c>
      <c r="AA593">
        <v>0.09178743961352658</v>
      </c>
      <c r="AB593">
        <v>0.9887459807073955</v>
      </c>
      <c r="AC593">
        <v>0.01286173633440514</v>
      </c>
      <c r="AD593">
        <v>0.1591639871382637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25.95</v>
      </c>
      <c r="D594">
        <v>19364.0457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0.052408477842003</v>
      </c>
      <c r="M594">
        <v>-0.1038292201890201</v>
      </c>
      <c r="N594">
        <v>0.07000000000000001</v>
      </c>
      <c r="O594">
        <v>-0.00544876502045899</v>
      </c>
      <c r="P594" t="s">
        <v>558</v>
      </c>
      <c r="Q594" t="s">
        <v>300</v>
      </c>
      <c r="R594">
        <v>0</v>
      </c>
      <c r="S594">
        <v>1.36</v>
      </c>
      <c r="T594">
        <v>15</v>
      </c>
      <c r="U594">
        <v>1.73</v>
      </c>
      <c r="V594">
        <v>0.4866</v>
      </c>
      <c r="W594">
        <v>1</v>
      </c>
      <c r="X594">
        <v>1.36</v>
      </c>
      <c r="Y594">
        <v>0.033865</v>
      </c>
      <c r="Z594">
        <v>0.6677685950413224</v>
      </c>
      <c r="AA594">
        <v>0.7310789049919485</v>
      </c>
      <c r="AB594">
        <v>0.7387459807073955</v>
      </c>
      <c r="AC594">
        <v>0.0707395498392283</v>
      </c>
      <c r="AD594">
        <v>0.1012861736334405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16.81</v>
      </c>
      <c r="D595">
        <v>8290.99458</v>
      </c>
      <c r="E595" t="s">
        <v>662</v>
      </c>
      <c r="F595" t="s">
        <v>631</v>
      </c>
      <c r="G595" t="s">
        <v>670</v>
      </c>
      <c r="H595" t="s">
        <v>699</v>
      </c>
      <c r="I595" t="s">
        <v>1282</v>
      </c>
      <c r="J595" t="s">
        <v>1312</v>
      </c>
      <c r="K595">
        <v>43962</v>
      </c>
      <c r="L595">
        <v>0.032123735871505</v>
      </c>
      <c r="M595">
        <v>-0.06519138410413383</v>
      </c>
      <c r="N595">
        <v>0.05</v>
      </c>
      <c r="O595">
        <v>-0.01397494216175754</v>
      </c>
      <c r="P595" t="s">
        <v>558</v>
      </c>
      <c r="Q595" t="s">
        <v>558</v>
      </c>
      <c r="R595">
        <v>0</v>
      </c>
      <c r="S595">
        <v>9.99</v>
      </c>
      <c r="T595">
        <v>12</v>
      </c>
      <c r="U595">
        <v>1.400833333333333</v>
      </c>
      <c r="V595">
        <v>5.5895</v>
      </c>
      <c r="W595">
        <v>-2.5</v>
      </c>
      <c r="X595">
        <v>0.54</v>
      </c>
      <c r="Y595">
        <v>-0.415508</v>
      </c>
      <c r="Z595">
        <v>0.4264462809917355</v>
      </c>
      <c r="AA595">
        <v>0.1513687600644122</v>
      </c>
      <c r="AB595">
        <v>0.5160771704180064</v>
      </c>
      <c r="AC595">
        <v>0.2041800643086817</v>
      </c>
      <c r="AD595">
        <v>0.08038585209003216</v>
      </c>
    </row>
    <row r="596" spans="1:30">
      <c r="A596" s="1" t="s">
        <v>603</v>
      </c>
      <c r="B596">
        <f>HYPERLINK("https://www.suredividend.com/sure-analysis-FCX/","Freeport-McMoRan, Inc.")</f>
        <v>0</v>
      </c>
      <c r="C596">
        <v>13.58</v>
      </c>
      <c r="D596">
        <v>19717.7526</v>
      </c>
      <c r="E596" t="s">
        <v>663</v>
      </c>
      <c r="F596" t="s">
        <v>631</v>
      </c>
      <c r="G596" t="s">
        <v>670</v>
      </c>
      <c r="H596" t="s">
        <v>699</v>
      </c>
      <c r="I596" t="s">
        <v>1283</v>
      </c>
      <c r="J596" t="s">
        <v>1319</v>
      </c>
      <c r="K596">
        <v>43949</v>
      </c>
      <c r="L596">
        <v>0.011045655375552</v>
      </c>
      <c r="M596">
        <v>-0.100423620660865</v>
      </c>
      <c r="N596">
        <v>0.08500000000000001</v>
      </c>
      <c r="O596">
        <v>-0.01410787114714296</v>
      </c>
      <c r="P596" t="s">
        <v>558</v>
      </c>
      <c r="Q596" t="s">
        <v>558</v>
      </c>
      <c r="R596">
        <v>0</v>
      </c>
      <c r="S596">
        <v>9.99</v>
      </c>
      <c r="T596">
        <v>8</v>
      </c>
      <c r="U596">
        <v>1.6975</v>
      </c>
      <c r="V596">
        <v>-0.5317000000000001</v>
      </c>
      <c r="W596">
        <v>-0.17</v>
      </c>
      <c r="X596">
        <v>0.15</v>
      </c>
      <c r="Y596">
        <v>0.217937</v>
      </c>
      <c r="Z596">
        <v>0.0859504132231405</v>
      </c>
      <c r="AA596">
        <v>0.8792270531400966</v>
      </c>
      <c r="AB596">
        <v>0.8440514469453376</v>
      </c>
      <c r="AC596">
        <v>0.08520900321543408</v>
      </c>
      <c r="AD596">
        <v>0.07717041800643087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16.28</v>
      </c>
      <c r="D597">
        <v>43669.7976</v>
      </c>
      <c r="E597" t="s">
        <v>663</v>
      </c>
      <c r="F597" t="s">
        <v>631</v>
      </c>
      <c r="G597" t="s">
        <v>673</v>
      </c>
      <c r="H597" t="s">
        <v>701</v>
      </c>
      <c r="I597" t="s">
        <v>1284</v>
      </c>
      <c r="J597" t="s">
        <v>1320</v>
      </c>
      <c r="K597">
        <v>43964</v>
      </c>
      <c r="L597">
        <v>0.058860995085995</v>
      </c>
      <c r="M597">
        <v>-0.1117859845583947</v>
      </c>
      <c r="N597">
        <v>0.02</v>
      </c>
      <c r="O597">
        <v>-0.01972183558998042</v>
      </c>
      <c r="P597" t="s">
        <v>558</v>
      </c>
      <c r="Q597" t="s">
        <v>300</v>
      </c>
      <c r="R597">
        <v>0</v>
      </c>
      <c r="S597">
        <v>1.154526506024096</v>
      </c>
      <c r="T597">
        <v>9</v>
      </c>
      <c r="U597">
        <v>1.808888888888889</v>
      </c>
      <c r="V597">
        <v>-0.3902</v>
      </c>
      <c r="W597">
        <v>0.83</v>
      </c>
      <c r="X597">
        <v>0.9582569999999999</v>
      </c>
      <c r="Y597">
        <v>0.022613</v>
      </c>
      <c r="Z597">
        <v>0.715702479338843</v>
      </c>
      <c r="AA597">
        <v>0.7181964573268921</v>
      </c>
      <c r="AB597">
        <v>0.157556270096463</v>
      </c>
      <c r="AC597">
        <v>0.05466237942122186</v>
      </c>
      <c r="AD597">
        <v>0.06591639871382637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9.220000000000001</v>
      </c>
      <c r="D598">
        <v>1162.03348</v>
      </c>
      <c r="E598" t="s">
        <v>659</v>
      </c>
      <c r="F598" t="s">
        <v>631</v>
      </c>
      <c r="G598" t="s">
        <v>670</v>
      </c>
      <c r="H598" t="s">
        <v>701</v>
      </c>
      <c r="I598" t="s">
        <v>1285</v>
      </c>
      <c r="J598" t="s">
        <v>1312</v>
      </c>
      <c r="K598">
        <v>44028</v>
      </c>
      <c r="L598">
        <v>0.055314533622559</v>
      </c>
      <c r="M598">
        <v>-0.02798758228634624</v>
      </c>
      <c r="N598">
        <v>0</v>
      </c>
      <c r="O598">
        <v>-0.02798758228634624</v>
      </c>
      <c r="P598" t="s">
        <v>558</v>
      </c>
      <c r="Q598" t="s">
        <v>300</v>
      </c>
      <c r="R598">
        <v>0</v>
      </c>
      <c r="S598">
        <v>9.99</v>
      </c>
      <c r="T598">
        <v>8</v>
      </c>
      <c r="U598">
        <v>1.1525</v>
      </c>
      <c r="V598">
        <v>-4.4123</v>
      </c>
      <c r="W598">
        <v>-2</v>
      </c>
      <c r="X598">
        <v>0.51</v>
      </c>
      <c r="Y598">
        <v>-0.054359</v>
      </c>
      <c r="Z598">
        <v>0.687603305785124</v>
      </c>
      <c r="AA598">
        <v>0.6151368760064413</v>
      </c>
      <c r="AB598">
        <v>0.04180064308681672</v>
      </c>
      <c r="AC598">
        <v>0.4308681672025723</v>
      </c>
      <c r="AD598">
        <v>0.05787781350482315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51.82</v>
      </c>
      <c r="D599">
        <v>22430.925889</v>
      </c>
      <c r="E599" t="s">
        <v>663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0.045349285989965</v>
      </c>
      <c r="M599">
        <v>-0.1574706194903052</v>
      </c>
      <c r="N599">
        <v>0.1</v>
      </c>
      <c r="O599">
        <v>-0.03072009904491058</v>
      </c>
      <c r="P599" t="s">
        <v>558</v>
      </c>
      <c r="Q599" t="s">
        <v>300</v>
      </c>
      <c r="R599">
        <v>0</v>
      </c>
      <c r="S599">
        <v>1.175</v>
      </c>
      <c r="T599">
        <v>22</v>
      </c>
      <c r="U599">
        <v>2.355454545454545</v>
      </c>
      <c r="V599">
        <v>-1.3993</v>
      </c>
      <c r="W599">
        <v>2</v>
      </c>
      <c r="X599">
        <v>2.35</v>
      </c>
      <c r="Y599">
        <v>0.5129929999999999</v>
      </c>
      <c r="Z599">
        <v>0.6033057851239669</v>
      </c>
      <c r="AA599">
        <v>0.9661835748792271</v>
      </c>
      <c r="AB599">
        <v>0.9051446945337621</v>
      </c>
      <c r="AC599">
        <v>0.01607717041800643</v>
      </c>
      <c r="AD599">
        <v>0.05305466237942122</v>
      </c>
    </row>
    <row r="600" spans="1:30">
      <c r="A600" s="1" t="s">
        <v>607</v>
      </c>
      <c r="B600">
        <f>HYPERLINK("https://www.suredividend.com/sure-analysis-APA/","Apache Corp.")</f>
        <v>0</v>
      </c>
      <c r="C600">
        <v>13.29</v>
      </c>
      <c r="D600">
        <v>5015.99154</v>
      </c>
      <c r="E600" t="s">
        <v>662</v>
      </c>
      <c r="F600" t="s">
        <v>631</v>
      </c>
      <c r="G600" t="s">
        <v>670</v>
      </c>
      <c r="H600" t="s">
        <v>701</v>
      </c>
      <c r="I600" t="s">
        <v>1287</v>
      </c>
      <c r="J600" t="s">
        <v>1316</v>
      </c>
      <c r="K600">
        <v>43966</v>
      </c>
      <c r="L600">
        <v>0.05831452219714001</v>
      </c>
      <c r="M600">
        <v>-0.2134850137582209</v>
      </c>
      <c r="N600">
        <v>0.2</v>
      </c>
      <c r="O600">
        <v>-0.04688452587120417</v>
      </c>
      <c r="P600" t="s">
        <v>558</v>
      </c>
      <c r="Q600" t="s">
        <v>300</v>
      </c>
      <c r="R600">
        <v>0</v>
      </c>
      <c r="S600">
        <v>9.99</v>
      </c>
      <c r="T600">
        <v>4</v>
      </c>
      <c r="U600">
        <v>3.3225</v>
      </c>
      <c r="V600">
        <v>-21.1516</v>
      </c>
      <c r="W600">
        <v>-2.6</v>
      </c>
      <c r="X600">
        <v>0.775</v>
      </c>
      <c r="Y600">
        <v>-0.435669</v>
      </c>
      <c r="Z600">
        <v>0.7123966942148761</v>
      </c>
      <c r="AA600">
        <v>0.1352657004830918</v>
      </c>
      <c r="AB600">
        <v>0.9911575562700965</v>
      </c>
      <c r="AC600">
        <v>0.00482315112540193</v>
      </c>
      <c r="AD600">
        <v>0.02572347266881029</v>
      </c>
    </row>
    <row r="601" spans="1:30">
      <c r="A601" s="1" t="s">
        <v>608</v>
      </c>
      <c r="B601">
        <f>HYPERLINK("https://www.suredividend.com/sure-analysis-CORR/","CorEnergy Infrastructure Trust, Inc.")</f>
        <v>0</v>
      </c>
      <c r="C601">
        <v>8.800000000000001</v>
      </c>
      <c r="D601">
        <v>120.1376</v>
      </c>
      <c r="E601" t="s">
        <v>664</v>
      </c>
      <c r="F601" t="s">
        <v>631</v>
      </c>
      <c r="G601" t="s">
        <v>670</v>
      </c>
      <c r="H601" t="s">
        <v>699</v>
      </c>
      <c r="I601" t="s">
        <v>1288</v>
      </c>
      <c r="J601" t="s">
        <v>1321</v>
      </c>
      <c r="K601">
        <v>44009</v>
      </c>
      <c r="L601">
        <v>0.261363636363636</v>
      </c>
      <c r="M601">
        <v>-0.1294494367038759</v>
      </c>
      <c r="N601">
        <v>0.02</v>
      </c>
      <c r="O601">
        <v>-0.04879728921057125</v>
      </c>
      <c r="P601" t="s">
        <v>558</v>
      </c>
      <c r="Q601" t="s">
        <v>383</v>
      </c>
      <c r="R601">
        <v>0</v>
      </c>
      <c r="S601">
        <v>5.227272727272727</v>
      </c>
      <c r="T601">
        <v>4.4</v>
      </c>
      <c r="U601">
        <v>2</v>
      </c>
      <c r="V601">
        <v>-12.5469</v>
      </c>
      <c r="W601">
        <v>0.44</v>
      </c>
      <c r="X601">
        <v>2.3</v>
      </c>
      <c r="Y601">
        <v>-0.7818000000000001</v>
      </c>
      <c r="Z601">
        <v>0.9900826446280991</v>
      </c>
      <c r="AA601">
        <v>0.00322061191626409</v>
      </c>
      <c r="AB601">
        <v>0.157556270096463</v>
      </c>
      <c r="AC601">
        <v>0.03215434083601286</v>
      </c>
      <c r="AD601">
        <v>0.022508038585209</v>
      </c>
    </row>
    <row r="602" spans="1:30">
      <c r="A602" s="1" t="s">
        <v>609</v>
      </c>
      <c r="B602">
        <f>HYPERLINK("https://www.suredividend.com/sure-analysis-NBR/","Nabors Industries Ltd.")</f>
        <v>0</v>
      </c>
      <c r="C602">
        <v>30.22</v>
      </c>
      <c r="D602">
        <v>220.599352</v>
      </c>
      <c r="E602" t="s">
        <v>662</v>
      </c>
      <c r="F602" t="s">
        <v>631</v>
      </c>
      <c r="G602" t="s">
        <v>679</v>
      </c>
      <c r="H602" t="s">
        <v>699</v>
      </c>
      <c r="I602" t="s">
        <v>1289</v>
      </c>
      <c r="J602" t="s">
        <v>1316</v>
      </c>
      <c r="K602">
        <v>43977</v>
      </c>
      <c r="L602">
        <v>0.06618133686300401</v>
      </c>
      <c r="M602">
        <v>-0.00146024783557186</v>
      </c>
      <c r="N602">
        <v>-0.05</v>
      </c>
      <c r="O602">
        <v>-0.05138723544379342</v>
      </c>
      <c r="P602" t="s">
        <v>558</v>
      </c>
      <c r="Q602" t="s">
        <v>300</v>
      </c>
      <c r="R602">
        <v>0</v>
      </c>
      <c r="S602">
        <v>9.99</v>
      </c>
      <c r="T602">
        <v>30</v>
      </c>
      <c r="U602">
        <v>1.007333333333333</v>
      </c>
      <c r="V602">
        <v>-143.962</v>
      </c>
      <c r="W602">
        <v>-105</v>
      </c>
      <c r="X602">
        <v>2</v>
      </c>
      <c r="Y602">
        <v>-0.7325659999999999</v>
      </c>
      <c r="Z602">
        <v>0.7652892561983471</v>
      </c>
      <c r="AA602">
        <v>0.00966183574879227</v>
      </c>
      <c r="AB602">
        <v>0.00482315112540193</v>
      </c>
      <c r="AC602">
        <v>0.5996784565916399</v>
      </c>
      <c r="AD602">
        <v>0.02090032154340836</v>
      </c>
    </row>
    <row r="603" spans="1:30">
      <c r="A603" s="1" t="s">
        <v>610</v>
      </c>
      <c r="B603">
        <f>HYPERLINK("https://www.suredividend.com/sure-analysis-LB/","L Brands, Inc.")</f>
        <v>0</v>
      </c>
      <c r="C603">
        <v>18.5</v>
      </c>
      <c r="D603">
        <v>5139.8365</v>
      </c>
      <c r="E603" t="s">
        <v>659</v>
      </c>
      <c r="F603" t="s">
        <v>631</v>
      </c>
      <c r="G603" t="s">
        <v>670</v>
      </c>
      <c r="H603" t="s">
        <v>699</v>
      </c>
      <c r="I603" t="s">
        <v>1290</v>
      </c>
      <c r="J603" t="s">
        <v>1312</v>
      </c>
      <c r="K603">
        <v>43979</v>
      </c>
      <c r="L603">
        <v>0.06486486486486401</v>
      </c>
      <c r="M603">
        <v>-0.05421752713973571</v>
      </c>
      <c r="N603">
        <v>0</v>
      </c>
      <c r="O603">
        <v>-0.05421752713973571</v>
      </c>
      <c r="P603" t="s">
        <v>558</v>
      </c>
      <c r="Q603" t="s">
        <v>300</v>
      </c>
      <c r="R603">
        <v>0</v>
      </c>
      <c r="S603">
        <v>9.99</v>
      </c>
      <c r="T603">
        <v>14</v>
      </c>
      <c r="U603">
        <v>1.321428571428571</v>
      </c>
      <c r="V603">
        <v>-2.5429</v>
      </c>
      <c r="W603">
        <v>-0.25</v>
      </c>
      <c r="X603">
        <v>1.2</v>
      </c>
      <c r="Y603">
        <v>-0.298445</v>
      </c>
      <c r="Z603">
        <v>0.7537190082644628</v>
      </c>
      <c r="AA603">
        <v>0.285024154589372</v>
      </c>
      <c r="AB603">
        <v>0.04180064308681672</v>
      </c>
      <c r="AC603">
        <v>0.2636655948553055</v>
      </c>
      <c r="AD603">
        <v>0.01768488745980707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9.970000000000001</v>
      </c>
      <c r="D604">
        <v>621.8877230000001</v>
      </c>
      <c r="E604" t="s">
        <v>663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0.08024072216649901</v>
      </c>
      <c r="M604">
        <v>-0.09657684302040415</v>
      </c>
      <c r="N604">
        <v>0.02</v>
      </c>
      <c r="O604">
        <v>-0.07850837988081227</v>
      </c>
      <c r="P604" t="s">
        <v>558</v>
      </c>
      <c r="Q604" t="s">
        <v>300</v>
      </c>
      <c r="R604">
        <v>0</v>
      </c>
      <c r="S604">
        <v>9.99</v>
      </c>
      <c r="T604">
        <v>6</v>
      </c>
      <c r="U604">
        <v>1.661666666666667</v>
      </c>
      <c r="V604">
        <v>-2.9571</v>
      </c>
      <c r="W604">
        <v>-2.65</v>
      </c>
      <c r="X604">
        <v>0.8</v>
      </c>
      <c r="Y604">
        <v>-0.464267</v>
      </c>
      <c r="Z604">
        <v>0.8247933884297521</v>
      </c>
      <c r="AA604">
        <v>0.1143317230273752</v>
      </c>
      <c r="AB604">
        <v>0.157556270096463</v>
      </c>
      <c r="AC604">
        <v>0.09646302250803858</v>
      </c>
      <c r="AD604">
        <v>0.01286173633440514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82.76000000000001</v>
      </c>
      <c r="D605">
        <v>8927.15568</v>
      </c>
      <c r="E605" t="s">
        <v>664</v>
      </c>
      <c r="F605" t="s">
        <v>631</v>
      </c>
      <c r="G605" t="s">
        <v>670</v>
      </c>
      <c r="H605" t="s">
        <v>701</v>
      </c>
      <c r="I605" t="s">
        <v>1292</v>
      </c>
      <c r="J605" t="s">
        <v>1312</v>
      </c>
      <c r="K605">
        <v>43963</v>
      </c>
      <c r="L605">
        <v>0.04833252779120301</v>
      </c>
      <c r="M605">
        <v>-0.1730754239695893</v>
      </c>
      <c r="N605">
        <v>0.04</v>
      </c>
      <c r="O605">
        <v>-0.1173146322187461</v>
      </c>
      <c r="P605" t="s">
        <v>558</v>
      </c>
      <c r="Q605" t="s">
        <v>558</v>
      </c>
      <c r="R605">
        <v>0</v>
      </c>
      <c r="S605">
        <v>9.99</v>
      </c>
      <c r="T605">
        <v>32</v>
      </c>
      <c r="U605">
        <v>2.58625</v>
      </c>
      <c r="V605">
        <v>-3.6034</v>
      </c>
      <c r="W605">
        <v>-0.6</v>
      </c>
      <c r="X605">
        <v>4</v>
      </c>
      <c r="Y605">
        <v>-0.387371</v>
      </c>
      <c r="Z605">
        <v>0.6429752066115703</v>
      </c>
      <c r="AA605">
        <v>0.177133655394525</v>
      </c>
      <c r="AB605">
        <v>0.3794212218649518</v>
      </c>
      <c r="AC605">
        <v>0.0112540192926045</v>
      </c>
      <c r="AD605">
        <v>0.006430868167202572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15.27</v>
      </c>
      <c r="D606">
        <v>3914.41869</v>
      </c>
      <c r="E606" t="s">
        <v>663</v>
      </c>
      <c r="F606" t="s">
        <v>631</v>
      </c>
      <c r="G606" t="s">
        <v>670</v>
      </c>
      <c r="H606" t="s">
        <v>699</v>
      </c>
      <c r="I606" t="s">
        <v>1293</v>
      </c>
      <c r="J606" t="s">
        <v>1312</v>
      </c>
      <c r="K606">
        <v>43967</v>
      </c>
      <c r="M606">
        <v>0.1594771337264234</v>
      </c>
      <c r="N606">
        <v>0.08</v>
      </c>
      <c r="O606">
        <v>0.2522353044245373</v>
      </c>
      <c r="P606" t="s">
        <v>637</v>
      </c>
      <c r="Q606" t="s">
        <v>637</v>
      </c>
      <c r="R606">
        <v>0</v>
      </c>
      <c r="T606">
        <v>32</v>
      </c>
      <c r="U606">
        <v>0.4771875</v>
      </c>
      <c r="V606">
        <v>-5.0215</v>
      </c>
      <c r="W606">
        <v>-7</v>
      </c>
      <c r="Y606">
        <v>-0.6901379999999999</v>
      </c>
      <c r="AA606">
        <v>0.02093397745571659</v>
      </c>
      <c r="AB606">
        <v>0.8127009646302251</v>
      </c>
      <c r="AC606">
        <v>0.9967845659163987</v>
      </c>
      <c r="AD606">
        <v>0.9983922829581994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35.54</v>
      </c>
      <c r="D607">
        <v>4941.3039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0.075689364096792</v>
      </c>
      <c r="M607">
        <v>0.09126205219114092</v>
      </c>
      <c r="N607">
        <v>0.03</v>
      </c>
      <c r="O607">
        <v>0.1721102642349046</v>
      </c>
      <c r="P607" t="s">
        <v>637</v>
      </c>
      <c r="Q607" t="s">
        <v>637</v>
      </c>
      <c r="R607">
        <v>11</v>
      </c>
      <c r="T607">
        <v>55</v>
      </c>
      <c r="U607">
        <v>0.6461818181818182</v>
      </c>
      <c r="V607">
        <v>5.3448</v>
      </c>
      <c r="W607">
        <v>0</v>
      </c>
      <c r="X607">
        <v>2.69</v>
      </c>
      <c r="Y607">
        <v>-0.487453</v>
      </c>
      <c r="Z607">
        <v>0.8115702479338843</v>
      </c>
      <c r="AA607">
        <v>0.09339774557165863</v>
      </c>
      <c r="AB607">
        <v>0.247588424437299</v>
      </c>
      <c r="AC607">
        <v>0.959807073954984</v>
      </c>
      <c r="AD607">
        <v>0.9662379421221865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10.49</v>
      </c>
      <c r="D608">
        <v>16450.5229</v>
      </c>
      <c r="E608" t="s">
        <v>663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0.05942571334116775</v>
      </c>
      <c r="N608">
        <v>0.03</v>
      </c>
      <c r="O608">
        <v>0.1346700769995919</v>
      </c>
      <c r="P608" t="s">
        <v>637</v>
      </c>
      <c r="Q608" t="s">
        <v>637</v>
      </c>
      <c r="R608">
        <v>0</v>
      </c>
      <c r="T608">
        <v>14</v>
      </c>
      <c r="U608">
        <v>0.7492857142857143</v>
      </c>
      <c r="V608">
        <v>0.3975</v>
      </c>
      <c r="W608">
        <v>-1.25</v>
      </c>
      <c r="Y608">
        <v>-0.232064</v>
      </c>
      <c r="AA608">
        <v>0.3639291465378422</v>
      </c>
      <c r="AB608">
        <v>0.247588424437299</v>
      </c>
      <c r="AC608">
        <v>0.8954983922829582</v>
      </c>
      <c r="AD608">
        <v>0.8762057877813505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305</v>
      </c>
      <c r="D609">
        <v>8413.120000000001</v>
      </c>
      <c r="E609" t="s">
        <v>662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0.08089257834057184</v>
      </c>
      <c r="N609">
        <v>0.02</v>
      </c>
      <c r="O609">
        <v>0.1238581752738279</v>
      </c>
      <c r="P609" t="s">
        <v>637</v>
      </c>
      <c r="Q609" t="s">
        <v>637</v>
      </c>
      <c r="R609">
        <v>0</v>
      </c>
      <c r="T609">
        <v>450</v>
      </c>
      <c r="U609">
        <v>0.6777777777777778</v>
      </c>
      <c r="V609">
        <v>-2.6906</v>
      </c>
      <c r="W609">
        <v>450</v>
      </c>
      <c r="Y609">
        <v>-0.361254</v>
      </c>
      <c r="AA609">
        <v>0.2028985507246377</v>
      </c>
      <c r="AB609">
        <v>0.157556270096463</v>
      </c>
      <c r="AC609">
        <v>0.9533762057877813</v>
      </c>
      <c r="AD609">
        <v>0.8392282958199356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43.77</v>
      </c>
      <c r="D610">
        <v>25693.665021</v>
      </c>
      <c r="E610" t="s">
        <v>664</v>
      </c>
      <c r="F610" t="s">
        <v>631</v>
      </c>
      <c r="G610" t="s">
        <v>677</v>
      </c>
      <c r="H610" t="s">
        <v>699</v>
      </c>
      <c r="I610" t="s">
        <v>1297</v>
      </c>
      <c r="J610" t="s">
        <v>1314</v>
      </c>
      <c r="K610">
        <v>43963</v>
      </c>
      <c r="M610">
        <v>0.03901032807786375</v>
      </c>
      <c r="N610">
        <v>0.06</v>
      </c>
      <c r="O610">
        <v>0.1131585228008349</v>
      </c>
      <c r="P610" t="s">
        <v>637</v>
      </c>
      <c r="Q610" t="s">
        <v>637</v>
      </c>
      <c r="R610">
        <v>23</v>
      </c>
      <c r="T610">
        <v>53</v>
      </c>
      <c r="U610">
        <v>0.8258490566037736</v>
      </c>
      <c r="V610">
        <v>2.2405</v>
      </c>
      <c r="W610">
        <v>3.31</v>
      </c>
      <c r="Y610">
        <v>0.140438</v>
      </c>
      <c r="AA610">
        <v>0.822866344605475</v>
      </c>
      <c r="AB610">
        <v>0.6463022508038585</v>
      </c>
      <c r="AC610">
        <v>0.8151125401929261</v>
      </c>
      <c r="AD610">
        <v>0.7942122186495177</v>
      </c>
    </row>
    <row r="611" spans="1:30">
      <c r="A611" s="1" t="s">
        <v>618</v>
      </c>
      <c r="B611">
        <f>HYPERLINK("https://www.suredividend.com/sure-analysis-TKGBY/","Turkiye Garanti Bankasi AS")</f>
        <v>0</v>
      </c>
      <c r="C611">
        <v>1.07</v>
      </c>
      <c r="D611">
        <v>4494</v>
      </c>
      <c r="E611" t="s">
        <v>664</v>
      </c>
      <c r="F611" t="s">
        <v>631</v>
      </c>
      <c r="G611" t="s">
        <v>698</v>
      </c>
      <c r="H611" t="s">
        <v>700</v>
      </c>
      <c r="I611" t="s">
        <v>1298</v>
      </c>
      <c r="J611" t="s">
        <v>1311</v>
      </c>
      <c r="K611">
        <v>43977</v>
      </c>
      <c r="M611">
        <v>0.06989583356549334</v>
      </c>
      <c r="N611">
        <v>0.04</v>
      </c>
      <c r="O611">
        <v>0.1126916669081133</v>
      </c>
      <c r="P611" t="s">
        <v>637</v>
      </c>
      <c r="Q611" t="s">
        <v>637</v>
      </c>
      <c r="R611">
        <v>0</v>
      </c>
      <c r="T611">
        <v>1.5</v>
      </c>
      <c r="U611">
        <v>0.7133333333333334</v>
      </c>
      <c r="V611">
        <v>0.2508</v>
      </c>
      <c r="W611">
        <v>0.3</v>
      </c>
      <c r="Y611">
        <v>-0.366864</v>
      </c>
      <c r="AA611">
        <v>0.1964573268921095</v>
      </c>
      <c r="AB611">
        <v>0.3794212218649518</v>
      </c>
      <c r="AC611">
        <v>0.9228295819935691</v>
      </c>
      <c r="AD611">
        <v>0.7909967845659164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11.56</v>
      </c>
      <c r="D612">
        <v>11699.596225</v>
      </c>
      <c r="E612" t="s">
        <v>662</v>
      </c>
      <c r="F612" t="s">
        <v>631</v>
      </c>
      <c r="G612" t="s">
        <v>693</v>
      </c>
      <c r="H612" t="s">
        <v>699</v>
      </c>
      <c r="I612" t="s">
        <v>1299</v>
      </c>
      <c r="J612" t="s">
        <v>1319</v>
      </c>
      <c r="K612">
        <v>43985</v>
      </c>
      <c r="M612">
        <v>0.1044832993201898</v>
      </c>
      <c r="N612">
        <v>0</v>
      </c>
      <c r="O612">
        <v>0.1044832993201898</v>
      </c>
      <c r="P612" t="s">
        <v>637</v>
      </c>
      <c r="Q612" t="s">
        <v>637</v>
      </c>
      <c r="R612">
        <v>0</v>
      </c>
      <c r="T612">
        <v>19</v>
      </c>
      <c r="U612">
        <v>0.608421052631579</v>
      </c>
      <c r="V612">
        <v>-3.9458</v>
      </c>
      <c r="W612">
        <v>-1.6</v>
      </c>
      <c r="Y612">
        <v>-0.302774</v>
      </c>
      <c r="AA612">
        <v>0.2801932367149759</v>
      </c>
      <c r="AB612">
        <v>0.04180064308681672</v>
      </c>
      <c r="AC612">
        <v>0.9758842443729904</v>
      </c>
      <c r="AD612">
        <v>0.7491961414790996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190.76</v>
      </c>
      <c r="D613">
        <v>463553.9535</v>
      </c>
      <c r="E613" t="s">
        <v>659</v>
      </c>
      <c r="F613" t="s">
        <v>631</v>
      </c>
      <c r="G613" t="s">
        <v>670</v>
      </c>
      <c r="H613" t="s">
        <v>699</v>
      </c>
      <c r="I613" t="s">
        <v>1300</v>
      </c>
      <c r="J613" t="s">
        <v>1311</v>
      </c>
      <c r="K613">
        <v>43958</v>
      </c>
      <c r="M613">
        <v>0.04959992734083096</v>
      </c>
      <c r="N613">
        <v>0.05</v>
      </c>
      <c r="O613">
        <v>0.1020799237078727</v>
      </c>
      <c r="P613" t="s">
        <v>637</v>
      </c>
      <c r="Q613" t="s">
        <v>637</v>
      </c>
      <c r="R613">
        <v>0</v>
      </c>
      <c r="T613">
        <v>243</v>
      </c>
      <c r="U613">
        <v>0.7850205761316872</v>
      </c>
      <c r="V613">
        <v>3.994</v>
      </c>
      <c r="W613">
        <v>9</v>
      </c>
      <c r="Y613">
        <v>-0.08279599999999999</v>
      </c>
      <c r="AA613">
        <v>0.5652173913043478</v>
      </c>
      <c r="AB613">
        <v>0.5160771704180064</v>
      </c>
      <c r="AC613">
        <v>0.8553054662379421</v>
      </c>
      <c r="AD613">
        <v>0.7347266881028939</v>
      </c>
    </row>
    <row r="614" spans="1:30">
      <c r="A614" s="1" t="s">
        <v>621</v>
      </c>
      <c r="B614">
        <f>HYPERLINK("https://www.suredividend.com/sure-analysis-UAL/","United Airlines Holdings, Inc.")</f>
        <v>0</v>
      </c>
      <c r="C614">
        <v>33.92</v>
      </c>
      <c r="D614">
        <v>9851.962240000001</v>
      </c>
      <c r="E614" t="s">
        <v>660</v>
      </c>
      <c r="F614" t="s">
        <v>631</v>
      </c>
      <c r="G614" t="s">
        <v>670</v>
      </c>
      <c r="H614" t="s">
        <v>701</v>
      </c>
      <c r="I614" t="s">
        <v>1301</v>
      </c>
      <c r="J614" t="s">
        <v>1313</v>
      </c>
      <c r="K614">
        <v>43958</v>
      </c>
      <c r="M614">
        <v>0.04365916042984952</v>
      </c>
      <c r="N614">
        <v>0.05</v>
      </c>
      <c r="O614">
        <v>0.09584211845134205</v>
      </c>
      <c r="P614" t="s">
        <v>637</v>
      </c>
      <c r="Q614" t="s">
        <v>637</v>
      </c>
      <c r="R614">
        <v>0</v>
      </c>
      <c r="T614">
        <v>42</v>
      </c>
      <c r="U614">
        <v>0.8076190476190477</v>
      </c>
      <c r="V614">
        <v>3.7238</v>
      </c>
      <c r="W614">
        <v>-15</v>
      </c>
      <c r="Y614">
        <v>-0.6439969999999999</v>
      </c>
      <c r="AA614">
        <v>0.03220611916264091</v>
      </c>
      <c r="AB614">
        <v>0.5160771704180064</v>
      </c>
      <c r="AC614">
        <v>0.8344051446945338</v>
      </c>
      <c r="AD614">
        <v>0.6897106109324759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247.14</v>
      </c>
      <c r="D615">
        <v>663008.6565</v>
      </c>
      <c r="E615" t="s">
        <v>663</v>
      </c>
      <c r="F615" t="s">
        <v>631</v>
      </c>
      <c r="G615" t="s">
        <v>672</v>
      </c>
      <c r="H615" t="s">
        <v>699</v>
      </c>
      <c r="I615" t="s">
        <v>1302</v>
      </c>
      <c r="J615" t="s">
        <v>1312</v>
      </c>
      <c r="K615">
        <v>43990</v>
      </c>
      <c r="M615">
        <v>-0.05323332831375027</v>
      </c>
      <c r="N615">
        <v>0.15</v>
      </c>
      <c r="O615">
        <v>0.088781672439187</v>
      </c>
      <c r="P615" t="s">
        <v>637</v>
      </c>
      <c r="Q615" t="s">
        <v>637</v>
      </c>
      <c r="R615">
        <v>0</v>
      </c>
      <c r="T615">
        <v>188</v>
      </c>
      <c r="U615">
        <v>1.314574468085106</v>
      </c>
      <c r="V615">
        <v>8.1655</v>
      </c>
      <c r="W615">
        <v>37.62</v>
      </c>
      <c r="Y615">
        <v>0.430208</v>
      </c>
      <c r="AA615">
        <v>0.9468599033816425</v>
      </c>
      <c r="AB615">
        <v>0.9766881028938907</v>
      </c>
      <c r="AC615">
        <v>0.2717041800643087</v>
      </c>
      <c r="AD615">
        <v>0.6398713826366559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3.56</v>
      </c>
      <c r="D616">
        <v>14102.847262</v>
      </c>
      <c r="E616" t="s">
        <v>662</v>
      </c>
      <c r="F616" t="s">
        <v>631</v>
      </c>
      <c r="G616" t="s">
        <v>685</v>
      </c>
      <c r="H616" t="s">
        <v>700</v>
      </c>
      <c r="I616" t="s">
        <v>1303</v>
      </c>
      <c r="J616" t="s">
        <v>1311</v>
      </c>
      <c r="K616">
        <v>43983</v>
      </c>
      <c r="M616">
        <v>-0.06825300207054474</v>
      </c>
      <c r="N616">
        <v>0.15</v>
      </c>
      <c r="O616">
        <v>0.07150904761887356</v>
      </c>
      <c r="P616" t="s">
        <v>637</v>
      </c>
      <c r="Q616" t="s">
        <v>637</v>
      </c>
      <c r="R616">
        <v>0</v>
      </c>
      <c r="T616">
        <v>2.5</v>
      </c>
      <c r="U616">
        <v>1.424</v>
      </c>
      <c r="V616">
        <v>0.7054</v>
      </c>
      <c r="W616">
        <v>0.25</v>
      </c>
      <c r="Y616">
        <v>-0.303327</v>
      </c>
      <c r="AA616">
        <v>0.2785829307568438</v>
      </c>
      <c r="AB616">
        <v>0.9766881028938907</v>
      </c>
      <c r="AC616">
        <v>0.1961414790996784</v>
      </c>
      <c r="AD616">
        <v>0.4951768488745981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8.16</v>
      </c>
      <c r="D617">
        <v>15960.62952</v>
      </c>
      <c r="E617" t="s">
        <v>669</v>
      </c>
      <c r="F617" t="s">
        <v>631</v>
      </c>
      <c r="G617" t="s">
        <v>690</v>
      </c>
      <c r="H617" t="s">
        <v>700</v>
      </c>
      <c r="I617" t="s">
        <v>1304</v>
      </c>
      <c r="J617" t="s">
        <v>1312</v>
      </c>
      <c r="K617">
        <v>44013</v>
      </c>
      <c r="M617">
        <v>-0.03020134770418659</v>
      </c>
      <c r="N617">
        <v>0.068</v>
      </c>
      <c r="O617">
        <v>0.06588523925155498</v>
      </c>
      <c r="P617" t="s">
        <v>637</v>
      </c>
      <c r="Q617" t="s">
        <v>637</v>
      </c>
      <c r="R617">
        <v>0</v>
      </c>
      <c r="T617">
        <v>7</v>
      </c>
      <c r="U617">
        <v>1.165714285714286</v>
      </c>
      <c r="V617">
        <v>-3.1446</v>
      </c>
      <c r="W617">
        <v>0.25</v>
      </c>
      <c r="Y617">
        <v>-0.419217</v>
      </c>
      <c r="AA617">
        <v>0.1481481481481481</v>
      </c>
      <c r="AB617">
        <v>0.702572347266881</v>
      </c>
      <c r="AC617">
        <v>0.409967845659164</v>
      </c>
      <c r="AD617">
        <v>0.4533762057877814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43.71</v>
      </c>
      <c r="D618">
        <v>54575.977257</v>
      </c>
      <c r="E618" t="s">
        <v>667</v>
      </c>
      <c r="F618" t="s">
        <v>631</v>
      </c>
      <c r="G618" t="s">
        <v>685</v>
      </c>
      <c r="H618" t="s">
        <v>700</v>
      </c>
      <c r="I618" t="s">
        <v>1305</v>
      </c>
      <c r="J618" t="s">
        <v>1311</v>
      </c>
      <c r="K618">
        <v>43993</v>
      </c>
      <c r="M618">
        <v>0.0272539965538976</v>
      </c>
      <c r="N618">
        <v>0.03</v>
      </c>
      <c r="O618">
        <v>0.05807161645051462</v>
      </c>
      <c r="P618" t="s">
        <v>637</v>
      </c>
      <c r="Q618" t="s">
        <v>637</v>
      </c>
      <c r="R618">
        <v>0</v>
      </c>
      <c r="T618">
        <v>50</v>
      </c>
      <c r="U618">
        <v>0.8742</v>
      </c>
      <c r="V618">
        <v>6.9524</v>
      </c>
      <c r="W618">
        <v>6.26</v>
      </c>
      <c r="Y618">
        <v>-0.082301</v>
      </c>
      <c r="AA618">
        <v>0.571658615136876</v>
      </c>
      <c r="AB618">
        <v>0.247588424437299</v>
      </c>
      <c r="AC618">
        <v>0.7572347266881029</v>
      </c>
      <c r="AD618">
        <v>0.4019292604501608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492.99</v>
      </c>
      <c r="D619">
        <v>216818.97396</v>
      </c>
      <c r="E619" t="s">
        <v>667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43958</v>
      </c>
      <c r="M619">
        <v>-0.08568785471962848</v>
      </c>
      <c r="N619">
        <v>0.15</v>
      </c>
      <c r="O619">
        <v>0.05145896707242703</v>
      </c>
      <c r="P619" t="s">
        <v>637</v>
      </c>
      <c r="Q619" t="s">
        <v>637</v>
      </c>
      <c r="R619">
        <v>0</v>
      </c>
      <c r="T619">
        <v>315</v>
      </c>
      <c r="U619">
        <v>1.565047619047619</v>
      </c>
      <c r="V619">
        <v>6.1055</v>
      </c>
      <c r="W619">
        <v>6.3</v>
      </c>
      <c r="Y619">
        <v>0.515913</v>
      </c>
      <c r="AA619">
        <v>0.9677938808373591</v>
      </c>
      <c r="AB619">
        <v>0.9766881028938907</v>
      </c>
      <c r="AC619">
        <v>0.135048231511254</v>
      </c>
      <c r="AD619">
        <v>0.3633440514469454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242.03</v>
      </c>
      <c r="D620">
        <v>690112.589023</v>
      </c>
      <c r="E620" t="s">
        <v>659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43951</v>
      </c>
      <c r="M620">
        <v>-0.03936324788675605</v>
      </c>
      <c r="N620">
        <v>0.09</v>
      </c>
      <c r="O620">
        <v>0.04709405980343595</v>
      </c>
      <c r="P620" t="s">
        <v>637</v>
      </c>
      <c r="Q620" t="s">
        <v>637</v>
      </c>
      <c r="R620">
        <v>0</v>
      </c>
      <c r="T620">
        <v>198</v>
      </c>
      <c r="U620">
        <v>1.222373737373737</v>
      </c>
      <c r="V620">
        <v>7.3458</v>
      </c>
      <c r="W620">
        <v>7.5</v>
      </c>
      <c r="Y620">
        <v>0.205449</v>
      </c>
      <c r="AA620">
        <v>0.8679549114331724</v>
      </c>
      <c r="AB620">
        <v>0.8633440514469453</v>
      </c>
      <c r="AC620">
        <v>0.3456591639871383</v>
      </c>
      <c r="AD620">
        <v>0.3311897106109325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1515.55</v>
      </c>
      <c r="D621">
        <v>1034543.969585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-0.0816399455183271</v>
      </c>
      <c r="N621">
        <v>0.12</v>
      </c>
      <c r="O621">
        <v>0.02856326101947371</v>
      </c>
      <c r="P621" t="s">
        <v>637</v>
      </c>
      <c r="Q621" t="s">
        <v>637</v>
      </c>
      <c r="R621">
        <v>0</v>
      </c>
      <c r="T621">
        <v>990</v>
      </c>
      <c r="U621">
        <v>1.530858585858586</v>
      </c>
      <c r="V621">
        <v>49.9867</v>
      </c>
      <c r="W621">
        <v>45</v>
      </c>
      <c r="Y621">
        <v>0.322089</v>
      </c>
      <c r="AA621">
        <v>0.9210950080515298</v>
      </c>
      <c r="AB621">
        <v>0.9461414790996784</v>
      </c>
      <c r="AC621">
        <v>0.1463022508038585</v>
      </c>
      <c r="AD621">
        <v>0.22508038585209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2961.97</v>
      </c>
      <c r="D622">
        <v>1477359.54872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1312</v>
      </c>
      <c r="K622">
        <v>43958</v>
      </c>
      <c r="M622">
        <v>-0.09989851410860084</v>
      </c>
      <c r="N622">
        <v>0.11</v>
      </c>
      <c r="O622">
        <v>-0.0008873506605469039</v>
      </c>
      <c r="P622" t="s">
        <v>637</v>
      </c>
      <c r="Q622" t="s">
        <v>637</v>
      </c>
      <c r="R622">
        <v>0</v>
      </c>
      <c r="T622">
        <v>1750</v>
      </c>
      <c r="U622">
        <v>1.692554285714286</v>
      </c>
      <c r="V622">
        <v>21.3147</v>
      </c>
      <c r="W622">
        <v>70</v>
      </c>
      <c r="Y622">
        <v>0.497533</v>
      </c>
      <c r="AA622">
        <v>0.9629629629629629</v>
      </c>
      <c r="AB622">
        <v>0.9316720257234726</v>
      </c>
      <c r="AC622">
        <v>0.08681672025723472</v>
      </c>
      <c r="AD622">
        <v>0.1141479099678457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1500.84</v>
      </c>
      <c r="D623">
        <v>278369.79984</v>
      </c>
      <c r="E623" t="s">
        <v>663</v>
      </c>
      <c r="F623" t="s">
        <v>631</v>
      </c>
      <c r="G623" t="s">
        <v>670</v>
      </c>
      <c r="H623" t="s">
        <v>701</v>
      </c>
      <c r="I623" t="s">
        <v>1310</v>
      </c>
      <c r="J623" t="s">
        <v>1312</v>
      </c>
      <c r="K623">
        <v>43955</v>
      </c>
      <c r="M623">
        <v>-0.2753014843809239</v>
      </c>
      <c r="N623">
        <v>0.18</v>
      </c>
      <c r="O623">
        <v>-0.1448557515694903</v>
      </c>
      <c r="P623" t="s">
        <v>637</v>
      </c>
      <c r="Q623" t="s">
        <v>637</v>
      </c>
      <c r="R623">
        <v>0</v>
      </c>
      <c r="T623">
        <v>300</v>
      </c>
      <c r="U623">
        <v>5.0028</v>
      </c>
      <c r="V623">
        <v>-0.8418</v>
      </c>
      <c r="W623">
        <v>0</v>
      </c>
      <c r="Y623">
        <v>4.919539</v>
      </c>
      <c r="AA623">
        <v>1</v>
      </c>
      <c r="AB623">
        <v>0.9871382636655949</v>
      </c>
      <c r="AC623">
        <v>0.001607717041800643</v>
      </c>
      <c r="AD623">
        <v>0.00482315112540193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1318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527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579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577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551</v>
      </c>
      <c r="B238">
        <v>43829</v>
      </c>
    </row>
    <row r="239" spans="1:2">
      <c r="A239" s="1" t="s">
        <v>578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378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498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580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376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565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538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464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377</v>
      </c>
      <c r="B328">
        <v>43781</v>
      </c>
    </row>
    <row r="329" spans="1:2">
      <c r="A329" s="1" t="s">
        <v>548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405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495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594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440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521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412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404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507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461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563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466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415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518</v>
      </c>
      <c r="B560">
        <v>43845</v>
      </c>
    </row>
    <row r="561" spans="1:2">
      <c r="A561" s="1" t="s">
        <v>451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515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575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452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416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571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409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321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529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397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526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385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261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500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545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564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433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272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467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537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555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595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569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419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256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610</v>
      </c>
      <c r="B1099">
        <v>43805</v>
      </c>
    </row>
    <row r="1100" spans="1:2">
      <c r="A1100" s="1" t="s">
        <v>573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497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266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388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413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558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560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380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391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445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525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574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173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465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286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446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557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420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402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395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239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418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296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192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587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307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506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417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590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278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444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410</v>
      </c>
      <c r="B1676">
        <v>43830</v>
      </c>
    </row>
    <row r="1677" spans="1:2">
      <c r="A1677" s="1" t="s">
        <v>494</v>
      </c>
      <c r="B1677">
        <v>43741</v>
      </c>
    </row>
    <row r="1678" spans="1:2">
      <c r="A1678" s="1" t="s">
        <v>567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274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554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468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510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323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346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583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478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447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511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514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449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513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384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604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300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326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589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520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353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144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473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439</v>
      </c>
      <c r="B2100">
        <v>43802</v>
      </c>
    </row>
    <row r="2101" spans="1:2">
      <c r="A2101" s="1" t="s">
        <v>443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428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581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424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488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265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425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324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549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597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327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432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556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306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561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289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270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347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295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519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438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273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434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588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427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394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293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310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159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607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181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287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400</v>
      </c>
      <c r="B2523">
        <v>43845</v>
      </c>
    </row>
    <row r="2524" spans="1:2">
      <c r="A2524" s="1" t="s">
        <v>570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54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522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531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436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524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547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499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202</v>
      </c>
      <c r="B2650">
        <v>43832</v>
      </c>
    </row>
    <row r="2651" spans="1:2">
      <c r="A2651" s="1" t="s">
        <v>544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600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291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481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332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279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348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516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157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386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584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450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162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139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172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596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170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414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137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24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294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387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25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208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509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163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281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171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285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454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167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64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471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260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334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158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343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458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185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540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302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342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331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317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328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422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530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154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462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33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457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470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224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228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320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56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408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152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504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585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73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178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147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42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406</v>
      </c>
      <c r="B3461">
        <v>43845</v>
      </c>
    </row>
    <row r="3462" spans="1:2">
      <c r="A3462" s="1" t="s">
        <v>146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399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78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203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539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190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227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312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70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426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411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423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533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437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149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455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505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140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99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176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198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582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523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335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313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212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193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230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89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206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431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216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487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67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86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197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174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304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217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41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50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392</v>
      </c>
      <c r="B4104">
        <v>43784</v>
      </c>
    </row>
    <row r="4105" spans="1:2">
      <c r="A4105" s="1" t="s">
        <v>311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85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484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177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205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43</v>
      </c>
      <c r="B4197">
        <v>43812</v>
      </c>
    </row>
    <row r="4198" spans="1:2">
      <c r="A4198" s="1" t="s">
        <v>175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57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242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188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71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268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37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38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297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543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453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314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40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124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195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47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49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150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53</v>
      </c>
      <c r="B4407">
        <v>43840</v>
      </c>
    </row>
    <row r="4408" spans="1:2">
      <c r="A4408" s="1" t="s">
        <v>292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79</v>
      </c>
      <c r="B4444">
        <v>43801</v>
      </c>
    </row>
    <row r="4445" spans="1:2">
      <c r="A4445" s="1" t="s">
        <v>21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65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319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288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238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31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220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237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196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101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275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132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435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357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82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59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325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284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241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36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93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339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591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113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593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255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226</v>
      </c>
      <c r="B4967">
        <v>43823</v>
      </c>
    </row>
    <row r="4968" spans="1:2">
      <c r="A4968" s="1" t="s">
        <v>51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186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603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209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90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477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463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69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39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112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61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609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116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168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136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496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161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76</v>
      </c>
      <c r="B5285">
        <v>43809</v>
      </c>
    </row>
    <row r="5286" spans="1:2">
      <c r="A5286" s="1" t="s">
        <v>103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271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329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179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442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44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199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200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441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232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156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62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345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100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102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219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88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55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301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72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572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351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60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207</v>
      </c>
      <c r="B5881">
        <v>43613</v>
      </c>
    </row>
    <row r="5882" spans="1:2">
      <c r="A5882" s="1" t="s">
        <v>576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84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165</v>
      </c>
      <c r="B5926">
        <v>43784</v>
      </c>
    </row>
    <row r="5927" spans="1:2">
      <c r="A5927" s="1" t="s">
        <v>562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107</v>
      </c>
      <c r="B5932">
        <v>43811</v>
      </c>
    </row>
    <row r="5933" spans="1:2">
      <c r="A5933" s="1" t="s">
        <v>421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91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210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362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341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476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344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365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48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46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536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534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607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19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552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141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2020-07-18T20:42:35Z</dcterms:created>
  <dcterms:modified xsi:type="dcterms:W3CDTF">2020-07-18T20:42:35Z</dcterms:modified>
</cp:coreProperties>
</file>