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<sst xmlns="http://schemas.openxmlformats.org/spreadsheetml/2006/main" count="22070" uniqueCount="10772">
  <si>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</si>
  <si>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</si>
  <si>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</si>
  <si>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</si>
  <si>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</si>
  <si>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</si>
  <si>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</si>
  <si>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</si>
  <si>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</si>
  <si>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</si>
  <si>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</si>
  <si>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TNC</t>
  </si>
  <si>
    <t>CTBI</t>
  </si>
  <si>
    <t>WEYS</t>
  </si>
  <si>
    <t>TYCB</t>
  </si>
  <si>
    <t>WBA</t>
  </si>
  <si>
    <t>FRT</t>
  </si>
  <si>
    <t>AIZ</t>
  </si>
  <si>
    <t>EBTC</t>
  </si>
  <si>
    <t>EFSI</t>
  </si>
  <si>
    <t>BEN</t>
  </si>
  <si>
    <t>PNR</t>
  </si>
  <si>
    <t>TXT</t>
  </si>
  <si>
    <t>GD</t>
  </si>
  <si>
    <t>TDS</t>
  </si>
  <si>
    <t>FUL</t>
  </si>
  <si>
    <t>CB</t>
  </si>
  <si>
    <t>FMS</t>
  </si>
  <si>
    <t>VFC</t>
  </si>
  <si>
    <t>BANF</t>
  </si>
  <si>
    <t>EV</t>
  </si>
  <si>
    <t>NFG</t>
  </si>
  <si>
    <t>ADM</t>
  </si>
  <si>
    <t>CSL</t>
  </si>
  <si>
    <t>PNGAY</t>
  </si>
  <si>
    <t>MCK</t>
  </si>
  <si>
    <t>LHX</t>
  </si>
  <si>
    <t>SYY</t>
  </si>
  <si>
    <t>SRCE</t>
  </si>
  <si>
    <t>CINF</t>
  </si>
  <si>
    <t>ABBV</t>
  </si>
  <si>
    <t>PSBQ</t>
  </si>
  <si>
    <t>NOC</t>
  </si>
  <si>
    <t>SON</t>
  </si>
  <si>
    <t>PPG</t>
  </si>
  <si>
    <t>TJX</t>
  </si>
  <si>
    <t>SAP</t>
  </si>
  <si>
    <t>AFL</t>
  </si>
  <si>
    <t>FMCB</t>
  </si>
  <si>
    <t>ROST</t>
  </si>
  <si>
    <t>MGRC</t>
  </si>
  <si>
    <t>GPC</t>
  </si>
  <si>
    <t>AOS</t>
  </si>
  <si>
    <t>PH</t>
  </si>
  <si>
    <t>BKH</t>
  </si>
  <si>
    <t>ORCL</t>
  </si>
  <si>
    <t>BRC</t>
  </si>
  <si>
    <t>SEIC</t>
  </si>
  <si>
    <t>PRGO</t>
  </si>
  <si>
    <t>ADP</t>
  </si>
  <si>
    <t>CP</t>
  </si>
  <si>
    <t>SWK</t>
  </si>
  <si>
    <t>ABM</t>
  </si>
  <si>
    <t>CAH</t>
  </si>
  <si>
    <t>NVS</t>
  </si>
  <si>
    <t>SYK</t>
  </si>
  <si>
    <t>EMR</t>
  </si>
  <si>
    <t>MMM</t>
  </si>
  <si>
    <t>DOV</t>
  </si>
  <si>
    <t>CPKF</t>
  </si>
  <si>
    <t>UNH</t>
  </si>
  <si>
    <t>ABC</t>
  </si>
  <si>
    <t>DCI</t>
  </si>
  <si>
    <t>ATO</t>
  </si>
  <si>
    <t>CSX</t>
  </si>
  <si>
    <t>MDT</t>
  </si>
  <si>
    <t>TGT</t>
  </si>
  <si>
    <t>AAP</t>
  </si>
  <si>
    <t>GRC</t>
  </si>
  <si>
    <t>ALB</t>
  </si>
  <si>
    <t>TROW</t>
  </si>
  <si>
    <t>DPZ</t>
  </si>
  <si>
    <t>GWW</t>
  </si>
  <si>
    <t>BDX</t>
  </si>
  <si>
    <t>BRO</t>
  </si>
  <si>
    <t>LOW</t>
  </si>
  <si>
    <t>KMB</t>
  </si>
  <si>
    <t>FELE</t>
  </si>
  <si>
    <t>SJW</t>
  </si>
  <si>
    <t>SPGI</t>
  </si>
  <si>
    <t>CHD</t>
  </si>
  <si>
    <t>THFF</t>
  </si>
  <si>
    <t>JNJ</t>
  </si>
  <si>
    <t>MSA</t>
  </si>
  <si>
    <t>DG</t>
  </si>
  <si>
    <t>EXPD</t>
  </si>
  <si>
    <t>PG</t>
  </si>
  <si>
    <t>KR</t>
  </si>
  <si>
    <t>ABT</t>
  </si>
  <si>
    <t>TR</t>
  </si>
  <si>
    <t>RPM</t>
  </si>
  <si>
    <t>MCO</t>
  </si>
  <si>
    <t>CL</t>
  </si>
  <si>
    <t>ATR</t>
  </si>
  <si>
    <t>NWN</t>
  </si>
  <si>
    <t>LANC</t>
  </si>
  <si>
    <t>CSVI</t>
  </si>
  <si>
    <t>COST</t>
  </si>
  <si>
    <t>SHW</t>
  </si>
  <si>
    <t>MGEE</t>
  </si>
  <si>
    <t>AAPL</t>
  </si>
  <si>
    <t>NDSN</t>
  </si>
  <si>
    <t>WMT</t>
  </si>
  <si>
    <t>MKC</t>
  </si>
  <si>
    <t>ROP</t>
  </si>
  <si>
    <t>ECL</t>
  </si>
  <si>
    <t>SCL</t>
  </si>
  <si>
    <t>CTAS</t>
  </si>
  <si>
    <t>AWR</t>
  </si>
  <si>
    <t>MSEX</t>
  </si>
  <si>
    <t>HRL</t>
  </si>
  <si>
    <t>BF.B</t>
  </si>
  <si>
    <t>BMI</t>
  </si>
  <si>
    <t>CWT</t>
  </si>
  <si>
    <t>RLI</t>
  </si>
  <si>
    <t>JKHY</t>
  </si>
  <si>
    <t>WST</t>
  </si>
  <si>
    <t>SKT</t>
  </si>
  <si>
    <t>TU</t>
  </si>
  <si>
    <t>EPD</t>
  </si>
  <si>
    <t>SU</t>
  </si>
  <si>
    <t>GWLIF</t>
  </si>
  <si>
    <t>BMO</t>
  </si>
  <si>
    <t>BNS</t>
  </si>
  <si>
    <t>FL</t>
  </si>
  <si>
    <t>CNQ</t>
  </si>
  <si>
    <t>TD</t>
  </si>
  <si>
    <t>SLF</t>
  </si>
  <si>
    <t>SUN</t>
  </si>
  <si>
    <t>CM</t>
  </si>
  <si>
    <t>RY</t>
  </si>
  <si>
    <t>CAE</t>
  </si>
  <si>
    <t>AXP</t>
  </si>
  <si>
    <t>UGI</t>
  </si>
  <si>
    <t>NTIOF</t>
  </si>
  <si>
    <t>MET</t>
  </si>
  <si>
    <t>T</t>
  </si>
  <si>
    <t>TTC</t>
  </si>
  <si>
    <t>OMC</t>
  </si>
  <si>
    <t>PBCT</t>
  </si>
  <si>
    <t>FDX</t>
  </si>
  <si>
    <t>MO</t>
  </si>
  <si>
    <t>PB</t>
  </si>
  <si>
    <t>CMCSA</t>
  </si>
  <si>
    <t>CTSH</t>
  </si>
  <si>
    <t>RE</t>
  </si>
  <si>
    <t>WHR</t>
  </si>
  <si>
    <t>JACK</t>
  </si>
  <si>
    <t>MSM</t>
  </si>
  <si>
    <t>BAYRY</t>
  </si>
  <si>
    <t>LMT</t>
  </si>
  <si>
    <t>FOXA</t>
  </si>
  <si>
    <t>HII</t>
  </si>
  <si>
    <t>CFR</t>
  </si>
  <si>
    <t>AMAT</t>
  </si>
  <si>
    <t>CVS</t>
  </si>
  <si>
    <t>SRE</t>
  </si>
  <si>
    <t>TRV</t>
  </si>
  <si>
    <t>BMY</t>
  </si>
  <si>
    <t>TSN</t>
  </si>
  <si>
    <t>JW.A</t>
  </si>
  <si>
    <t>RDEIY</t>
  </si>
  <si>
    <t>CSCO</t>
  </si>
  <si>
    <t>MDU</t>
  </si>
  <si>
    <t>XYL</t>
  </si>
  <si>
    <t>DNKN</t>
  </si>
  <si>
    <t>KDP</t>
  </si>
  <si>
    <t>VZ</t>
  </si>
  <si>
    <t>FTS</t>
  </si>
  <si>
    <t>HON</t>
  </si>
  <si>
    <t>EIX</t>
  </si>
  <si>
    <t>ICE</t>
  </si>
  <si>
    <t>IBM</t>
  </si>
  <si>
    <t>NEP</t>
  </si>
  <si>
    <t>UVV</t>
  </si>
  <si>
    <t>LNT</t>
  </si>
  <si>
    <t>MDLZ</t>
  </si>
  <si>
    <t>NSC</t>
  </si>
  <si>
    <t>DEO</t>
  </si>
  <si>
    <t>KO</t>
  </si>
  <si>
    <t>SWKS</t>
  </si>
  <si>
    <t>INTC</t>
  </si>
  <si>
    <t>DE</t>
  </si>
  <si>
    <t>INFY</t>
  </si>
  <si>
    <t>SNA</t>
  </si>
  <si>
    <t>WU</t>
  </si>
  <si>
    <t>GILD</t>
  </si>
  <si>
    <t>UBSI</t>
  </si>
  <si>
    <t>MRK</t>
  </si>
  <si>
    <t>AMGN</t>
  </si>
  <si>
    <t>ARTNA</t>
  </si>
  <si>
    <t>UNP</t>
  </si>
  <si>
    <t>AROW</t>
  </si>
  <si>
    <t>SJM</t>
  </si>
  <si>
    <t>AJG</t>
  </si>
  <si>
    <t>CBU</t>
  </si>
  <si>
    <t>ED</t>
  </si>
  <si>
    <t>HD</t>
  </si>
  <si>
    <t>HSY</t>
  </si>
  <si>
    <t>EBAY</t>
  </si>
  <si>
    <t>CBSH</t>
  </si>
  <si>
    <t>CNI</t>
  </si>
  <si>
    <t>TMP</t>
  </si>
  <si>
    <t>ETR</t>
  </si>
  <si>
    <t>LIN</t>
  </si>
  <si>
    <t>ITW</t>
  </si>
  <si>
    <t>BLK</t>
  </si>
  <si>
    <t>K</t>
  </si>
  <si>
    <t>MCD</t>
  </si>
  <si>
    <t>BBY</t>
  </si>
  <si>
    <t>NSRGY</t>
  </si>
  <si>
    <t>IFF</t>
  </si>
  <si>
    <t>WABC</t>
  </si>
  <si>
    <t>PEP</t>
  </si>
  <si>
    <t>NVO</t>
  </si>
  <si>
    <t>NUE</t>
  </si>
  <si>
    <t>ROK</t>
  </si>
  <si>
    <t>BAH</t>
  </si>
  <si>
    <t>WTRG</t>
  </si>
  <si>
    <t>NEE</t>
  </si>
  <si>
    <t>BAM</t>
  </si>
  <si>
    <t>WM</t>
  </si>
  <si>
    <t>RMD</t>
  </si>
  <si>
    <t>AMT</t>
  </si>
  <si>
    <t>XEL</t>
  </si>
  <si>
    <t>MSFT</t>
  </si>
  <si>
    <t>MORN</t>
  </si>
  <si>
    <t>NKE</t>
  </si>
  <si>
    <t>APD</t>
  </si>
  <si>
    <t>ERIE</t>
  </si>
  <si>
    <t>TSCO</t>
  </si>
  <si>
    <t>WSM</t>
  </si>
  <si>
    <t>CLX</t>
  </si>
  <si>
    <t>LLY</t>
  </si>
  <si>
    <t>CORR</t>
  </si>
  <si>
    <t>RCL</t>
  </si>
  <si>
    <t>MFGP</t>
  </si>
  <si>
    <t>MDP</t>
  </si>
  <si>
    <t>VIAC</t>
  </si>
  <si>
    <t>PBR</t>
  </si>
  <si>
    <t>IPPLF</t>
  </si>
  <si>
    <t>KTB</t>
  </si>
  <si>
    <t>AEG</t>
  </si>
  <si>
    <t>DFS</t>
  </si>
  <si>
    <t>TFC</t>
  </si>
  <si>
    <t>ERF</t>
  </si>
  <si>
    <t>GPS</t>
  </si>
  <si>
    <t>SBRA</t>
  </si>
  <si>
    <t>VTR</t>
  </si>
  <si>
    <t>PFG</t>
  </si>
  <si>
    <t>STOR</t>
  </si>
  <si>
    <t>MT</t>
  </si>
  <si>
    <t>OKE</t>
  </si>
  <si>
    <t>NAVI</t>
  </si>
  <si>
    <t>MGA</t>
  </si>
  <si>
    <t>PRU</t>
  </si>
  <si>
    <t>NOV</t>
  </si>
  <si>
    <t>MTB</t>
  </si>
  <si>
    <t>GM</t>
  </si>
  <si>
    <t>MMP</t>
  </si>
  <si>
    <t>MPLX</t>
  </si>
  <si>
    <t>HNI</t>
  </si>
  <si>
    <t>LEG</t>
  </si>
  <si>
    <t>MAR</t>
  </si>
  <si>
    <t>ENB</t>
  </si>
  <si>
    <t>GS</t>
  </si>
  <si>
    <t>HPQ</t>
  </si>
  <si>
    <t>BK</t>
  </si>
  <si>
    <t>BUD</t>
  </si>
  <si>
    <t>GEF</t>
  </si>
  <si>
    <t>GE</t>
  </si>
  <si>
    <t>UPS</t>
  </si>
  <si>
    <t>ORI</t>
  </si>
  <si>
    <t>NC</t>
  </si>
  <si>
    <t>TAP</t>
  </si>
  <si>
    <t>O</t>
  </si>
  <si>
    <t>BIP</t>
  </si>
  <si>
    <t>JWN</t>
  </si>
  <si>
    <t>NNN</t>
  </si>
  <si>
    <t>HBI</t>
  </si>
  <si>
    <t>UMBF</t>
  </si>
  <si>
    <t>LRCX</t>
  </si>
  <si>
    <t>DDS</t>
  </si>
  <si>
    <t>PII</t>
  </si>
  <si>
    <t>ALL</t>
  </si>
  <si>
    <t>RTX</t>
  </si>
  <si>
    <t>SIEGY</t>
  </si>
  <si>
    <t>OSK</t>
  </si>
  <si>
    <t>DTE</t>
  </si>
  <si>
    <t>WPC</t>
  </si>
  <si>
    <t>AMX</t>
  </si>
  <si>
    <t>KSU</t>
  </si>
  <si>
    <t>CAT</t>
  </si>
  <si>
    <t>BTI</t>
  </si>
  <si>
    <t>YUM</t>
  </si>
  <si>
    <t>SNY</t>
  </si>
  <si>
    <t>PSA</t>
  </si>
  <si>
    <t>TM</t>
  </si>
  <si>
    <t>TCO</t>
  </si>
  <si>
    <t>OTTR</t>
  </si>
  <si>
    <t>AON</t>
  </si>
  <si>
    <t>PAYX</t>
  </si>
  <si>
    <t>SBUX</t>
  </si>
  <si>
    <t>ASML</t>
  </si>
  <si>
    <t>TRSWF</t>
  </si>
  <si>
    <t>VALE</t>
  </si>
  <si>
    <t>D</t>
  </si>
  <si>
    <t>CNP</t>
  </si>
  <si>
    <t>SKM</t>
  </si>
  <si>
    <t>DOC</t>
  </si>
  <si>
    <t>CMI</t>
  </si>
  <si>
    <t>TXN</t>
  </si>
  <si>
    <t>ERIC</t>
  </si>
  <si>
    <t>RCI</t>
  </si>
  <si>
    <t>CBRL</t>
  </si>
  <si>
    <t>AVB</t>
  </si>
  <si>
    <t>PPL</t>
  </si>
  <si>
    <t>SO</t>
  </si>
  <si>
    <t>DUK</t>
  </si>
  <si>
    <t>KLAC</t>
  </si>
  <si>
    <t>UL</t>
  </si>
  <si>
    <t>STZ</t>
  </si>
  <si>
    <t>AEP</t>
  </si>
  <si>
    <t>QCOM</t>
  </si>
  <si>
    <t>MA</t>
  </si>
  <si>
    <t>V</t>
  </si>
  <si>
    <t>CCI</t>
  </si>
  <si>
    <t>BEP</t>
  </si>
  <si>
    <t>PCAR</t>
  </si>
  <si>
    <t>GIS</t>
  </si>
  <si>
    <t>DLR</t>
  </si>
  <si>
    <t>FLO</t>
  </si>
  <si>
    <t>ACN</t>
  </si>
  <si>
    <t>WEC</t>
  </si>
  <si>
    <t>WDC</t>
  </si>
  <si>
    <t>DIS</t>
  </si>
  <si>
    <t>FAST</t>
  </si>
  <si>
    <t>CPB</t>
  </si>
  <si>
    <t>CHRW</t>
  </si>
  <si>
    <t>LOGI</t>
  </si>
  <si>
    <t>CME</t>
  </si>
  <si>
    <t>NVDA</t>
  </si>
  <si>
    <t>MRVL</t>
  </si>
  <si>
    <t>TIF</t>
  </si>
  <si>
    <t>UHT</t>
  </si>
  <si>
    <t>OMI</t>
  </si>
  <si>
    <t>SNE</t>
  </si>
  <si>
    <t>RACE</t>
  </si>
  <si>
    <t>NEM</t>
  </si>
  <si>
    <t>TRI</t>
  </si>
  <si>
    <t>AUY</t>
  </si>
  <si>
    <t>GOLD</t>
  </si>
  <si>
    <t>MAC</t>
  </si>
  <si>
    <t>CHRRF</t>
  </si>
  <si>
    <t>SVC</t>
  </si>
  <si>
    <t>GEL</t>
  </si>
  <si>
    <t>CLDT</t>
  </si>
  <si>
    <t>EPR</t>
  </si>
  <si>
    <t>TRGP</t>
  </si>
  <si>
    <t>SCGLY</t>
  </si>
  <si>
    <t>IVZ</t>
  </si>
  <si>
    <t>SPG</t>
  </si>
  <si>
    <t>DHC</t>
  </si>
  <si>
    <t>BRX</t>
  </si>
  <si>
    <t>BNPQF</t>
  </si>
  <si>
    <t>C</t>
  </si>
  <si>
    <t>SYF</t>
  </si>
  <si>
    <t>CCL</t>
  </si>
  <si>
    <t>OUT</t>
  </si>
  <si>
    <t>KSS</t>
  </si>
  <si>
    <t>TPR</t>
  </si>
  <si>
    <t>LB</t>
  </si>
  <si>
    <t>M</t>
  </si>
  <si>
    <t>SAXPY</t>
  </si>
  <si>
    <t>ALLY</t>
  </si>
  <si>
    <t>HST</t>
  </si>
  <si>
    <t>CTL</t>
  </si>
  <si>
    <t>ET</t>
  </si>
  <si>
    <t>USB</t>
  </si>
  <si>
    <t>MIC</t>
  </si>
  <si>
    <t>WELL</t>
  </si>
  <si>
    <t>IMBBY</t>
  </si>
  <si>
    <t>HSBC</t>
  </si>
  <si>
    <t>BAC</t>
  </si>
  <si>
    <t>WPP</t>
  </si>
  <si>
    <t>NWL</t>
  </si>
  <si>
    <t>TEF</t>
  </si>
  <si>
    <t>UBS</t>
  </si>
  <si>
    <t>HEP</t>
  </si>
  <si>
    <t>IRM</t>
  </si>
  <si>
    <t>NTAP</t>
  </si>
  <si>
    <t>CHL</t>
  </si>
  <si>
    <t>JPM</t>
  </si>
  <si>
    <t>SUUIF</t>
  </si>
  <si>
    <t>CNA</t>
  </si>
  <si>
    <t>XRX</t>
  </si>
  <si>
    <t>ABEV</t>
  </si>
  <si>
    <t>NTR</t>
  </si>
  <si>
    <t>OPI</t>
  </si>
  <si>
    <t>LTC</t>
  </si>
  <si>
    <t>AXS</t>
  </si>
  <si>
    <t>PSO</t>
  </si>
  <si>
    <t>STAG</t>
  </si>
  <si>
    <t>OHI</t>
  </si>
  <si>
    <t>BXP</t>
  </si>
  <si>
    <t>CWCO</t>
  </si>
  <si>
    <t>LYB</t>
  </si>
  <si>
    <t>UBA</t>
  </si>
  <si>
    <t>PDCO</t>
  </si>
  <si>
    <t>HAS</t>
  </si>
  <si>
    <t>GNL</t>
  </si>
  <si>
    <t>KMI</t>
  </si>
  <si>
    <t>MCY</t>
  </si>
  <si>
    <t>PFE</t>
  </si>
  <si>
    <t>GLW</t>
  </si>
  <si>
    <t>WMB</t>
  </si>
  <si>
    <t>NOK</t>
  </si>
  <si>
    <t>NYCB</t>
  </si>
  <si>
    <t>WRK</t>
  </si>
  <si>
    <t>CF</t>
  </si>
  <si>
    <t>MPW</t>
  </si>
  <si>
    <t>JCI</t>
  </si>
  <si>
    <t>PEAK</t>
  </si>
  <si>
    <t>CODI</t>
  </si>
  <si>
    <t>NLSN</t>
  </si>
  <si>
    <t>SAN</t>
  </si>
  <si>
    <t>TRP</t>
  </si>
  <si>
    <t>DTEGY</t>
  </si>
  <si>
    <t>PM</t>
  </si>
  <si>
    <t>BHP</t>
  </si>
  <si>
    <t>DD</t>
  </si>
  <si>
    <t>WDR</t>
  </si>
  <si>
    <t>AVGO</t>
  </si>
  <si>
    <t>AMCR</t>
  </si>
  <si>
    <t>DREUF</t>
  </si>
  <si>
    <t>LAMR</t>
  </si>
  <si>
    <t>PHG</t>
  </si>
  <si>
    <t>STX</t>
  </si>
  <si>
    <t>TS</t>
  </si>
  <si>
    <t>GSK</t>
  </si>
  <si>
    <t>LAZ</t>
  </si>
  <si>
    <t>TCP</t>
  </si>
  <si>
    <t>TT</t>
  </si>
  <si>
    <t>KHC</t>
  </si>
  <si>
    <t>HRB</t>
  </si>
  <si>
    <t>TSM</t>
  </si>
  <si>
    <t>EXC</t>
  </si>
  <si>
    <t>ALV</t>
  </si>
  <si>
    <t>OGZPY</t>
  </si>
  <si>
    <t>GRP-UN</t>
  </si>
  <si>
    <t>DRETF</t>
  </si>
  <si>
    <t>GRMN</t>
  </si>
  <si>
    <t>ESS</t>
  </si>
  <si>
    <t>PKX</t>
  </si>
  <si>
    <t>WEN</t>
  </si>
  <si>
    <t>EQR</t>
  </si>
  <si>
    <t>COR</t>
  </si>
  <si>
    <t>FLR</t>
  </si>
  <si>
    <t>DEA</t>
  </si>
  <si>
    <t>RIO</t>
  </si>
  <si>
    <t>SCHL</t>
  </si>
  <si>
    <t>CAG</t>
  </si>
  <si>
    <t>HMC</t>
  </si>
  <si>
    <t>ETN</t>
  </si>
  <si>
    <t>IR</t>
  </si>
  <si>
    <t>LM</t>
  </si>
  <si>
    <t>AZN</t>
  </si>
  <si>
    <t>WPM</t>
  </si>
  <si>
    <t>KLIC</t>
  </si>
  <si>
    <t>CIM</t>
  </si>
  <si>
    <t>BPY</t>
  </si>
  <si>
    <t>OXY</t>
  </si>
  <si>
    <t>ALARF</t>
  </si>
  <si>
    <t>LUV</t>
  </si>
  <si>
    <t>WSR</t>
  </si>
  <si>
    <t>SCM</t>
  </si>
  <si>
    <t>USAC</t>
  </si>
  <si>
    <t>LADR</t>
  </si>
  <si>
    <t>CPTA</t>
  </si>
  <si>
    <t>SSREY</t>
  </si>
  <si>
    <t>PACW</t>
  </si>
  <si>
    <t>WFC</t>
  </si>
  <si>
    <t>TWO</t>
  </si>
  <si>
    <t>KEY</t>
  </si>
  <si>
    <t>SPH</t>
  </si>
  <si>
    <t>FCAU</t>
  </si>
  <si>
    <t>OLN</t>
  </si>
  <si>
    <t>CAKE</t>
  </si>
  <si>
    <t>DDAIF</t>
  </si>
  <si>
    <t>SFL</t>
  </si>
  <si>
    <t>FTI</t>
  </si>
  <si>
    <t>TOT</t>
  </si>
  <si>
    <t>MPC</t>
  </si>
  <si>
    <t>BP</t>
  </si>
  <si>
    <t>OZK</t>
  </si>
  <si>
    <t>HBAN</t>
  </si>
  <si>
    <t>VER</t>
  </si>
  <si>
    <t>RDS.B</t>
  </si>
  <si>
    <t>ALK</t>
  </si>
  <si>
    <t>SNP</t>
  </si>
  <si>
    <t>UFS</t>
  </si>
  <si>
    <t>DIN</t>
  </si>
  <si>
    <t>R</t>
  </si>
  <si>
    <t>HAL</t>
  </si>
  <si>
    <t>AM</t>
  </si>
  <si>
    <t>HFC</t>
  </si>
  <si>
    <t>F</t>
  </si>
  <si>
    <t>INN</t>
  </si>
  <si>
    <t>GLAD</t>
  </si>
  <si>
    <t>XOM</t>
  </si>
  <si>
    <t>APLE</t>
  </si>
  <si>
    <t>LMRK</t>
  </si>
  <si>
    <t>ARI</t>
  </si>
  <si>
    <t>CEO</t>
  </si>
  <si>
    <t>LVS</t>
  </si>
  <si>
    <t>SPKE</t>
  </si>
  <si>
    <t>PSEC</t>
  </si>
  <si>
    <t>RRD</t>
  </si>
  <si>
    <t>BMWYY</t>
  </si>
  <si>
    <t>IMO</t>
  </si>
  <si>
    <t>BKR</t>
  </si>
  <si>
    <t>BA</t>
  </si>
  <si>
    <t>PSX</t>
  </si>
  <si>
    <t>DOW</t>
  </si>
  <si>
    <t>ABR</t>
  </si>
  <si>
    <t>SLB</t>
  </si>
  <si>
    <t>DAL</t>
  </si>
  <si>
    <t>AB</t>
  </si>
  <si>
    <t>VGR</t>
  </si>
  <si>
    <t>ARR</t>
  </si>
  <si>
    <t>MGP</t>
  </si>
  <si>
    <t>APAM</t>
  </si>
  <si>
    <t>CVX</t>
  </si>
  <si>
    <t>GAIN</t>
  </si>
  <si>
    <t>KIM</t>
  </si>
  <si>
    <t>HTA</t>
  </si>
  <si>
    <t>NRZ</t>
  </si>
  <si>
    <t>VLO</t>
  </si>
  <si>
    <t>SIX</t>
  </si>
  <si>
    <t>PTR</t>
  </si>
  <si>
    <t>BCE</t>
  </si>
  <si>
    <t>SBR</t>
  </si>
  <si>
    <t>WY</t>
  </si>
  <si>
    <t>MAIN</t>
  </si>
  <si>
    <t>ABB</t>
  </si>
  <si>
    <t>GOOD</t>
  </si>
  <si>
    <t>CRT</t>
  </si>
  <si>
    <t>AQN</t>
  </si>
  <si>
    <t>HOG</t>
  </si>
  <si>
    <t>AAL</t>
  </si>
  <si>
    <t>FUN</t>
  </si>
  <si>
    <t>SJR</t>
  </si>
  <si>
    <t>COP</t>
  </si>
  <si>
    <t>QSR</t>
  </si>
  <si>
    <t>FCX</t>
  </si>
  <si>
    <t>ARCC</t>
  </si>
  <si>
    <t>GLPI</t>
  </si>
  <si>
    <t>IP</t>
  </si>
  <si>
    <t>PRT</t>
  </si>
  <si>
    <t>HA</t>
  </si>
  <si>
    <t>HP</t>
  </si>
  <si>
    <t>BGS</t>
  </si>
  <si>
    <t>DX</t>
  </si>
  <si>
    <t>E</t>
  </si>
  <si>
    <t>APTV</t>
  </si>
  <si>
    <t>BXMT</t>
  </si>
  <si>
    <t>AGNC</t>
  </si>
  <si>
    <t>BBBY</t>
  </si>
  <si>
    <t>PBA</t>
  </si>
  <si>
    <t>VET</t>
  </si>
  <si>
    <t>HTGC</t>
  </si>
  <si>
    <t>EQM</t>
  </si>
  <si>
    <t>PTEN</t>
  </si>
  <si>
    <t>LAND</t>
  </si>
  <si>
    <t>PPRQF</t>
  </si>
  <si>
    <t>BX</t>
  </si>
  <si>
    <t>CAJ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</si>
  <si>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</si>
  <si>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</si>
  <si>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</si>
  <si>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</si>
  <si>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</si>
  <si>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</si>
  <si>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</si>
  <si>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</si>
  <si>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</si>
  <si>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</si>
  <si>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</si>
  <si>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</si>
  <si>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UAL</t>
  </si>
  <si>
    <t>CMA</t>
  </si>
  <si>
    <t>BRK.B</t>
  </si>
  <si>
    <t>NSANY</t>
  </si>
  <si>
    <t>BABA</t>
  </si>
  <si>
    <t>TKGBY</t>
  </si>
  <si>
    <t>CARR</t>
  </si>
  <si>
    <t>FB</t>
  </si>
  <si>
    <t>ORC</t>
  </si>
  <si>
    <t>NFLX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</si>
  <si>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</si>
  <si>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</si>
  <si>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</si>
  <si>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</si>
  <si>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</si>
  <si>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</si>
  <si>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</si>
  <si>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</si>
  <si>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</si>
  <si>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</si>
  <si>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</si>
  <si>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</si>
  <si>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</si>
  <si>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</si>
  <si>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</si>
  <si>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</si>
  <si>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</si>
  <si>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</si>
  <si>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</si>
  <si>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</si>
  <si>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</si>
  <si>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</si>
  <si>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</si>
  <si>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</si>
  <si>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</si>
  <si>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</si>
  <si>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</si>
  <si>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</si>
  <si>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</si>
  <si>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</si>
  <si>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</si>
  <si>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</si>
  <si>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</si>
  <si>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</si>
  <si>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Jonathan Weber</t>
  </si>
  <si>
    <t>Aristofanis Papadatos</t>
  </si>
  <si>
    <t>Prakash Kolli</t>
  </si>
  <si>
    <t>Samuel Smith</t>
  </si>
  <si>
    <t>Quinn Mohammed</t>
  </si>
  <si>
    <t>Felix Martinez</t>
  </si>
  <si>
    <t>Josh Arnold</t>
  </si>
  <si>
    <t>Kay Ng</t>
  </si>
  <si>
    <t>Katherine Peach</t>
  </si>
  <si>
    <t>Sameul Smith</t>
  </si>
  <si>
    <t>United States</t>
  </si>
  <si>
    <t>United Kingdom</t>
  </si>
  <si>
    <t>Switzerland</t>
  </si>
  <si>
    <t>Germany</t>
  </si>
  <si>
    <t>China</t>
  </si>
  <si>
    <t>Ireland</t>
  </si>
  <si>
    <t>Canada</t>
  </si>
  <si>
    <t>Bermuda</t>
  </si>
  <si>
    <t>Spain</t>
  </si>
  <si>
    <t>India</t>
  </si>
  <si>
    <t>Denmark</t>
  </si>
  <si>
    <t>Brazil</t>
  </si>
  <si>
    <t>The Netherlands</t>
  </si>
  <si>
    <t>Luxembourg</t>
  </si>
  <si>
    <t>Belgium</t>
  </si>
  <si>
    <t>Mexico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</si>
  <si>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</si>
  <si>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</si>
  <si>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</si>
  <si>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</si>
  <si>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</si>
  <si>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</si>
  <si>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</si>
  <si>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</si>
  <si>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</si>
  <si>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</si>
  <si>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</si>
  <si>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</si>
  <si>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</si>
  <si>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</si>
  <si>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</si>
  <si>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</si>
  <si>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</si>
  <si>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</si>
  <si>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</si>
  <si>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</si>
  <si>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H. Chris Killingstad</t>
  </si>
  <si>
    <t>Jean R. Hale</t>
  </si>
  <si>
    <t>Thomas W. Florsheim</t>
  </si>
  <si>
    <t>Raymond M. Thompson</t>
  </si>
  <si>
    <t>Stefano Pessina</t>
  </si>
  <si>
    <t>Donald C. Wood</t>
  </si>
  <si>
    <t>Alan B. Colberg</t>
  </si>
  <si>
    <t>John P. Clancy</t>
  </si>
  <si>
    <t>Brandon Craig Lorey</t>
  </si>
  <si>
    <t>Jennifer M. Johnson</t>
  </si>
  <si>
    <t>John L. Stauch</t>
  </si>
  <si>
    <t>Scott C. Donnelly</t>
  </si>
  <si>
    <t>Phebe N. Novakovic</t>
  </si>
  <si>
    <t>LeRoy T. Carlson</t>
  </si>
  <si>
    <t>James J. Owens</t>
  </si>
  <si>
    <t>Evan G. Greenberg</t>
  </si>
  <si>
    <t>Rice Powell</t>
  </si>
  <si>
    <t>Steven E. Rendle</t>
  </si>
  <si>
    <t>David R. Harlow</t>
  </si>
  <si>
    <t>Thomas Ewart Faust</t>
  </si>
  <si>
    <t>David P. Bauer</t>
  </si>
  <si>
    <t>Juan Ricardo Luciano</t>
  </si>
  <si>
    <t>D. Christian Koch</t>
  </si>
  <si>
    <t>Ming Zhe Ma / Yong Lin Xie / Xin Ying Chen / Sin Ying Tan</t>
  </si>
  <si>
    <t>Brian Scott Tyler</t>
  </si>
  <si>
    <t>William M. Brown</t>
  </si>
  <si>
    <t>Kevin Hourican</t>
  </si>
  <si>
    <t>Christopher J. Murphy</t>
  </si>
  <si>
    <t>Steven J. Johnston</t>
  </si>
  <si>
    <t>Richard A. Gonzalez</t>
  </si>
  <si>
    <t>Scott M. Cattanach</t>
  </si>
  <si>
    <t>Kathy J. Warden</t>
  </si>
  <si>
    <t>Robert Howard Coker</t>
  </si>
  <si>
    <t>Michael H. McGarry</t>
  </si>
  <si>
    <t>Ernie L. Herrman</t>
  </si>
  <si>
    <t>Christian Klein</t>
  </si>
  <si>
    <t>Daniel Paul Amos</t>
  </si>
  <si>
    <t>Kent A. Steinwert</t>
  </si>
  <si>
    <t>Barbara Rentler</t>
  </si>
  <si>
    <t>Joseph F. Hanna</t>
  </si>
  <si>
    <t>Paul D. Donahue</t>
  </si>
  <si>
    <t>Kevin J. Wheeler</t>
  </si>
  <si>
    <t>Thomas L. Williams</t>
  </si>
  <si>
    <t>Linden R. Evans</t>
  </si>
  <si>
    <t>Safra Ada Catz</t>
  </si>
  <si>
    <t>J. Michael Nauman</t>
  </si>
  <si>
    <t>Alfred P. West</t>
  </si>
  <si>
    <t>Murray S. Kessler</t>
  </si>
  <si>
    <t>Carlos A. Rodriguez</t>
  </si>
  <si>
    <t>Keith Edward Creel</t>
  </si>
  <si>
    <t>James M. Loree</t>
  </si>
  <si>
    <t>Scott Salmirs</t>
  </si>
  <si>
    <t>Michael C. Kaufmann</t>
  </si>
  <si>
    <t>Vasant Narasimhan</t>
  </si>
  <si>
    <t>Kevin A. Lobo</t>
  </si>
  <si>
    <t>David N. Farr</t>
  </si>
  <si>
    <t>Michael F. Roman</t>
  </si>
  <si>
    <t>Richard Joseph Tobin</t>
  </si>
  <si>
    <t>Jeffrey M. Szyperski</t>
  </si>
  <si>
    <t>David Scott Wichmann</t>
  </si>
  <si>
    <t>Steven H. Collis</t>
  </si>
  <si>
    <t>Tod E. Carpenter</t>
  </si>
  <si>
    <t>J. Kevin Akers</t>
  </si>
  <si>
    <t>James M. Foote</t>
  </si>
  <si>
    <t>Geoffrey Straub Martha</t>
  </si>
  <si>
    <t>Brian C. Cornell</t>
  </si>
  <si>
    <t>Thomas R. Greco</t>
  </si>
  <si>
    <t>Jeffrey S. Gorman</t>
  </si>
  <si>
    <t>Jerry Kent Masters</t>
  </si>
  <si>
    <t>William Joseph Stromberg</t>
  </si>
  <si>
    <t>Richard E. Allison</t>
  </si>
  <si>
    <t>Donald G. Macpherson</t>
  </si>
  <si>
    <t>Thomas E. Polen</t>
  </si>
  <si>
    <t>J. Powell Brown</t>
  </si>
  <si>
    <t>Marvin R. Ellison</t>
  </si>
  <si>
    <t>Michael D. Hsu</t>
  </si>
  <si>
    <t>Gregg C. Sengstack</t>
  </si>
  <si>
    <t>Eric W. Thornburg</t>
  </si>
  <si>
    <t>Douglas L. Peterson</t>
  </si>
  <si>
    <t>Matthew Thomas Farrell</t>
  </si>
  <si>
    <t>Norman L. Lowery</t>
  </si>
  <si>
    <t>Alex Gorsky</t>
  </si>
  <si>
    <t>Nishan J. Vartanian</t>
  </si>
  <si>
    <t>Todd J. Vasos</t>
  </si>
  <si>
    <t>Jeffrey S. Musser</t>
  </si>
  <si>
    <t>David S. Taylor</t>
  </si>
  <si>
    <t>W. Rodney McMullen</t>
  </si>
  <si>
    <t>Robert B. Ford</t>
  </si>
  <si>
    <t>Ellen R. Gordon</t>
  </si>
  <si>
    <t>Frank C. Sullivan</t>
  </si>
  <si>
    <t>Raymond W. McDaniel</t>
  </si>
  <si>
    <t>Noel R. Wallace</t>
  </si>
  <si>
    <t>Stephan B. Tanda</t>
  </si>
  <si>
    <t>David Hugo Anderson</t>
  </si>
  <si>
    <t>David Alan Ciesinski</t>
  </si>
  <si>
    <t>Steven A. Powless</t>
  </si>
  <si>
    <t>Walter Craig Jelinek</t>
  </si>
  <si>
    <t>John George Morikis</t>
  </si>
  <si>
    <t>Jeffrey M. Keebler</t>
  </si>
  <si>
    <t>Timothy Donald Cook</t>
  </si>
  <si>
    <t>Sundaram Nagarajan</t>
  </si>
  <si>
    <t>C. Douglas McMillon</t>
  </si>
  <si>
    <t>Lawrence Erik Kurzius</t>
  </si>
  <si>
    <t>Laurence Neil Hunn</t>
  </si>
  <si>
    <t>Douglas M. Baker</t>
  </si>
  <si>
    <t>F. Quinn Stepan</t>
  </si>
  <si>
    <t>Scott Douglas Farmer</t>
  </si>
  <si>
    <t>Robert J. Sprowls</t>
  </si>
  <si>
    <t>Dennis W. Doll</t>
  </si>
  <si>
    <t>James P. Snee</t>
  </si>
  <si>
    <t>Lawson E. Whiting</t>
  </si>
  <si>
    <t>Kenneth C. Bockhorst</t>
  </si>
  <si>
    <t>Martin A. Kropelnicki</t>
  </si>
  <si>
    <t>Jonathan E. Michael</t>
  </si>
  <si>
    <t>David B. Foss</t>
  </si>
  <si>
    <t>Eric Mark Green</t>
  </si>
  <si>
    <t>Steven B. Tanger</t>
  </si>
  <si>
    <t>Darren Entwistle</t>
  </si>
  <si>
    <t>W. Randall Fowler / A. James Teague</t>
  </si>
  <si>
    <t>Mark S. Little</t>
  </si>
  <si>
    <t>Paul Anthony Mahon</t>
  </si>
  <si>
    <t>Darryl White</t>
  </si>
  <si>
    <t>Brian Johnston Porter</t>
  </si>
  <si>
    <t>Richard A. Johnson</t>
  </si>
  <si>
    <t>Bharat B. Masrani</t>
  </si>
  <si>
    <t>Dean A. Connor</t>
  </si>
  <si>
    <t>Joseph Kim</t>
  </si>
  <si>
    <t>Victor Dodig</t>
  </si>
  <si>
    <t>David Ian McKay</t>
  </si>
  <si>
    <t>Marc Parent</t>
  </si>
  <si>
    <t>Stephen J. Squeri</t>
  </si>
  <si>
    <t>John L. Walsh</t>
  </si>
  <si>
    <t>Louis Vachon</t>
  </si>
  <si>
    <t>Michel A. Khalaf</t>
  </si>
  <si>
    <t>Randall L. Stephenson</t>
  </si>
  <si>
    <t>Richard M. Olson</t>
  </si>
  <si>
    <t>John D. Wren</t>
  </si>
  <si>
    <t>John P. Barnes</t>
  </si>
  <si>
    <t>Frederick Wallace Smith</t>
  </si>
  <si>
    <t>William F. Gifford</t>
  </si>
  <si>
    <t>David E. Zalman</t>
  </si>
  <si>
    <t>Brian L. Roberts</t>
  </si>
  <si>
    <t>Brian J. Humphries</t>
  </si>
  <si>
    <t>Juan C. Andrade</t>
  </si>
  <si>
    <t>Marc Robert Bitzer</t>
  </si>
  <si>
    <t>Leonard A. Comma</t>
  </si>
  <si>
    <t>Erik David Gershwind</t>
  </si>
  <si>
    <t>Werner Baumann</t>
  </si>
  <si>
    <t>Marillyn A. Hewson</t>
  </si>
  <si>
    <t>Lachlan Keith Murdoch</t>
  </si>
  <si>
    <t>C. Michael Petters</t>
  </si>
  <si>
    <t>Phillip D. Green</t>
  </si>
  <si>
    <t>Gary E. Dickerson</t>
  </si>
  <si>
    <t>Larry J. Merlo</t>
  </si>
  <si>
    <t>Jeffrey Walker Martin</t>
  </si>
  <si>
    <t>Alan D. Schnitzer</t>
  </si>
  <si>
    <t>Giovanni Caforio</t>
  </si>
  <si>
    <t>Noel W. White</t>
  </si>
  <si>
    <t>Brian A. Napack</t>
  </si>
  <si>
    <t>Roberto Garcia Merino</t>
  </si>
  <si>
    <t>Charles H. Robbins</t>
  </si>
  <si>
    <t>David L. Goodin</t>
  </si>
  <si>
    <t>Patrick K. Decker</t>
  </si>
  <si>
    <t>David L. Hoffmann</t>
  </si>
  <si>
    <t>Robert James Gamgort</t>
  </si>
  <si>
    <t>Hans Erik Vestberg</t>
  </si>
  <si>
    <t>Barry V. Perry</t>
  </si>
  <si>
    <t>Darius Adamczyk</t>
  </si>
  <si>
    <t>Pedro J. Pizarro</t>
  </si>
  <si>
    <t>Jeffrey Craig Sprecher</t>
  </si>
  <si>
    <t>Arvind Krishna</t>
  </si>
  <si>
    <t>James L. Robo</t>
  </si>
  <si>
    <t>George C. Freeman</t>
  </si>
  <si>
    <t>John O. Larsen</t>
  </si>
  <si>
    <t>Dirk van de Put</t>
  </si>
  <si>
    <t>James A. Squires</t>
  </si>
  <si>
    <t>Ivan M. Menezes</t>
  </si>
  <si>
    <t>James Quincey</t>
  </si>
  <si>
    <t>Liam K. Griffin</t>
  </si>
  <si>
    <t>Robert Holmes Swan</t>
  </si>
  <si>
    <t>John C. May</t>
  </si>
  <si>
    <t>Salil S. Parekh</t>
  </si>
  <si>
    <t>Nicholas T. Pinchuk</t>
  </si>
  <si>
    <t>Hikmet Ersek</t>
  </si>
  <si>
    <t>Daniel P. O'Day</t>
  </si>
  <si>
    <t>Richard M. Adams</t>
  </si>
  <si>
    <t>Kenneth C. Frazier</t>
  </si>
  <si>
    <t>Robert A. Bradway</t>
  </si>
  <si>
    <t>Dian C. Taylor</t>
  </si>
  <si>
    <t>Lance M. Fritz</t>
  </si>
  <si>
    <t>Thomas J. Murphy</t>
  </si>
  <si>
    <t>Mark T. Smucker</t>
  </si>
  <si>
    <t>Patrick J. Gallagher</t>
  </si>
  <si>
    <t>Mark E. Tryniski</t>
  </si>
  <si>
    <t>John J. McAvoy</t>
  </si>
  <si>
    <t>Craig A. Menear</t>
  </si>
  <si>
    <t>Michele G. Buck</t>
  </si>
  <si>
    <t>Jamie Iannone</t>
  </si>
  <si>
    <t>John W. Kemper</t>
  </si>
  <si>
    <t>Jean-Jacques Ruest</t>
  </si>
  <si>
    <t>Stephen S. Romaine</t>
  </si>
  <si>
    <t>Leo P. Denault</t>
  </si>
  <si>
    <t>Stephen F. Angel</t>
  </si>
  <si>
    <t>Ernest Scott Santi</t>
  </si>
  <si>
    <t>Laurence Douglas Fink</t>
  </si>
  <si>
    <t>Steven A. Cahillane</t>
  </si>
  <si>
    <t>Christopher Kempczinski</t>
  </si>
  <si>
    <t>Corie Sue Barry</t>
  </si>
  <si>
    <t>Ulf Mark Schneider</t>
  </si>
  <si>
    <t>Andreas Fibig</t>
  </si>
  <si>
    <t>David L. Payne</t>
  </si>
  <si>
    <t>Ramon Luis Laguarta</t>
  </si>
  <si>
    <t>Lars Fruergaard Jørgensen</t>
  </si>
  <si>
    <t>Leon J. Topalian</t>
  </si>
  <si>
    <t>Blake D. Moret</t>
  </si>
  <si>
    <t>Horacio D. Rozanski</t>
  </si>
  <si>
    <t>Christopher H. Franklin</t>
  </si>
  <si>
    <t>James Bruce Flatt</t>
  </si>
  <si>
    <t>James C. Fish</t>
  </si>
  <si>
    <t>Michael J. Farrell</t>
  </si>
  <si>
    <t>Thomas A. Bartlett</t>
  </si>
  <si>
    <t>Benjamin G. S. Fowke</t>
  </si>
  <si>
    <t>Satya Nadella</t>
  </si>
  <si>
    <t>Kunal Kapoor</t>
  </si>
  <si>
    <t>John J. Donahoe</t>
  </si>
  <si>
    <t>Seifollah Ghasemi</t>
  </si>
  <si>
    <t>Timothy G. NeCastro</t>
  </si>
  <si>
    <t>Gregory A. Sandfort / Harry A. Lawton</t>
  </si>
  <si>
    <t>Laura Jean Alber</t>
  </si>
  <si>
    <t>Benno O. Dorer</t>
  </si>
  <si>
    <t>David A. Ricks</t>
  </si>
  <si>
    <t>David John Schulte</t>
  </si>
  <si>
    <t>Richard D. Fain</t>
  </si>
  <si>
    <t>Stephen Murdoch</t>
  </si>
  <si>
    <t>Thomas H. Harty</t>
  </si>
  <si>
    <t>Robert Marc Bakish</t>
  </si>
  <si>
    <t>Roberto da Cunha Castello Branco</t>
  </si>
  <si>
    <t>Christian P. Bayle</t>
  </si>
  <si>
    <t>Scott H. Baxter</t>
  </si>
  <si>
    <t>Eilard Friese</t>
  </si>
  <si>
    <t>Roger C. Hochschild</t>
  </si>
  <si>
    <t>Kelly S. King</t>
  </si>
  <si>
    <t>Ian C. Dundas</t>
  </si>
  <si>
    <t>Sonia Syngal</t>
  </si>
  <si>
    <t>Richard K. Matros</t>
  </si>
  <si>
    <t>Debra A. Cafaro</t>
  </si>
  <si>
    <t>Daniel Joseph Houston</t>
  </si>
  <si>
    <t>Christopher H. Volk</t>
  </si>
  <si>
    <t>Lakshmi Niwas Mittal</t>
  </si>
  <si>
    <t>Terry K. Spencer</t>
  </si>
  <si>
    <t>John F. Remondi</t>
  </si>
  <si>
    <t>Donald J. Walker</t>
  </si>
  <si>
    <t>Charlie F. Lowrey</t>
  </si>
  <si>
    <t>Clay C. Williams</t>
  </si>
  <si>
    <t>René F. Jones</t>
  </si>
  <si>
    <t>Mary Teresa Barra</t>
  </si>
  <si>
    <t>Michael N. Mears</t>
  </si>
  <si>
    <t>Michael J. Hennigan</t>
  </si>
  <si>
    <t>Jeffrey D. Lorenger</t>
  </si>
  <si>
    <t>Karl G. Glassman</t>
  </si>
  <si>
    <t>Arne M. Sorenson</t>
  </si>
  <si>
    <t>Albert Monaco</t>
  </si>
  <si>
    <t>David Michael Solomon</t>
  </si>
  <si>
    <t>Enrique Lores</t>
  </si>
  <si>
    <t>Thomas P. Gibbons</t>
  </si>
  <si>
    <t>Carlos Alves de Brito</t>
  </si>
  <si>
    <t>Peter G. Watson</t>
  </si>
  <si>
    <t>H. Lawrence Culp</t>
  </si>
  <si>
    <t>David P. Abney</t>
  </si>
  <si>
    <t>Craig R. Smiddy</t>
  </si>
  <si>
    <t>John C. Butler</t>
  </si>
  <si>
    <t>Gavin D. K. Hattersley</t>
  </si>
  <si>
    <t>Sumit Roy</t>
  </si>
  <si>
    <t>Samuel J. B. Pollock</t>
  </si>
  <si>
    <t>Erik B. Nordstrom</t>
  </si>
  <si>
    <t>Julian E. Whitehurst</t>
  </si>
  <si>
    <t>Gerald W. Evans</t>
  </si>
  <si>
    <t>Mariner Kemper</t>
  </si>
  <si>
    <t>Timothy M. Archer</t>
  </si>
  <si>
    <t>William Thomas Dillard</t>
  </si>
  <si>
    <t>Scott Wellington Wine</t>
  </si>
  <si>
    <t>Thomas Joseph Wilson</t>
  </si>
  <si>
    <t>Gregory J. Hayes</t>
  </si>
  <si>
    <t>Christian Bruch</t>
  </si>
  <si>
    <t>Wilson R. Jones</t>
  </si>
  <si>
    <t>Gerardo Norcia</t>
  </si>
  <si>
    <t>Jason E. Fox</t>
  </si>
  <si>
    <t>Daniel Hajj Aboumrad</t>
  </si>
  <si>
    <t>Patrick J. Ottensmeyer</t>
  </si>
  <si>
    <t>Donald James Umpleby</t>
  </si>
  <si>
    <t>Jack Marie Henry David Bowles</t>
  </si>
  <si>
    <t>David W. Gibbs</t>
  </si>
  <si>
    <t>Paul Hudson</t>
  </si>
  <si>
    <t>Joseph D. Russell</t>
  </si>
  <si>
    <t>Akio Toyoda</t>
  </si>
  <si>
    <t>Robert S. Taubman</t>
  </si>
  <si>
    <t>Charles S. MacFarlane</t>
  </si>
  <si>
    <t>Gregory C. Case</t>
  </si>
  <si>
    <t>Martin Mucci</t>
  </si>
  <si>
    <t>Kevin R. Johnson</t>
  </si>
  <si>
    <t>Peter T. F. M. Wennink</t>
  </si>
  <si>
    <t>Eduardo Bartolomeo</t>
  </si>
  <si>
    <t>Thomas F. Farrell</t>
  </si>
  <si>
    <t>John W. Somerhalder</t>
  </si>
  <si>
    <t>Jung-Ho Park</t>
  </si>
  <si>
    <t>John T. Thomas</t>
  </si>
  <si>
    <t>Norman Thomas Linebarger</t>
  </si>
  <si>
    <t>Richard K. Templeton</t>
  </si>
  <si>
    <t>Erik Börje Ekholm</t>
  </si>
  <si>
    <t>Joseph M. Natale</t>
  </si>
  <si>
    <t>Sandra B. Cochran</t>
  </si>
  <si>
    <t>Timothy J. Naughton</t>
  </si>
  <si>
    <t>William Harold Spence</t>
  </si>
  <si>
    <t>Thomas A. Fanning</t>
  </si>
  <si>
    <t>Lynn J. Good</t>
  </si>
  <si>
    <t>Richard P. Wallace</t>
  </si>
  <si>
    <t>Alan Jope</t>
  </si>
  <si>
    <t>William A. Newlands</t>
  </si>
  <si>
    <t>Nicholas K. Akins</t>
  </si>
  <si>
    <t>Steven M. Mollenkopf</t>
  </si>
  <si>
    <t>Ajaypal S. Banga / Michael E. Miebach</t>
  </si>
  <si>
    <t>Alfred F. Kelly</t>
  </si>
  <si>
    <t>Jay A. Brown</t>
  </si>
  <si>
    <t>Sachin G. Shah</t>
  </si>
  <si>
    <t>Preston R. Feight</t>
  </si>
  <si>
    <t>Jeffrey L. Harmening</t>
  </si>
  <si>
    <t>Arthur William Stein</t>
  </si>
  <si>
    <t>Amos Ryals McMullian</t>
  </si>
  <si>
    <t>Julie Spellman Sweet</t>
  </si>
  <si>
    <t>Joseph Kevin Fletcher</t>
  </si>
  <si>
    <t>David V. Goeckeler</t>
  </si>
  <si>
    <t>Robert Chapek</t>
  </si>
  <si>
    <t>Daniel Lars Florness</t>
  </si>
  <si>
    <t>Mark A. Clouse</t>
  </si>
  <si>
    <t>Robert C. Biesterfeld</t>
  </si>
  <si>
    <t>Bracken P. Darrell</t>
  </si>
  <si>
    <t>Terrence A. Duffy</t>
  </si>
  <si>
    <t>Jen-Hsun Huang</t>
  </si>
  <si>
    <t>Matthew J. Murphy</t>
  </si>
  <si>
    <t>Alessandro Bogliolo</t>
  </si>
  <si>
    <t>Alan B. Miller</t>
  </si>
  <si>
    <t>Edward A. Pesicka</t>
  </si>
  <si>
    <t>Kenichiro Yoshida</t>
  </si>
  <si>
    <t>Louis C. Camilleri</t>
  </si>
  <si>
    <t>Thomas R. Palmer</t>
  </si>
  <si>
    <t>Stephen John Hasker</t>
  </si>
  <si>
    <t>Daniel Racine</t>
  </si>
  <si>
    <t>Dennis Mark Bristow</t>
  </si>
  <si>
    <t>Thomas E. O'Hern</t>
  </si>
  <si>
    <t>Joseph D. Randell</t>
  </si>
  <si>
    <t>John G. Murray</t>
  </si>
  <si>
    <t>Grant E. Sims</t>
  </si>
  <si>
    <t>Jeffrey H. Fisher</t>
  </si>
  <si>
    <t>Gregory K. Silvers</t>
  </si>
  <si>
    <t>Matthew J. Meloy</t>
  </si>
  <si>
    <t>Frédéric Oudéa</t>
  </si>
  <si>
    <t>Martin L. Flanagan</t>
  </si>
  <si>
    <t>David E. Simon</t>
  </si>
  <si>
    <t>Adam David Portnoy</t>
  </si>
  <si>
    <t>James M. Taylor</t>
  </si>
  <si>
    <t>Jean-Laurent Bonnafé</t>
  </si>
  <si>
    <t>Michael Louis Corbat</t>
  </si>
  <si>
    <t>Margaret M. Keane</t>
  </si>
  <si>
    <t>Arnold W. Donald</t>
  </si>
  <si>
    <t>Jeremy John Male</t>
  </si>
  <si>
    <t>Michelle D. Gass</t>
  </si>
  <si>
    <t>Olajide James Zeitlin</t>
  </si>
  <si>
    <t>Andrew Meslow</t>
  </si>
  <si>
    <t>Jeffrey Gennette</t>
  </si>
  <si>
    <t>Torbjörn Magnusson</t>
  </si>
  <si>
    <t>Jeffrey Jonathan Brown</t>
  </si>
  <si>
    <t>James F. Risoleo</t>
  </si>
  <si>
    <t>Jeffrey K. Storey</t>
  </si>
  <si>
    <t>Kelcy L. Warren</t>
  </si>
  <si>
    <t>Andrew J. Cecere</t>
  </si>
  <si>
    <t>Christopher Timothy Frost</t>
  </si>
  <si>
    <t>Thomas J. DeRosa</t>
  </si>
  <si>
    <t>Dominic James Brisby / Joerg Biebernick</t>
  </si>
  <si>
    <t>Noel Paul Quinn</t>
  </si>
  <si>
    <t>Brian T. Moynihan</t>
  </si>
  <si>
    <t>Mark Julian Read</t>
  </si>
  <si>
    <t>Ravichandra K. Saligram</t>
  </si>
  <si>
    <t>José María Álvarez-Pallete López</t>
  </si>
  <si>
    <t>Sergio P. Ermotti</t>
  </si>
  <si>
    <t>Michael C. Jennings</t>
  </si>
  <si>
    <t>William Leo Meaney</t>
  </si>
  <si>
    <t>George Kurian</t>
  </si>
  <si>
    <t>James Dimon</t>
  </si>
  <si>
    <t>Luc Desjardins</t>
  </si>
  <si>
    <t>Dino E. Robusto</t>
  </si>
  <si>
    <t>John Visentin</t>
  </si>
  <si>
    <t>Jereissati Jean Neto</t>
  </si>
  <si>
    <t>Charles V. Magro</t>
  </si>
  <si>
    <t>David M. Blackman / Adam David Portnoy</t>
  </si>
  <si>
    <t>Wendy L. Simpson</t>
  </si>
  <si>
    <t>Albert A. Benchimol</t>
  </si>
  <si>
    <t>John Joseph Fallon</t>
  </si>
  <si>
    <t>Benjamin S. Butcher</t>
  </si>
  <si>
    <t>Charles Taylor Pickett</t>
  </si>
  <si>
    <t>Owen D. Thomas</t>
  </si>
  <si>
    <t>Frederick W. McTaggart</t>
  </si>
  <si>
    <t>Bhavesh Vaghjibhai Patel</t>
  </si>
  <si>
    <t>Willing L. Biddle</t>
  </si>
  <si>
    <t>Mark Steven Walchirk</t>
  </si>
  <si>
    <t>Brian D. Goldner</t>
  </si>
  <si>
    <t>James Larry Nelson</t>
  </si>
  <si>
    <t>Steven J. Kean</t>
  </si>
  <si>
    <t>Gabriel Tirador</t>
  </si>
  <si>
    <t>Albert Bourla</t>
  </si>
  <si>
    <t>Wendell P. Weeks</t>
  </si>
  <si>
    <t>Alan S. Armstrong</t>
  </si>
  <si>
    <t>Rajeev Suri</t>
  </si>
  <si>
    <t>Joseph R. Ficalora</t>
  </si>
  <si>
    <t>Steven C. Voorhees</t>
  </si>
  <si>
    <t>W. Anthony Will</t>
  </si>
  <si>
    <t>Edward K. Aldag</t>
  </si>
  <si>
    <t>George R. Oliver</t>
  </si>
  <si>
    <t>Thomas M. Herzog</t>
  </si>
  <si>
    <t>Elias J. Sabo</t>
  </si>
  <si>
    <t>David W. Kenny</t>
  </si>
  <si>
    <t>José Antonio Álvarez Álvarez</t>
  </si>
  <si>
    <t>Russell K. Girling</t>
  </si>
  <si>
    <t>Timotheus Höttges</t>
  </si>
  <si>
    <t>André Calantzopoulos</t>
  </si>
  <si>
    <t>Mike Henry</t>
  </si>
  <si>
    <t>Edward D. Breen</t>
  </si>
  <si>
    <t>Philip James Sanders</t>
  </si>
  <si>
    <t>Hock E. Tan</t>
  </si>
  <si>
    <t>Ronald Stephen Delia</t>
  </si>
  <si>
    <t>Brian Pauls</t>
  </si>
  <si>
    <t>Sean Eugene Reilly</t>
  </si>
  <si>
    <t>Frans van Houten</t>
  </si>
  <si>
    <t>William David Mosley</t>
  </si>
  <si>
    <t>Paolo Rocca</t>
  </si>
  <si>
    <t>Emma N. Walmsley</t>
  </si>
  <si>
    <t>Kenneth Marc Jacobs</t>
  </si>
  <si>
    <t>Nathan A. Brown</t>
  </si>
  <si>
    <t>Michael W. Lamach</t>
  </si>
  <si>
    <t>Miguel Patricio</t>
  </si>
  <si>
    <t>Jeffrey J. Jones</t>
  </si>
  <si>
    <t>Che Chia Wei</t>
  </si>
  <si>
    <t>Christopher M. Crane</t>
  </si>
  <si>
    <t>Mikael Bratt</t>
  </si>
  <si>
    <t>Alexei Borisovich Miller</t>
  </si>
  <si>
    <t>Michael J. Cooper / P. Jane Gavan</t>
  </si>
  <si>
    <t>Clifton Albert Pemble</t>
  </si>
  <si>
    <t>Michael J. Schall</t>
  </si>
  <si>
    <t>In-Hwa Chang / Jeong-Woo Choi</t>
  </si>
  <si>
    <t>Todd A. Penegor</t>
  </si>
  <si>
    <t>Mark J. Parrell</t>
  </si>
  <si>
    <t>Paul E. Szurek</t>
  </si>
  <si>
    <t>Carlos Manuel Hernandez</t>
  </si>
  <si>
    <t>William Cattell Trimble</t>
  </si>
  <si>
    <t>Jean-Sébastien Jacques</t>
  </si>
  <si>
    <t>Richard Robinson</t>
  </si>
  <si>
    <t>Sean M. Connolly</t>
  </si>
  <si>
    <t>Takahiro Hachigo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</si>
  <si>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</si>
  <si>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</si>
  <si>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</si>
  <si>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</si>
  <si>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</si>
  <si>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</si>
  <si>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Matthew John Lambiase</t>
  </si>
  <si>
    <t>Brian William Kingston</t>
  </si>
  <si>
    <t>Vicki A. Hollub</t>
  </si>
  <si>
    <t>Stephen Walter King</t>
  </si>
  <si>
    <t>Gary C. Kelly</t>
  </si>
  <si>
    <t>James C. Mastandrea</t>
  </si>
  <si>
    <t>Rob Thomsen Ladd</t>
  </si>
  <si>
    <t>Eric Dee Long</t>
  </si>
  <si>
    <t>Brian Richard Harris</t>
  </si>
  <si>
    <t>Joe B. Alala</t>
  </si>
  <si>
    <t>Christian Mumenthaler</t>
  </si>
  <si>
    <t>Matthew P. Wagner</t>
  </si>
  <si>
    <t>Charles William Scharf</t>
  </si>
  <si>
    <t>Thomas Edwin Siering</t>
  </si>
  <si>
    <t>Christopher M. Gorman</t>
  </si>
  <si>
    <t>Michael A. Stivala</t>
  </si>
  <si>
    <t>Michael Mark Manley</t>
  </si>
  <si>
    <t>John E. Fischer</t>
  </si>
  <si>
    <t>David M. Overton</t>
  </si>
  <si>
    <t>Ola Kaellenius</t>
  </si>
  <si>
    <t>Ole Bjarte Bjarte Hjertaker</t>
  </si>
  <si>
    <t>Douglas J. Pferdehirt</t>
  </si>
  <si>
    <t>Patrick Pouyanné</t>
  </si>
  <si>
    <t>Bernard Looney</t>
  </si>
  <si>
    <t>George G. Gleason</t>
  </si>
  <si>
    <t>Stephen D. Steinour</t>
  </si>
  <si>
    <t>Glenn J. Rufrano</t>
  </si>
  <si>
    <t>Bernardus Cornelis Adriana Margriet van Beurden</t>
  </si>
  <si>
    <t>Bradley D. Tilden</t>
  </si>
  <si>
    <t>Yong Sheng Ma</t>
  </si>
  <si>
    <t>John David Williams</t>
  </si>
  <si>
    <t>Stephen P. Joyce</t>
  </si>
  <si>
    <t>Robert E. Sanchez</t>
  </si>
  <si>
    <t>Jeffrey Allen Miller</t>
  </si>
  <si>
    <t>Paul M. Rady</t>
  </si>
  <si>
    <t>James P. Hackett</t>
  </si>
  <si>
    <t>Daniel P. Hansen</t>
  </si>
  <si>
    <t>David J. Gladstone</t>
  </si>
  <si>
    <t>Darren W. Woods</t>
  </si>
  <si>
    <t>Justin G. Knight</t>
  </si>
  <si>
    <t>Arthur P. Brazy</t>
  </si>
  <si>
    <t>Stuart A. Rothstein</t>
  </si>
  <si>
    <t>Ke Qiang Xu</t>
  </si>
  <si>
    <t>Sheldon Gary Adelson</t>
  </si>
  <si>
    <t>William Keith Maxwell</t>
  </si>
  <si>
    <t>John Francis Barry</t>
  </si>
  <si>
    <t>Daniel L. Knotts</t>
  </si>
  <si>
    <t>Oliver Zipse</t>
  </si>
  <si>
    <t>Bradley W. Corson</t>
  </si>
  <si>
    <t>Lorenzo Simonelli</t>
  </si>
  <si>
    <t>David L. Calhoun</t>
  </si>
  <si>
    <t>Greg C. Garland</t>
  </si>
  <si>
    <t>James R. Fitterling</t>
  </si>
  <si>
    <t>Ivan Kaufman</t>
  </si>
  <si>
    <t>Olivier Le Peuch</t>
  </si>
  <si>
    <t>Edward Herman Bastian</t>
  </si>
  <si>
    <t>Seth Perry Bernstein</t>
  </si>
  <si>
    <t>Howard Mark Lorber</t>
  </si>
  <si>
    <t>Scott J. Ulm / Jeffrey J. Zimmer</t>
  </si>
  <si>
    <t>James C. Stewart</t>
  </si>
  <si>
    <t>Eric Richard Colson</t>
  </si>
  <si>
    <t>Michael K. Wirth</t>
  </si>
  <si>
    <t>Conor C. Flynn</t>
  </si>
  <si>
    <t>Scott D. Peters</t>
  </si>
  <si>
    <t>Michael Nierenberg</t>
  </si>
  <si>
    <t>Joseph W. Gorder</t>
  </si>
  <si>
    <t>Michael Spanos</t>
  </si>
  <si>
    <t>Mirko Bibic</t>
  </si>
  <si>
    <t>Devin W. Stockfish</t>
  </si>
  <si>
    <t>Dwayne Louis Hyzak</t>
  </si>
  <si>
    <t>Björn Klas Otto Rosengren</t>
  </si>
  <si>
    <t>Ian Edward Robertson</t>
  </si>
  <si>
    <t>Jochen Zeitz</t>
  </si>
  <si>
    <t>William Douglas Parker</t>
  </si>
  <si>
    <t>Richard A. Zimmerman</t>
  </si>
  <si>
    <t>Bradley S. Shaw</t>
  </si>
  <si>
    <t>Ryan M. Lance</t>
  </si>
  <si>
    <t>José Eduardo Cil</t>
  </si>
  <si>
    <t>Richard C. Adkerson</t>
  </si>
  <si>
    <t>R. Kipp deVeer</t>
  </si>
  <si>
    <t>Peter M. Carlino</t>
  </si>
  <si>
    <t>Mark S. Sutton</t>
  </si>
  <si>
    <t>Peter R. Ingram</t>
  </si>
  <si>
    <t>John W. Lindsay</t>
  </si>
  <si>
    <t>Kenneth G. Romanzi</t>
  </si>
  <si>
    <t>Byron L. Boston</t>
  </si>
  <si>
    <t>Claudio Descalzi</t>
  </si>
  <si>
    <t>Kevin P. Clark</t>
  </si>
  <si>
    <t>Stephen D. Plavin</t>
  </si>
  <si>
    <t>Gary D. Kain</t>
  </si>
  <si>
    <t>Mark J. Tritton</t>
  </si>
  <si>
    <t>Michael H. Dilger</t>
  </si>
  <si>
    <t>Anthony W. Marino</t>
  </si>
  <si>
    <t>Scott Bluestein</t>
  </si>
  <si>
    <t>Thomas F. Karam</t>
  </si>
  <si>
    <t>William Andrew Hendricks</t>
  </si>
  <si>
    <t>Rael L. Diamond</t>
  </si>
  <si>
    <t>Stephen Allen Schwarzman</t>
  </si>
  <si>
    <t>Fujio Mitarai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</si>
  <si>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</si>
  <si>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</si>
  <si>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</si>
  <si>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</si>
  <si>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</si>
  <si>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</si>
  <si>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</si>
  <si>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</si>
  <si>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</si>
  <si>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</si>
  <si>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</si>
  <si>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</si>
  <si>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Oscar Munoz</t>
  </si>
  <si>
    <t>Curtis Chatman Farmer</t>
  </si>
  <si>
    <t>Warren Edward Buffett</t>
  </si>
  <si>
    <t>Makoto Uchida</t>
  </si>
  <si>
    <t>Yong Zhang</t>
  </si>
  <si>
    <t>Recep Bastug</t>
  </si>
  <si>
    <t>David L. Gitlin</t>
  </si>
  <si>
    <t>Mark Elliot Zuckerberg</t>
  </si>
  <si>
    <t>Robert E. Cauley</t>
  </si>
  <si>
    <t>Wilmot Reed Hastings</t>
  </si>
  <si>
    <t>Sundar Pichai</t>
  </si>
  <si>
    <t>Jeffrey P. Bezos</t>
  </si>
  <si>
    <t>Judith F. Marks</t>
  </si>
  <si>
    <t>Elon Reeve Musk</t>
  </si>
  <si>
    <t>Financial Services</t>
  </si>
  <si>
    <t>Industrials</t>
  </si>
  <si>
    <t>Consumer Cyclical</t>
  </si>
  <si>
    <t>Healthcare</t>
  </si>
  <si>
    <t>Real Estate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</si>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</sst>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0.08154506437768201</v>
      </c>
      <c r="E2">
        <v>0.1801264965508222</v>
      </c>
      <c r="F2">
        <v>0.03</v>
      </c>
      <c r="G2">
        <v>0.2538590633975351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0.031808493195605</v>
      </c>
      <c r="E3">
        <v>0.0723868869297859</v>
      </c>
      <c r="F3">
        <v>0.08</v>
      </c>
      <c r="G3">
        <v>0.1812523408908406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HYPERLINK("https://www.suredividend.com/sure-analysis-TNC/","Tennant Co.")</f>
        <v>0</v>
      </c>
      <c r="C4" t="s">
        <v>613</v>
      </c>
      <c r="D4">
        <v>0.016949152542372</v>
      </c>
      <c r="E4">
        <v>0.07052702479558115</v>
      </c>
      <c r="F4">
        <v>0.08</v>
      </c>
      <c r="G4">
        <v>0.1669539681895138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HYPERLINK("https://www.suredividend.com/sure-analysis-CTBI/","Community Trust Bancorp, Inc. (Kentucky)")</f>
        <v>0</v>
      </c>
      <c r="C5" t="s">
        <v>613</v>
      </c>
      <c r="D5">
        <v>0.052047189451769</v>
      </c>
      <c r="E5">
        <v>0.08830779546585799</v>
      </c>
      <c r="F5">
        <v>0.04</v>
      </c>
      <c r="G5">
        <v>0.1662063183186513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HYPERLINK("https://www.suredividend.com/sure-analysis-WEYS/","Weyco Group, Inc.")</f>
        <v>0</v>
      </c>
      <c r="C6" t="s">
        <v>613</v>
      </c>
      <c r="D6">
        <v>0.05292171995589801</v>
      </c>
      <c r="E6">
        <v>0.1202179802828913</v>
      </c>
      <c r="F6">
        <v>0.01</v>
      </c>
      <c r="G6">
        <v>0.1657011383333271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HYPERLINK("https://www.suredividend.com/sure-analysis-TYCB/","Calvin B. Taylor Bankshares, Inc.")</f>
        <v>0</v>
      </c>
      <c r="C7" t="s">
        <v>613</v>
      </c>
      <c r="D7">
        <v>0.036115843270868</v>
      </c>
      <c r="E7">
        <v>0.06914140816607572</v>
      </c>
      <c r="F7">
        <v>0.06</v>
      </c>
      <c r="G7">
        <v>0.1615363182638272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613</v>
      </c>
      <c r="D8">
        <v>0.047200520833333</v>
      </c>
      <c r="E8">
        <v>0.0744996862754117</v>
      </c>
      <c r="F8">
        <v>0.05</v>
      </c>
      <c r="G8">
        <v>0.1613777770951934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HYPERLINK("https://www.suredividend.com/sure-analysis-FRT/","Federal Realty Investment Trust")</f>
        <v>0</v>
      </c>
      <c r="C9" t="s">
        <v>614</v>
      </c>
      <c r="D9">
        <v>0.057900583171341</v>
      </c>
      <c r="E9">
        <v>0.06136246175308657</v>
      </c>
      <c r="F9">
        <v>0.055</v>
      </c>
      <c r="G9">
        <v>0.1603685916054718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HYPERLINK("https://www.suredividend.com/sure-analysis-AIZ/","Assurant, Inc.")</f>
        <v>0</v>
      </c>
      <c r="C10" t="s">
        <v>613</v>
      </c>
      <c r="D10">
        <v>0.027000329272308</v>
      </c>
      <c r="E10">
        <v>0.08500291282534267</v>
      </c>
      <c r="F10">
        <v>0.05</v>
      </c>
      <c r="G10">
        <v>0.1583809599778088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613</v>
      </c>
      <c r="D11">
        <v>0.030765617660873</v>
      </c>
      <c r="E11">
        <v>0.04078143604778584</v>
      </c>
      <c r="F11">
        <v>0.09</v>
      </c>
      <c r="G11">
        <v>0.1565538571179379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613</v>
      </c>
      <c r="D12">
        <v>0.038941398865784</v>
      </c>
      <c r="E12">
        <v>0.06943700972497235</v>
      </c>
      <c r="F12">
        <v>0.055</v>
      </c>
      <c r="G12">
        <v>0.1547760162141294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613</v>
      </c>
      <c r="D13">
        <v>0.05968468468468401</v>
      </c>
      <c r="E13">
        <v>0.07077792546792283</v>
      </c>
      <c r="F13">
        <v>0.04</v>
      </c>
      <c r="G13">
        <v>0.1541696466264031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613</v>
      </c>
      <c r="D14">
        <v>0.021797551507912</v>
      </c>
      <c r="E14">
        <v>0.06553700479702873</v>
      </c>
      <c r="F14">
        <v>0.065</v>
      </c>
      <c r="G14">
        <v>0.1507266341116984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HYPERLINK("https://www.suredividend.com/sure-analysis-TXT/","Textron, Inc.")</f>
        <v>0</v>
      </c>
      <c r="C15" t="s">
        <v>613</v>
      </c>
      <c r="D15">
        <v>0.003305785123966</v>
      </c>
      <c r="E15">
        <v>-0.001658383922112594</v>
      </c>
      <c r="F15">
        <v>0.15</v>
      </c>
      <c r="G15">
        <v>0.1499892667272287</v>
      </c>
      <c r="H15" t="s">
        <v>617</v>
      </c>
      <c r="I15" t="s">
        <v>316</v>
      </c>
    </row>
    <row r="16" spans="1:9">
      <c r="A16" s="1" t="s">
        <v>23</v>
      </c>
      <c r="B16">
        <f>HYPERLINK("https://www.suredividend.com/sure-analysis-GD/","General Dynamics Corp.")</f>
        <v>0</v>
      </c>
      <c r="C16" t="s">
        <v>613</v>
      </c>
      <c r="D16">
        <v>0.03177512985029</v>
      </c>
      <c r="E16">
        <v>0.06096567662078201</v>
      </c>
      <c r="F16">
        <v>0.06</v>
      </c>
      <c r="G16">
        <v>0.1496319053794417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613</v>
      </c>
      <c r="D17">
        <v>0.037870159453302</v>
      </c>
      <c r="E17">
        <v>0.1055406024889134</v>
      </c>
      <c r="F17">
        <v>0.015</v>
      </c>
      <c r="G17">
        <v>0.1476802634006955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HYPERLINK("https://www.suredividend.com/sure-analysis-FUL/","H.B. Fuller Co.")</f>
        <v>0</v>
      </c>
      <c r="C18" t="s">
        <v>613</v>
      </c>
      <c r="D18">
        <v>0.019534813013073</v>
      </c>
      <c r="E18">
        <v>0.01251352735273592</v>
      </c>
      <c r="F18">
        <v>0.12</v>
      </c>
      <c r="G18">
        <v>0.1475588413230797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HYPERLINK("https://www.suredividend.com/sure-analysis-CB/","Chubb Ltd.")</f>
        <v>0</v>
      </c>
      <c r="C19" t="s">
        <v>613</v>
      </c>
      <c r="D19">
        <v>0.030153784299929</v>
      </c>
      <c r="E19">
        <v>0.06607614934015338</v>
      </c>
      <c r="F19">
        <v>0.05</v>
      </c>
      <c r="G19">
        <v>0.1411317628193425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HYPERLINK("https://www.suredividend.com/sure-analysis-FMS/","Fresenius Medical Care AG &amp; Co. KGaA")</f>
        <v>0</v>
      </c>
      <c r="C20" t="s">
        <v>613</v>
      </c>
      <c r="D20">
        <v>0.016599643675235</v>
      </c>
      <c r="E20">
        <v>0.06169254578689642</v>
      </c>
      <c r="F20">
        <v>0.06</v>
      </c>
      <c r="G20">
        <v>0.1374594400068683</v>
      </c>
      <c r="H20" t="s">
        <v>617</v>
      </c>
      <c r="I20" t="s">
        <v>375</v>
      </c>
    </row>
    <row r="21" spans="1:9">
      <c r="A21" s="1" t="s">
        <v>28</v>
      </c>
      <c r="B21">
        <f>HYPERLINK("https://www.suredividend.com/sure-analysis-VFC/","VF Corp.")</f>
        <v>0</v>
      </c>
      <c r="C21" t="s">
        <v>613</v>
      </c>
      <c r="D21">
        <v>0.036566589684372</v>
      </c>
      <c r="E21">
        <v>0.02573830454775416</v>
      </c>
      <c r="F21">
        <v>0.08</v>
      </c>
      <c r="G21">
        <v>0.134890560877722</v>
      </c>
      <c r="H21" t="s">
        <v>617</v>
      </c>
      <c r="I21" t="s">
        <v>618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613</v>
      </c>
      <c r="D22">
        <v>0.039081885856079</v>
      </c>
      <c r="E22">
        <v>0.06896502544007488</v>
      </c>
      <c r="F22">
        <v>0.03</v>
      </c>
      <c r="G22">
        <v>0.1324866426264399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613</v>
      </c>
      <c r="D23">
        <v>0.04362614611061801</v>
      </c>
      <c r="E23">
        <v>0.02897278231189815</v>
      </c>
      <c r="F23">
        <v>0.065</v>
      </c>
      <c r="G23">
        <v>0.1322897141219361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613</v>
      </c>
      <c r="D24">
        <v>0.04354354354354301</v>
      </c>
      <c r="E24">
        <v>0.05810819504414266</v>
      </c>
      <c r="F24">
        <v>0.04</v>
      </c>
      <c r="G24">
        <v>0.1307672491124923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613</v>
      </c>
      <c r="D25">
        <v>0.04132473622508701</v>
      </c>
      <c r="E25">
        <v>0.05691654948851665</v>
      </c>
      <c r="F25">
        <v>0.04</v>
      </c>
      <c r="G25">
        <v>0.130377435291275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613</v>
      </c>
      <c r="D26">
        <v>0.018083182640144</v>
      </c>
      <c r="E26">
        <v>0.04027041506795048</v>
      </c>
      <c r="F26">
        <v>0.07000000000000001</v>
      </c>
      <c r="G26">
        <v>0.1288254752196394</v>
      </c>
      <c r="H26" t="s">
        <v>617</v>
      </c>
      <c r="I26" t="s">
        <v>618</v>
      </c>
    </row>
    <row r="27" spans="1:9">
      <c r="A27" s="1" t="s">
        <v>34</v>
      </c>
      <c r="B27">
        <f>HYPERLINK("https://www.suredividend.com/sure-analysis-PNGAY/","Ping An Insurance (Group) Co. of China Ltd.")</f>
        <v>0</v>
      </c>
      <c r="C27" t="s">
        <v>613</v>
      </c>
      <c r="D27">
        <v>0.024474632911392</v>
      </c>
      <c r="E27">
        <v>0.03093704893982907</v>
      </c>
      <c r="F27">
        <v>0.07000000000000001</v>
      </c>
      <c r="G27">
        <v>0.126191342217816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613</v>
      </c>
      <c r="D28">
        <v>0.011725906925613</v>
      </c>
      <c r="E28">
        <v>0.05341608450503554</v>
      </c>
      <c r="F28">
        <v>0.06</v>
      </c>
      <c r="G28">
        <v>0.1259769374862425</v>
      </c>
      <c r="H28" t="s">
        <v>617</v>
      </c>
      <c r="I28" t="s">
        <v>375</v>
      </c>
    </row>
    <row r="29" spans="1:9">
      <c r="A29" s="1" t="s">
        <v>36</v>
      </c>
      <c r="B29">
        <f>HYPERLINK("https://www.suredividend.com/sure-analysis-LHX/","L3Harris Technologies, Inc.")</f>
        <v>0</v>
      </c>
      <c r="C29" t="s">
        <v>613</v>
      </c>
      <c r="D29">
        <v>0.015867179545197</v>
      </c>
      <c r="E29">
        <v>0.009131399846704857</v>
      </c>
      <c r="F29">
        <v>0.1</v>
      </c>
      <c r="G29">
        <v>0.1246634672254088</v>
      </c>
      <c r="H29" t="s">
        <v>617</v>
      </c>
      <c r="I29" t="s">
        <v>375</v>
      </c>
    </row>
    <row r="30" spans="1:9">
      <c r="A30" s="1" t="s">
        <v>37</v>
      </c>
      <c r="B30">
        <f>HYPERLINK("https://www.suredividend.com/sure-analysis-SYY/","Sysco Corp.")</f>
        <v>0</v>
      </c>
      <c r="C30" t="s">
        <v>613</v>
      </c>
      <c r="D30">
        <v>0.03527929441411101</v>
      </c>
      <c r="E30">
        <v>0.02163860572918508</v>
      </c>
      <c r="F30">
        <v>0.07000000000000001</v>
      </c>
      <c r="G30">
        <v>0.1239117151436648</v>
      </c>
      <c r="H30" t="s">
        <v>617</v>
      </c>
      <c r="I30" t="s">
        <v>617</v>
      </c>
    </row>
    <row r="31" spans="1:9">
      <c r="A31" s="1" t="s">
        <v>38</v>
      </c>
      <c r="B31">
        <f>HYPERLINK("https://www.suredividend.com/sure-analysis-SRCE/","1st Source Corp.")</f>
        <v>0</v>
      </c>
      <c r="C31" t="s">
        <v>613</v>
      </c>
      <c r="D31">
        <v>0.038902396665508</v>
      </c>
      <c r="E31">
        <v>0.07326863638981496</v>
      </c>
      <c r="F31">
        <v>0.02</v>
      </c>
      <c r="G31">
        <v>0.1223505244577641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HYPERLINK("https://www.suredividend.com/sure-analysis-CINF/","Cincinnati Financial Corp.")</f>
        <v>0</v>
      </c>
      <c r="C32" t="s">
        <v>613</v>
      </c>
      <c r="D32">
        <v>0.046294416243654</v>
      </c>
      <c r="E32">
        <v>0.07284840786742675</v>
      </c>
      <c r="F32">
        <v>0.01</v>
      </c>
      <c r="G32">
        <v>0.1217784476896937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HYPERLINK("https://www.suredividend.com/sure-analysis-ABBV/","AbbVie, Inc.")</f>
        <v>0</v>
      </c>
      <c r="C33" t="s">
        <v>613</v>
      </c>
      <c r="D33">
        <v>0.049608642928012</v>
      </c>
      <c r="E33">
        <v>0.02172316815577768</v>
      </c>
      <c r="F33">
        <v>0.055</v>
      </c>
      <c r="G33">
        <v>0.1210776521224335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HYPERLINK("https://www.suredividend.com/sure-analysis-PSBQ/","PSB Holdings, Inc. (Wisconsin)")</f>
        <v>0</v>
      </c>
      <c r="C34" t="s">
        <v>613</v>
      </c>
      <c r="D34">
        <v>0.010309278350515</v>
      </c>
      <c r="E34">
        <v>0.06031357981646734</v>
      </c>
      <c r="F34">
        <v>0.04</v>
      </c>
      <c r="G34">
        <v>0.1200733807514736</v>
      </c>
      <c r="H34" t="s">
        <v>617</v>
      </c>
      <c r="I34" t="s">
        <v>375</v>
      </c>
    </row>
    <row r="35" spans="1:9">
      <c r="A35" s="1" t="s">
        <v>42</v>
      </c>
      <c r="B35">
        <f>HYPERLINK("https://www.suredividend.com/sure-analysis-NOC/","Northrop Grumman Corp.")</f>
        <v>0</v>
      </c>
      <c r="C35" t="s">
        <v>613</v>
      </c>
      <c r="D35">
        <v>0.016416379069116</v>
      </c>
      <c r="E35">
        <v>0.005151390605583561</v>
      </c>
      <c r="F35">
        <v>0.1</v>
      </c>
      <c r="G35">
        <v>0.119250256837979</v>
      </c>
      <c r="H35" t="s">
        <v>617</v>
      </c>
      <c r="I35" t="s">
        <v>375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613</v>
      </c>
      <c r="D36">
        <v>0.037943966468122</v>
      </c>
      <c r="E36">
        <v>0.03562281185470328</v>
      </c>
      <c r="F36">
        <v>0.05</v>
      </c>
      <c r="G36">
        <v>0.117252827212688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0.023124712379199</v>
      </c>
      <c r="E37">
        <v>0.01361410690476328</v>
      </c>
      <c r="F37">
        <v>0.08</v>
      </c>
      <c r="G37">
        <v>0.1146811179250167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HYPERLINK("https://www.suredividend.com/sure-analysis-TJX/","The TJX Cos., Inc.")</f>
        <v>0</v>
      </c>
      <c r="C38" t="s">
        <v>613</v>
      </c>
      <c r="D38">
        <v>0.019503921984312</v>
      </c>
      <c r="E38">
        <v>0.01172114211713549</v>
      </c>
      <c r="F38">
        <v>0.08</v>
      </c>
      <c r="G38">
        <v>0.1126499594552057</v>
      </c>
      <c r="H38" t="s">
        <v>617</v>
      </c>
      <c r="I38" t="s">
        <v>375</v>
      </c>
    </row>
    <row r="39" spans="1:9">
      <c r="A39" s="1" t="s">
        <v>46</v>
      </c>
      <c r="B39">
        <f>HYPERLINK("https://www.suredividend.com/sure-analysis-SAP/","SAP SE")</f>
        <v>0</v>
      </c>
      <c r="C39" t="s">
        <v>613</v>
      </c>
      <c r="D39">
        <v>0.010868297853546</v>
      </c>
      <c r="E39">
        <v>0.008322465434505766</v>
      </c>
      <c r="F39">
        <v>0.09</v>
      </c>
      <c r="G39">
        <v>0.112066579998338</v>
      </c>
      <c r="H39" t="s">
        <v>617</v>
      </c>
      <c r="I39" t="s">
        <v>316</v>
      </c>
    </row>
    <row r="40" spans="1:9">
      <c r="A40" s="1" t="s">
        <v>47</v>
      </c>
      <c r="B40">
        <f>HYPERLINK("https://www.suredividend.com/sure-analysis-AFL/","Aflac, Inc.")</f>
        <v>0</v>
      </c>
      <c r="C40" t="s">
        <v>613</v>
      </c>
      <c r="D40">
        <v>0.033040315247044</v>
      </c>
      <c r="E40">
        <v>0.03928709630013993</v>
      </c>
      <c r="F40">
        <v>0.04</v>
      </c>
      <c r="G40">
        <v>0.1075025044266673</v>
      </c>
      <c r="H40" t="s">
        <v>617</v>
      </c>
      <c r="I40" t="s">
        <v>617</v>
      </c>
    </row>
    <row r="41" spans="1:9">
      <c r="A41" s="1" t="s">
        <v>48</v>
      </c>
      <c r="B41">
        <f>HYPERLINK("https://www.suredividend.com/sure-analysis-FMCB/","Farmers &amp; Merchants Bancorp (California)")</f>
        <v>0</v>
      </c>
      <c r="C41" t="s">
        <v>613</v>
      </c>
      <c r="D41">
        <v>0.02</v>
      </c>
      <c r="E41">
        <v>0.03713728933664817</v>
      </c>
      <c r="F41">
        <v>0.05</v>
      </c>
      <c r="G41">
        <v>0.1053693310149393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HYPERLINK("https://www.suredividend.com/sure-analysis-ROST/","Ross Stores, Inc.")</f>
        <v>0</v>
      </c>
      <c r="C42" t="s">
        <v>613</v>
      </c>
      <c r="D42">
        <v>0.011956394326573</v>
      </c>
      <c r="E42">
        <v>-0.007883249643987678</v>
      </c>
      <c r="F42">
        <v>0.1</v>
      </c>
      <c r="G42">
        <v>0.104420529160274</v>
      </c>
      <c r="H42" t="s">
        <v>617</v>
      </c>
      <c r="I42" t="s">
        <v>375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613</v>
      </c>
      <c r="D43">
        <v>0.030727923627684</v>
      </c>
      <c r="E43">
        <v>0.04613818875152553</v>
      </c>
      <c r="F43">
        <v>0.03</v>
      </c>
      <c r="G43">
        <v>0.1033799263791655</v>
      </c>
      <c r="H43" t="s">
        <v>617</v>
      </c>
      <c r="I43" t="s">
        <v>618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613</v>
      </c>
      <c r="D44">
        <v>0.042088347921225</v>
      </c>
      <c r="E44">
        <v>0.03774177017229285</v>
      </c>
      <c r="F44">
        <v>0.03</v>
      </c>
      <c r="G44">
        <v>0.102836688842141</v>
      </c>
      <c r="H44" t="s">
        <v>617</v>
      </c>
      <c r="I44" t="s">
        <v>617</v>
      </c>
    </row>
    <row r="45" spans="1:9">
      <c r="A45" s="1" t="s">
        <v>52</v>
      </c>
      <c r="B45">
        <f>HYPERLINK("https://www.suredividend.com/sure-analysis-AOS/","A. O. Smith Corp.")</f>
        <v>0</v>
      </c>
      <c r="C45" t="s">
        <v>613</v>
      </c>
      <c r="D45">
        <v>0.022766641920316</v>
      </c>
      <c r="E45">
        <v>0.017168178819567</v>
      </c>
      <c r="F45">
        <v>0.06</v>
      </c>
      <c r="G45">
        <v>0.1014959190261857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613</v>
      </c>
      <c r="D46">
        <v>0.022963011285798</v>
      </c>
      <c r="E46">
        <v>-0.0165754229098577</v>
      </c>
      <c r="F46">
        <v>0.1</v>
      </c>
      <c r="G46">
        <v>0.1013230927044013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613</v>
      </c>
      <c r="D47">
        <v>0.037202647111429</v>
      </c>
      <c r="E47">
        <v>0.02739653418824051</v>
      </c>
      <c r="F47">
        <v>0.04</v>
      </c>
      <c r="G47">
        <v>0.1005729962929582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HYPERLINK("https://www.suredividend.com/sure-analysis-ORCL/","Oracle Corp.")</f>
        <v>0</v>
      </c>
      <c r="C48" t="s">
        <v>613</v>
      </c>
      <c r="D48">
        <v>0.01814058956916</v>
      </c>
      <c r="E48">
        <v>0.004048715456574481</v>
      </c>
      <c r="F48">
        <v>0.08</v>
      </c>
      <c r="G48">
        <v>0.1000837486837787</v>
      </c>
      <c r="H48" t="s">
        <v>617</v>
      </c>
      <c r="I48" t="s">
        <v>375</v>
      </c>
    </row>
    <row r="49" spans="1:9">
      <c r="A49" s="1" t="s">
        <v>56</v>
      </c>
      <c r="B49">
        <f>HYPERLINK("https://www.suredividend.com/sure-analysis-BRC/","Brady Corp.")</f>
        <v>0</v>
      </c>
      <c r="C49" t="s">
        <v>613</v>
      </c>
      <c r="D49">
        <v>0.020863658418243</v>
      </c>
      <c r="E49">
        <v>0.03092399959930692</v>
      </c>
      <c r="F49">
        <v>0.05</v>
      </c>
      <c r="G49">
        <v>0.09792149664062633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HYPERLINK("https://www.suredividend.com/sure-analysis-SEIC/","SEI Investments Co.")</f>
        <v>0</v>
      </c>
      <c r="C50" t="s">
        <v>613</v>
      </c>
      <c r="D50">
        <v>0.013393736458538</v>
      </c>
      <c r="E50">
        <v>-0.01531314833704656</v>
      </c>
      <c r="F50">
        <v>0.1</v>
      </c>
      <c r="G50">
        <v>0.09557213094674966</v>
      </c>
      <c r="H50" t="s">
        <v>617</v>
      </c>
      <c r="I50" t="s">
        <v>375</v>
      </c>
    </row>
    <row r="51" spans="1:9">
      <c r="A51" s="1" t="s">
        <v>58</v>
      </c>
      <c r="B51">
        <f>HYPERLINK("https://www.suredividend.com/sure-analysis-PRGO/","Perrigo Co. Plc")</f>
        <v>0</v>
      </c>
      <c r="C51" t="s">
        <v>613</v>
      </c>
      <c r="D51">
        <v>0.016205458680818</v>
      </c>
      <c r="E51">
        <v>0.02944941138559476</v>
      </c>
      <c r="F51">
        <v>0.05</v>
      </c>
      <c r="G51">
        <v>0.0950576137170811</v>
      </c>
      <c r="H51" t="s">
        <v>617</v>
      </c>
      <c r="I51" t="s">
        <v>375</v>
      </c>
    </row>
    <row r="52" spans="1:9">
      <c r="A52" s="1" t="s">
        <v>59</v>
      </c>
      <c r="B52">
        <f>HYPERLINK("https://www.suredividend.com/sure-analysis-ADP/","Automatic Data Processing, Inc.")</f>
        <v>0</v>
      </c>
      <c r="C52" t="s">
        <v>613</v>
      </c>
      <c r="D52">
        <v>0.025213199851687</v>
      </c>
      <c r="E52">
        <v>-0.01192353709582561</v>
      </c>
      <c r="F52">
        <v>0.08</v>
      </c>
      <c r="G52">
        <v>0.09228976854959625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HYPERLINK("https://www.suredividend.com/sure-analysis-CP/","Canadian Pacific Railway Ltd.")</f>
        <v>0</v>
      </c>
      <c r="C53" t="s">
        <v>613</v>
      </c>
      <c r="D53">
        <v>0.011327787651537</v>
      </c>
      <c r="E53">
        <v>0.002502990597575527</v>
      </c>
      <c r="F53">
        <v>0.075</v>
      </c>
      <c r="G53">
        <v>0.09213088760026933</v>
      </c>
      <c r="H53" t="s">
        <v>617</v>
      </c>
      <c r="I53" t="s">
        <v>316</v>
      </c>
    </row>
    <row r="54" spans="1:9">
      <c r="A54" s="1" t="s">
        <v>61</v>
      </c>
      <c r="B54">
        <f>HYPERLINK("https://www.suredividend.com/sure-analysis-SWK/","Stanley Black &amp; Decker, Inc.")</f>
        <v>0</v>
      </c>
      <c r="C54" t="s">
        <v>613</v>
      </c>
      <c r="D54">
        <v>0.025315281899109</v>
      </c>
      <c r="E54">
        <v>-0.01107340027904191</v>
      </c>
      <c r="F54">
        <v>0.08</v>
      </c>
      <c r="G54">
        <v>0.09189333303305158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HYPERLINK("https://www.suredividend.com/sure-analysis-ABM/","ABM Industries, Inc.")</f>
        <v>0</v>
      </c>
      <c r="C55" t="s">
        <v>613</v>
      </c>
      <c r="D55">
        <v>0.02296484003801</v>
      </c>
      <c r="E55">
        <v>0.02084238263338367</v>
      </c>
      <c r="F55">
        <v>0.05</v>
      </c>
      <c r="G55">
        <v>0.09066468984703691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613</v>
      </c>
      <c r="D56">
        <v>0.039313585291113</v>
      </c>
      <c r="E56">
        <v>0.01602556263654509</v>
      </c>
      <c r="F56">
        <v>0.04</v>
      </c>
      <c r="G56">
        <v>0.0894849535250033</v>
      </c>
      <c r="H56" t="s">
        <v>617</v>
      </c>
      <c r="I56" t="s">
        <v>617</v>
      </c>
    </row>
    <row r="57" spans="1:9">
      <c r="A57" s="1" t="s">
        <v>64</v>
      </c>
      <c r="B57">
        <f>HYPERLINK("https://www.suredividend.com/sure-analysis-NVS/","Novartis AG")</f>
        <v>0</v>
      </c>
      <c r="C57" t="s">
        <v>613</v>
      </c>
      <c r="D57">
        <v>0.023884670316591</v>
      </c>
      <c r="E57">
        <v>0.0160889841593288</v>
      </c>
      <c r="F57">
        <v>0.04</v>
      </c>
      <c r="G57">
        <v>0.08804983122966004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613</v>
      </c>
      <c r="D58">
        <v>0.012148444000665</v>
      </c>
      <c r="E58">
        <v>-0.04129304188539751</v>
      </c>
      <c r="F58">
        <v>0.12</v>
      </c>
      <c r="G58">
        <v>0.08706856778099947</v>
      </c>
      <c r="H58" t="s">
        <v>617</v>
      </c>
      <c r="I58" t="s">
        <v>375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613</v>
      </c>
      <c r="D59">
        <v>0.03740083112958</v>
      </c>
      <c r="E59">
        <v>0.003972840845607672</v>
      </c>
      <c r="F59">
        <v>0.05</v>
      </c>
      <c r="G59">
        <v>0.08569867143964061</v>
      </c>
      <c r="H59" t="s">
        <v>617</v>
      </c>
      <c r="I59" t="s">
        <v>617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613</v>
      </c>
      <c r="D60">
        <v>0.04174778282500501</v>
      </c>
      <c r="E60">
        <v>0.0004466410068941773</v>
      </c>
      <c r="F60">
        <v>0.05</v>
      </c>
      <c r="G60">
        <v>0.08506961545134972</v>
      </c>
      <c r="H60" t="s">
        <v>617</v>
      </c>
      <c r="I60" t="s">
        <v>617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613</v>
      </c>
      <c r="D61">
        <v>0.022957381681186</v>
      </c>
      <c r="E61">
        <v>-0.014394843604008</v>
      </c>
      <c r="F61">
        <v>0.08</v>
      </c>
      <c r="G61">
        <v>0.0845303407339788</v>
      </c>
      <c r="H61" t="s">
        <v>617</v>
      </c>
      <c r="I61" t="s">
        <v>618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613</v>
      </c>
      <c r="D62">
        <v>0.027163719906767</v>
      </c>
      <c r="E62">
        <v>0.03979762515132412</v>
      </c>
      <c r="F62">
        <v>0.02</v>
      </c>
      <c r="G62">
        <v>0.08416030479300773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HYPERLINK("https://www.suredividend.com/sure-analysis-UNH/","UnitedHealth Group, Inc.")</f>
        <v>0</v>
      </c>
      <c r="C63" t="s">
        <v>613</v>
      </c>
      <c r="D63">
        <v>0.014847401704701</v>
      </c>
      <c r="E63">
        <v>-0.01925945989031541</v>
      </c>
      <c r="F63">
        <v>0.09</v>
      </c>
      <c r="G63">
        <v>0.08391529600683989</v>
      </c>
      <c r="H63" t="s">
        <v>617</v>
      </c>
      <c r="I63" t="s">
        <v>316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0.018892128279883</v>
      </c>
      <c r="E64">
        <v>0.009721668221540636</v>
      </c>
      <c r="F64">
        <v>0.05</v>
      </c>
      <c r="G64">
        <v>0.07865637550410276</v>
      </c>
      <c r="H64" t="s">
        <v>617</v>
      </c>
      <c r="I64" t="s">
        <v>375</v>
      </c>
    </row>
    <row r="65" spans="1:9">
      <c r="A65" s="1" t="s">
        <v>72</v>
      </c>
      <c r="B65">
        <f>HYPERLINK("https://www.suredividend.com/sure-analysis-DCI/","Donaldson Co., Inc.")</f>
        <v>0</v>
      </c>
      <c r="C65" t="s">
        <v>613</v>
      </c>
      <c r="D65">
        <v>0.019938286256824</v>
      </c>
      <c r="E65">
        <v>-0.0006179005622841682</v>
      </c>
      <c r="F65">
        <v>0.06</v>
      </c>
      <c r="G65">
        <v>0.07864742222815724</v>
      </c>
      <c r="H65" t="s">
        <v>617</v>
      </c>
      <c r="I65" t="s">
        <v>375</v>
      </c>
    </row>
    <row r="66" spans="1:9">
      <c r="A66" s="1" t="s">
        <v>73</v>
      </c>
      <c r="B66">
        <f>HYPERLINK("https://www.suredividend.com/sure-analysis-ATO/","Atmos Energy Corp.")</f>
        <v>0</v>
      </c>
      <c r="C66" t="s">
        <v>613</v>
      </c>
      <c r="D66">
        <v>0.023131111344758</v>
      </c>
      <c r="E66">
        <v>-0.01541934596444228</v>
      </c>
      <c r="F66">
        <v>0.07000000000000001</v>
      </c>
      <c r="G66">
        <v>0.07728284822677689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613</v>
      </c>
      <c r="D67">
        <v>0.015806451612903</v>
      </c>
      <c r="E67">
        <v>-0.03088160733176504</v>
      </c>
      <c r="F67">
        <v>0.09</v>
      </c>
      <c r="G67">
        <v>0.07432510820901883</v>
      </c>
      <c r="H67" t="s">
        <v>617</v>
      </c>
      <c r="I67" t="s">
        <v>375</v>
      </c>
    </row>
    <row r="68" spans="1:9">
      <c r="A68" s="1" t="s">
        <v>75</v>
      </c>
      <c r="B68">
        <f>HYPERLINK("https://www.suredividend.com/sure-analysis-MDT/","Medtronic Plc")</f>
        <v>0</v>
      </c>
      <c r="C68" t="s">
        <v>613</v>
      </c>
      <c r="D68">
        <v>0.022579614442432</v>
      </c>
      <c r="E68">
        <v>-0.00842713373836923</v>
      </c>
      <c r="F68">
        <v>0.06</v>
      </c>
      <c r="G68">
        <v>0.07370198120983673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613</v>
      </c>
      <c r="D69">
        <v>0.016371754589052</v>
      </c>
      <c r="E69">
        <v>-0.006602232863242019</v>
      </c>
      <c r="F69">
        <v>0.06</v>
      </c>
      <c r="G69">
        <v>0.07340294073290154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HYPERLINK("https://www.suredividend.com/sure-analysis-AAP/","Advance Auto Parts, Inc.")</f>
        <v>0</v>
      </c>
      <c r="C70" t="s">
        <v>613</v>
      </c>
      <c r="D70">
        <v>0.001903855306996</v>
      </c>
      <c r="E70">
        <v>0.0152951722652348</v>
      </c>
      <c r="F70">
        <v>0.05</v>
      </c>
      <c r="G70">
        <v>0.07310588025528242</v>
      </c>
      <c r="H70" t="s">
        <v>617</v>
      </c>
      <c r="I70" t="s">
        <v>316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613</v>
      </c>
      <c r="D71">
        <v>0.020687107499076</v>
      </c>
      <c r="E71">
        <v>-0.02378697655247886</v>
      </c>
      <c r="F71">
        <v>0.08</v>
      </c>
      <c r="G71">
        <v>0.07242765864329193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HYPERLINK("https://www.suredividend.com/sure-analysis-ALB/","Albemarle Corp.")</f>
        <v>0</v>
      </c>
      <c r="C72" t="s">
        <v>613</v>
      </c>
      <c r="D72">
        <v>0.024246128769356</v>
      </c>
      <c r="E72">
        <v>-0.03252944680456904</v>
      </c>
      <c r="F72">
        <v>0.08</v>
      </c>
      <c r="G72">
        <v>0.06918441975514811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613</v>
      </c>
      <c r="D73">
        <v>0.028015152849969</v>
      </c>
      <c r="E73">
        <v>-0.008075825195412611</v>
      </c>
      <c r="F73">
        <v>0.05</v>
      </c>
      <c r="G73">
        <v>0.06870077116307827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HYPERLINK("https://www.suredividend.com/sure-analysis-DPZ/","Domino's Pizza, Inc.")</f>
        <v>0</v>
      </c>
      <c r="C74" t="s">
        <v>613</v>
      </c>
      <c r="D74">
        <v>0.007259865971705</v>
      </c>
      <c r="E74">
        <v>-0.05526397072827116</v>
      </c>
      <c r="F74">
        <v>0.12</v>
      </c>
      <c r="G74">
        <v>0.0676272579567565</v>
      </c>
      <c r="H74" t="s">
        <v>617</v>
      </c>
      <c r="I74" t="s">
        <v>316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613</v>
      </c>
      <c r="D75">
        <v>0.020660712364145</v>
      </c>
      <c r="E75">
        <v>-0.02951950783026003</v>
      </c>
      <c r="F75">
        <v>0.08</v>
      </c>
      <c r="G75">
        <v>0.06676856649920948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613</v>
      </c>
      <c r="D76">
        <v>0.012081316553727</v>
      </c>
      <c r="E76">
        <v>-0.04327746624359297</v>
      </c>
      <c r="F76">
        <v>0.1</v>
      </c>
      <c r="G76">
        <v>0.06546560375210708</v>
      </c>
      <c r="H76" t="s">
        <v>617</v>
      </c>
      <c r="I76" t="s">
        <v>375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613</v>
      </c>
      <c r="D77">
        <v>0.009054054054054001</v>
      </c>
      <c r="E77">
        <v>-0.02262226109633303</v>
      </c>
      <c r="F77">
        <v>0.08</v>
      </c>
      <c r="G77">
        <v>0.06501732622995138</v>
      </c>
      <c r="H77" t="s">
        <v>617</v>
      </c>
      <c r="I77" t="s">
        <v>375</v>
      </c>
    </row>
    <row r="78" spans="1:9">
      <c r="A78" s="1" t="s">
        <v>85</v>
      </c>
      <c r="B78">
        <f>HYPERLINK("https://www.suredividend.com/sure-analysis-LOW/","Lowe's Cos., Inc.")</f>
        <v>0</v>
      </c>
      <c r="C78" t="s">
        <v>613</v>
      </c>
      <c r="D78">
        <v>0.018720337493408</v>
      </c>
      <c r="E78">
        <v>-0.01406567395405756</v>
      </c>
      <c r="F78">
        <v>0.06</v>
      </c>
      <c r="G78">
        <v>0.06445292776074196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0.03000577034045</v>
      </c>
      <c r="E79">
        <v>-0.006785046013133567</v>
      </c>
      <c r="F79">
        <v>0.04</v>
      </c>
      <c r="G79">
        <v>0.06177632481895756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613</v>
      </c>
      <c r="D80">
        <v>0.012958488908412</v>
      </c>
      <c r="E80">
        <v>-0.06809752404918168</v>
      </c>
      <c r="F80">
        <v>0.12</v>
      </c>
      <c r="G80">
        <v>0.05739212812366179</v>
      </c>
      <c r="H80" t="s">
        <v>617</v>
      </c>
      <c r="I80" t="s">
        <v>375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613</v>
      </c>
      <c r="D81">
        <v>0.022825070159027</v>
      </c>
      <c r="E81">
        <v>-0.0381640766492799</v>
      </c>
      <c r="F81">
        <v>0.076</v>
      </c>
      <c r="G81">
        <v>0.05635085078522395</v>
      </c>
      <c r="H81" t="s">
        <v>617</v>
      </c>
      <c r="I81" t="s">
        <v>618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613</v>
      </c>
      <c r="D82">
        <v>0.007851157880847</v>
      </c>
      <c r="E82">
        <v>-0.04563698813740535</v>
      </c>
      <c r="F82">
        <v>0.09</v>
      </c>
      <c r="G82">
        <v>0.05077961463316294</v>
      </c>
      <c r="H82" t="s">
        <v>617</v>
      </c>
      <c r="I82" t="s">
        <v>375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613</v>
      </c>
      <c r="D83">
        <v>0.012533967391304</v>
      </c>
      <c r="E83">
        <v>-0.03372047970081959</v>
      </c>
      <c r="F83">
        <v>0.07000000000000001</v>
      </c>
      <c r="G83">
        <v>0.04762130935737341</v>
      </c>
      <c r="H83" t="s">
        <v>617</v>
      </c>
      <c r="I83" t="s">
        <v>375</v>
      </c>
    </row>
    <row r="84" spans="1:9">
      <c r="A84" s="1" t="s">
        <v>91</v>
      </c>
      <c r="B84">
        <f>HYPERLINK("https://www.suredividend.com/sure-analysis-THFF/","First Financial Corp. (Indiana)")</f>
        <v>0</v>
      </c>
      <c r="C84" t="s">
        <v>613</v>
      </c>
      <c r="D84">
        <v>0.033195020746887</v>
      </c>
      <c r="E84">
        <v>0.004240926953423818</v>
      </c>
      <c r="F84">
        <v>0.01</v>
      </c>
      <c r="G84">
        <v>0.04561497974950002</v>
      </c>
      <c r="H84" t="s">
        <v>617</v>
      </c>
      <c r="I84" t="s">
        <v>617</v>
      </c>
    </row>
    <row r="85" spans="1:9">
      <c r="A85" s="1" t="s">
        <v>92</v>
      </c>
      <c r="B85">
        <f>HYPERLINK("https://www.suredividend.com/sure-analysis-JNJ/","Johnson &amp; Johnson")</f>
        <v>0</v>
      </c>
      <c r="C85" t="s">
        <v>613</v>
      </c>
      <c r="D85">
        <v>0.025259239563945</v>
      </c>
      <c r="E85">
        <v>-0.04104263012685894</v>
      </c>
      <c r="F85">
        <v>0.06</v>
      </c>
      <c r="G85">
        <v>0.0449310145675974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HYPERLINK("https://www.suredividend.com/sure-analysis-MSA/","MSA Safety, Inc.")</f>
        <v>0</v>
      </c>
      <c r="C86" t="s">
        <v>613</v>
      </c>
      <c r="D86">
        <v>0.014629049111807</v>
      </c>
      <c r="E86">
        <v>-0.03925765240033119</v>
      </c>
      <c r="F86">
        <v>0.07000000000000001</v>
      </c>
      <c r="G86">
        <v>0.04452403289649665</v>
      </c>
      <c r="H86" t="s">
        <v>617</v>
      </c>
      <c r="I86" t="s">
        <v>375</v>
      </c>
    </row>
    <row r="87" spans="1:9">
      <c r="A87" s="1" t="s">
        <v>94</v>
      </c>
      <c r="B87">
        <f>HYPERLINK("https://www.suredividend.com/sure-analysis-DG/","Dollar General Corp.")</f>
        <v>0</v>
      </c>
      <c r="C87" t="s">
        <v>613</v>
      </c>
      <c r="D87">
        <v>0.007032194264366001</v>
      </c>
      <c r="E87">
        <v>-0.05941697275608793</v>
      </c>
      <c r="F87">
        <v>0.1</v>
      </c>
      <c r="G87">
        <v>0.04324346754325292</v>
      </c>
      <c r="H87" t="s">
        <v>617</v>
      </c>
      <c r="I87" t="s">
        <v>316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613</v>
      </c>
      <c r="D88">
        <v>0.013984058173682</v>
      </c>
      <c r="E88">
        <v>-0.02194643776949445</v>
      </c>
      <c r="F88">
        <v>0.05</v>
      </c>
      <c r="G88">
        <v>0.04311702544568652</v>
      </c>
      <c r="H88" t="s">
        <v>617</v>
      </c>
      <c r="I88" t="s">
        <v>375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613</v>
      </c>
      <c r="D89">
        <v>0.026032632405549</v>
      </c>
      <c r="E89">
        <v>-0.03481682191582658</v>
      </c>
      <c r="F89">
        <v>0.05</v>
      </c>
      <c r="G89">
        <v>0.04019932689869954</v>
      </c>
      <c r="H89" t="s">
        <v>617</v>
      </c>
      <c r="I89" t="s">
        <v>618</v>
      </c>
    </row>
    <row r="90" spans="1:9">
      <c r="A90" s="1" t="s">
        <v>97</v>
      </c>
      <c r="B90">
        <f>HYPERLINK("https://www.suredividend.com/sure-analysis-KR/","The Kroger Co.")</f>
        <v>0</v>
      </c>
      <c r="C90" t="s">
        <v>613</v>
      </c>
      <c r="D90">
        <v>0.019071055059981</v>
      </c>
      <c r="E90">
        <v>-0.0294269850391462</v>
      </c>
      <c r="F90">
        <v>0.05</v>
      </c>
      <c r="G90">
        <v>0.03949821667319386</v>
      </c>
      <c r="H90" t="s">
        <v>617</v>
      </c>
      <c r="I90" t="s">
        <v>375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613</v>
      </c>
      <c r="D91">
        <v>0.015129602847925</v>
      </c>
      <c r="E91">
        <v>-0.04341355356561105</v>
      </c>
      <c r="F91">
        <v>0.06</v>
      </c>
      <c r="G91">
        <v>0.03154829311819962</v>
      </c>
      <c r="H91" t="s">
        <v>617</v>
      </c>
      <c r="I91" t="s">
        <v>375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613</v>
      </c>
      <c r="D92">
        <v>0.010379119920288</v>
      </c>
      <c r="E92">
        <v>-0.0149799662549055</v>
      </c>
      <c r="F92">
        <v>0.03</v>
      </c>
      <c r="G92">
        <v>0.02453627883452025</v>
      </c>
      <c r="H92" t="s">
        <v>617</v>
      </c>
      <c r="I92" t="s">
        <v>375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613</v>
      </c>
      <c r="D93">
        <v>0.021286163993404</v>
      </c>
      <c r="E93">
        <v>-0.0486014600592225</v>
      </c>
      <c r="F93">
        <v>0.05</v>
      </c>
      <c r="G93">
        <v>0.02295813140643244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0.00819704747125</v>
      </c>
      <c r="E94">
        <v>-0.06456730111686149</v>
      </c>
      <c r="F94">
        <v>0.08</v>
      </c>
      <c r="G94">
        <v>0.02182080379975782</v>
      </c>
      <c r="H94" t="s">
        <v>617</v>
      </c>
      <c r="I94" t="s">
        <v>316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0.025090645395213</v>
      </c>
      <c r="E95">
        <v>-0.04770413654687455</v>
      </c>
      <c r="F95">
        <v>0.04</v>
      </c>
      <c r="G95">
        <v>0.01944950652475574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HYPERLINK("https://www.suredividend.com/sure-analysis-ATR/","AptarGroup, Inc.")</f>
        <v>0</v>
      </c>
      <c r="C96" t="s">
        <v>613</v>
      </c>
      <c r="D96">
        <v>0.014187192118226</v>
      </c>
      <c r="E96">
        <v>-0.05375208278399646</v>
      </c>
      <c r="F96">
        <v>0.06</v>
      </c>
      <c r="G96">
        <v>0.01879568557604094</v>
      </c>
      <c r="H96" t="s">
        <v>617</v>
      </c>
      <c r="I96" t="s">
        <v>375</v>
      </c>
    </row>
    <row r="97" spans="1:9">
      <c r="A97" s="1" t="s">
        <v>104</v>
      </c>
      <c r="B97">
        <f>HYPERLINK("https://www.suredividend.com/sure-analysis-NWN/","Northwest Natural Holding Co.")</f>
        <v>0</v>
      </c>
      <c r="C97" t="s">
        <v>613</v>
      </c>
      <c r="D97">
        <v>0.032204963700827</v>
      </c>
      <c r="E97">
        <v>-0.04520260583498192</v>
      </c>
      <c r="F97">
        <v>0.029</v>
      </c>
      <c r="G97">
        <v>0.01704034375719843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613</v>
      </c>
      <c r="D98">
        <v>0.018564356435643</v>
      </c>
      <c r="E98">
        <v>-0.04422685284909356</v>
      </c>
      <c r="F98">
        <v>0.04</v>
      </c>
      <c r="G98">
        <v>0.01588828475076931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613</v>
      </c>
      <c r="D99">
        <v>0.016828478964401</v>
      </c>
      <c r="E99">
        <v>-0.07141845522726509</v>
      </c>
      <c r="F99">
        <v>0.07000000000000001</v>
      </c>
      <c r="G99">
        <v>0.01482661766296345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0.008689549146084</v>
      </c>
      <c r="E100">
        <v>-0.06835890294286662</v>
      </c>
      <c r="F100">
        <v>0.075</v>
      </c>
      <c r="G100">
        <v>0.01285963013576774</v>
      </c>
      <c r="H100" t="s">
        <v>617</v>
      </c>
      <c r="I100" t="s">
        <v>316</v>
      </c>
    </row>
    <row r="101" spans="1:9">
      <c r="A101" s="1" t="s">
        <v>108</v>
      </c>
      <c r="B101">
        <f>HYPERLINK("https://www.suredividend.com/sure-analysis-SHW/","The Sherwin-Williams Co.")</f>
        <v>0</v>
      </c>
      <c r="C101" t="s">
        <v>613</v>
      </c>
      <c r="D101">
        <v>0.008321897322214</v>
      </c>
      <c r="E101">
        <v>-0.06785335513816571</v>
      </c>
      <c r="F101">
        <v>0.07000000000000001</v>
      </c>
      <c r="G101">
        <v>0.009886242692378033</v>
      </c>
      <c r="H101" t="s">
        <v>617</v>
      </c>
      <c r="I101" t="s">
        <v>375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613</v>
      </c>
      <c r="D102">
        <v>0.023351188483428</v>
      </c>
      <c r="E102">
        <v>-0.05509214540103657</v>
      </c>
      <c r="F102">
        <v>0.038</v>
      </c>
      <c r="G102">
        <v>0.00705517897423813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0.010009424458093</v>
      </c>
      <c r="E103">
        <v>-0.0825599877069888</v>
      </c>
      <c r="F103">
        <v>0.08</v>
      </c>
      <c r="G103">
        <v>0.00447001777626066</v>
      </c>
      <c r="H103" t="s">
        <v>617</v>
      </c>
      <c r="I103" t="s">
        <v>316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613</v>
      </c>
      <c r="D104">
        <v>0.008986274389117001</v>
      </c>
      <c r="E104">
        <v>-0.06516069955523041</v>
      </c>
      <c r="F104">
        <v>0.06</v>
      </c>
      <c r="G104">
        <v>0.002282968723555046</v>
      </c>
      <c r="H104" t="s">
        <v>617</v>
      </c>
      <c r="I104" t="s">
        <v>375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613</v>
      </c>
      <c r="D105">
        <v>0.016833412736223</v>
      </c>
      <c r="E105">
        <v>-0.06087191676257186</v>
      </c>
      <c r="F105">
        <v>0.045</v>
      </c>
      <c r="G105">
        <v>0.001977190663530859</v>
      </c>
      <c r="H105" t="s">
        <v>617</v>
      </c>
      <c r="I105" t="s">
        <v>618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613</v>
      </c>
      <c r="D106">
        <v>0.013091358579615</v>
      </c>
      <c r="E106">
        <v>-0.09175232134455746</v>
      </c>
      <c r="F106">
        <v>0.08</v>
      </c>
      <c r="G106">
        <v>-0.0001851607262713939</v>
      </c>
      <c r="H106" t="s">
        <v>617</v>
      </c>
      <c r="I106" t="s">
        <v>375</v>
      </c>
    </row>
    <row r="107" spans="1:9">
      <c r="A107" s="1" t="s">
        <v>114</v>
      </c>
      <c r="B107">
        <f>HYPERLINK("https://www.suredividend.com/sure-analysis-ROP/","Roper Technologies, Inc.")</f>
        <v>0</v>
      </c>
      <c r="C107" t="s">
        <v>613</v>
      </c>
      <c r="D107">
        <v>0.005394190871369</v>
      </c>
      <c r="E107">
        <v>-0.07334573207689221</v>
      </c>
      <c r="F107">
        <v>0.07000000000000001</v>
      </c>
      <c r="G107">
        <v>-0.0009468137386253739</v>
      </c>
      <c r="H107" t="s">
        <v>617</v>
      </c>
      <c r="I107" t="s">
        <v>375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0.009550706033376001</v>
      </c>
      <c r="E108">
        <v>-0.1430548826648651</v>
      </c>
      <c r="F108">
        <v>0.15</v>
      </c>
      <c r="G108">
        <v>-0.001487471625493675</v>
      </c>
      <c r="H108" t="s">
        <v>617</v>
      </c>
      <c r="I108" t="s">
        <v>375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613</v>
      </c>
      <c r="D109">
        <v>0.011735777355538</v>
      </c>
      <c r="E109">
        <v>-0.05903536861747405</v>
      </c>
      <c r="F109">
        <v>0.04</v>
      </c>
      <c r="G109">
        <v>-0.004946925834921512</v>
      </c>
      <c r="H109" t="s">
        <v>617</v>
      </c>
      <c r="I109" t="s">
        <v>375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613</v>
      </c>
      <c r="D110">
        <v>0.009014158825081001</v>
      </c>
      <c r="E110">
        <v>-0.07742222849831848</v>
      </c>
      <c r="F110">
        <v>0.06</v>
      </c>
      <c r="G110">
        <v>-0.006121805347114373</v>
      </c>
      <c r="H110" t="s">
        <v>617</v>
      </c>
      <c r="I110" t="s">
        <v>375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0.015875133404482</v>
      </c>
      <c r="E111">
        <v>-0.05330724049658486</v>
      </c>
      <c r="F111">
        <v>0.027</v>
      </c>
      <c r="G111">
        <v>-0.007054655184076219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0.016481235469943</v>
      </c>
      <c r="E112">
        <v>-0.05660330050240758</v>
      </c>
      <c r="F112">
        <v>0.019</v>
      </c>
      <c r="G112">
        <v>-0.01764899975221867</v>
      </c>
      <c r="H112" t="s">
        <v>617</v>
      </c>
      <c r="I112" t="s">
        <v>375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0.017998747913188</v>
      </c>
      <c r="E113">
        <v>-0.077584411468966</v>
      </c>
      <c r="F113">
        <v>0.03</v>
      </c>
      <c r="G113">
        <v>-0.02332823529459171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0.010137213510253</v>
      </c>
      <c r="E114">
        <v>-0.1007426050169614</v>
      </c>
      <c r="F114">
        <v>0.07000000000000001</v>
      </c>
      <c r="G114">
        <v>-0.02347972512805518</v>
      </c>
      <c r="H114" t="s">
        <v>617</v>
      </c>
      <c r="I114" t="s">
        <v>375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0.011785714285714</v>
      </c>
      <c r="E115">
        <v>-0.07462212021267478</v>
      </c>
      <c r="F115">
        <v>0.034</v>
      </c>
      <c r="G115">
        <v>-0.02481880939675618</v>
      </c>
      <c r="H115" t="s">
        <v>617</v>
      </c>
      <c r="I115" t="s">
        <v>316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0.018660176170607</v>
      </c>
      <c r="E116">
        <v>-0.08946483141934702</v>
      </c>
      <c r="F116">
        <v>0.04</v>
      </c>
      <c r="G116">
        <v>-0.02727749268145396</v>
      </c>
      <c r="H116" t="s">
        <v>617</v>
      </c>
      <c r="I116" t="s">
        <v>375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613</v>
      </c>
      <c r="D117">
        <v>0.013335265980576</v>
      </c>
      <c r="E117">
        <v>-0.09449129628878417</v>
      </c>
      <c r="F117">
        <v>0.03</v>
      </c>
      <c r="G117">
        <v>-0.04775994494932656</v>
      </c>
      <c r="H117" t="s">
        <v>617</v>
      </c>
      <c r="I117" t="s">
        <v>375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613</v>
      </c>
      <c r="D118">
        <v>0.008588439854576</v>
      </c>
      <c r="E118">
        <v>-0.1464184386743458</v>
      </c>
      <c r="F118">
        <v>0.095</v>
      </c>
      <c r="G118">
        <v>-0.05031281757738704</v>
      </c>
      <c r="H118" t="s">
        <v>617</v>
      </c>
      <c r="I118" t="s">
        <v>316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0.002941588457767</v>
      </c>
      <c r="E119">
        <v>-0.1981374284978847</v>
      </c>
      <c r="F119">
        <v>0.08</v>
      </c>
      <c r="G119">
        <v>-0.1277144812327755</v>
      </c>
      <c r="H119" t="s">
        <v>617</v>
      </c>
      <c r="I119" t="s">
        <v>375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0.247391304347826</v>
      </c>
      <c r="E120">
        <v>0.2420990091540978</v>
      </c>
      <c r="F120">
        <v>0.02</v>
      </c>
      <c r="G120">
        <v>0.3560218290903336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0.053907221987666</v>
      </c>
      <c r="E121">
        <v>0.1766679457155524</v>
      </c>
      <c r="F121">
        <v>0.04</v>
      </c>
      <c r="G121">
        <v>0.2801288999093596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615</v>
      </c>
      <c r="D122">
        <v>0.102795573675014</v>
      </c>
      <c r="E122">
        <v>0.1595952858227436</v>
      </c>
      <c r="F122">
        <v>0.04</v>
      </c>
      <c r="G122">
        <v>0.2572637903151627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0.08023801145180401</v>
      </c>
      <c r="E123">
        <v>0.160543111353167</v>
      </c>
      <c r="F123">
        <v>0.04</v>
      </c>
      <c r="G123">
        <v>0.2506890727546929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0.089230502929491</v>
      </c>
      <c r="E124">
        <v>0.1548156485440348</v>
      </c>
      <c r="F124">
        <v>0.04</v>
      </c>
      <c r="G124">
        <v>0.2472306639950006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HYPERLINK("https://www.suredividend.com/sure-analysis-BMO/","Bank of Montreal")</f>
        <v>0</v>
      </c>
      <c r="C125" t="s">
        <v>613</v>
      </c>
      <c r="D125">
        <v>0.070174407324158</v>
      </c>
      <c r="E125">
        <v>0.1337446964090754</v>
      </c>
      <c r="F125">
        <v>0.05</v>
      </c>
      <c r="G125">
        <v>0.2309423228277663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0.07538479501117501</v>
      </c>
      <c r="E126">
        <v>0.1254786271379114</v>
      </c>
      <c r="F126">
        <v>0.05</v>
      </c>
      <c r="G126">
        <v>0.2248125781228592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0.05979543666404401</v>
      </c>
      <c r="E127">
        <v>0.1210045969073301</v>
      </c>
      <c r="F127">
        <v>0.04</v>
      </c>
      <c r="G127">
        <v>0.2044903135294824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0.06844828924631401</v>
      </c>
      <c r="E128">
        <v>0.09681123419972182</v>
      </c>
      <c r="F128">
        <v>0.05</v>
      </c>
      <c r="G128">
        <v>0.1975954392107899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HYPERLINK("https://www.suredividend.com/sure-analysis-TD/","The Toronto-Dominion Bank")</f>
        <v>0</v>
      </c>
      <c r="C129" t="s">
        <v>613</v>
      </c>
      <c r="D129">
        <v>0.057349573767342</v>
      </c>
      <c r="E129">
        <v>0.09386688402175936</v>
      </c>
      <c r="F129">
        <v>0.06</v>
      </c>
      <c r="G129">
        <v>0.1973288414468535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HYPERLINK("https://www.suredividend.com/sure-analysis-SLF/","Sun Life Financial, Inc.")</f>
        <v>0</v>
      </c>
      <c r="C130" t="s">
        <v>613</v>
      </c>
      <c r="D130">
        <v>0.050186719166341</v>
      </c>
      <c r="E130">
        <v>0.0786371555612384</v>
      </c>
      <c r="F130">
        <v>0.07000000000000001</v>
      </c>
      <c r="G130">
        <v>0.1885886234059926</v>
      </c>
      <c r="H130" t="s">
        <v>618</v>
      </c>
      <c r="I130" t="s">
        <v>618</v>
      </c>
    </row>
    <row r="131" spans="1:9">
      <c r="A131" s="1" t="s">
        <v>138</v>
      </c>
      <c r="B131">
        <f>HYPERLINK("https://www.suredividend.com/sure-analysis-SUN/","Sunoco LP")</f>
        <v>0</v>
      </c>
      <c r="C131" t="s">
        <v>615</v>
      </c>
      <c r="D131">
        <v>0.139501478664976</v>
      </c>
      <c r="E131">
        <v>0.08747892337255236</v>
      </c>
      <c r="F131">
        <v>0.015</v>
      </c>
      <c r="G131">
        <v>0.1848884058100988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0.07627486588207801</v>
      </c>
      <c r="E132">
        <v>0.08881081784318345</v>
      </c>
      <c r="F132">
        <v>0.035</v>
      </c>
      <c r="G132">
        <v>0.1769205997992096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HYPERLINK("https://www.suredividend.com/sure-analysis-RY/","Royal Bank of Canada")</f>
        <v>0</v>
      </c>
      <c r="C133" t="s">
        <v>613</v>
      </c>
      <c r="D133">
        <v>0.053190798773817</v>
      </c>
      <c r="E133">
        <v>0.07670566163126957</v>
      </c>
      <c r="F133">
        <v>0.055</v>
      </c>
      <c r="G133">
        <v>0.1730345461268412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HYPERLINK("https://www.suredividend.com/sure-analysis-CAE/","CAE, Inc.")</f>
        <v>0</v>
      </c>
      <c r="C134" t="s">
        <v>613</v>
      </c>
      <c r="D134">
        <v>0.023142740195745</v>
      </c>
      <c r="E134">
        <v>0.06790716584560208</v>
      </c>
      <c r="F134">
        <v>0.08</v>
      </c>
      <c r="G134">
        <v>0.1704394901189492</v>
      </c>
      <c r="H134" t="s">
        <v>618</v>
      </c>
      <c r="I134" t="s">
        <v>375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613</v>
      </c>
      <c r="D135">
        <v>0.020432984675261</v>
      </c>
      <c r="E135">
        <v>0.076747563722662</v>
      </c>
      <c r="F135">
        <v>0.07000000000000001</v>
      </c>
      <c r="G135">
        <v>0.1667967957355208</v>
      </c>
      <c r="H135" t="s">
        <v>618</v>
      </c>
      <c r="I135" t="s">
        <v>375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613</v>
      </c>
      <c r="D136">
        <v>0.044910179640718</v>
      </c>
      <c r="E136">
        <v>0.04275079677182458</v>
      </c>
      <c r="F136">
        <v>0.09</v>
      </c>
      <c r="G136">
        <v>0.1659357695641364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HYPERLINK("https://www.suredividend.com/sure-analysis-NTIOF/","National Bank of Canada")</f>
        <v>0</v>
      </c>
      <c r="C137" t="s">
        <v>613</v>
      </c>
      <c r="D137">
        <v>0.056136644537003</v>
      </c>
      <c r="E137">
        <v>0.06455721766964251</v>
      </c>
      <c r="F137">
        <v>0.05</v>
      </c>
      <c r="G137">
        <v>0.1593383105689767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613</v>
      </c>
      <c r="D138">
        <v>0.05611601513240801</v>
      </c>
      <c r="E138">
        <v>0.0771716893899792</v>
      </c>
      <c r="F138">
        <v>0.04</v>
      </c>
      <c r="G138">
        <v>0.1589944659437177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613</v>
      </c>
      <c r="D139">
        <v>0.07276580713528701</v>
      </c>
      <c r="E139">
        <v>0.0661662915479555</v>
      </c>
      <c r="F139">
        <v>0.04</v>
      </c>
      <c r="G139">
        <v>0.1559983600064203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HYPERLINK("https://www.suredividend.com/sure-analysis-TTC/","The Toro Co.")</f>
        <v>0</v>
      </c>
      <c r="C140" t="s">
        <v>613</v>
      </c>
      <c r="D140">
        <v>0.014645345155161</v>
      </c>
      <c r="E140">
        <v>0.01872795223586898</v>
      </c>
      <c r="F140">
        <v>0.12</v>
      </c>
      <c r="G140">
        <v>0.1532534808556325</v>
      </c>
      <c r="H140" t="s">
        <v>618</v>
      </c>
      <c r="I140" t="s">
        <v>316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613</v>
      </c>
      <c r="D141">
        <v>0.051080550098231</v>
      </c>
      <c r="E141">
        <v>0.07771217086771487</v>
      </c>
      <c r="F141">
        <v>0.035</v>
      </c>
      <c r="G141">
        <v>0.1518474075840335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HYPERLINK("https://www.suredividend.com/sure-analysis-PBCT/","People's United Financial, Inc.")</f>
        <v>0</v>
      </c>
      <c r="C142" t="s">
        <v>613</v>
      </c>
      <c r="D142">
        <v>0.066479400749063</v>
      </c>
      <c r="E142">
        <v>0.05562910706137125</v>
      </c>
      <c r="F142">
        <v>0.05</v>
      </c>
      <c r="G142">
        <v>0.1514450668912892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HYPERLINK("https://www.suredividend.com/sure-analysis-FDX/","FedEx Corp.")</f>
        <v>0</v>
      </c>
      <c r="C143" t="s">
        <v>613</v>
      </c>
      <c r="D143">
        <v>0.024181547619047</v>
      </c>
      <c r="E143">
        <v>0.07028031629351372</v>
      </c>
      <c r="F143">
        <v>0.06</v>
      </c>
      <c r="G143">
        <v>0.1514305765608417</v>
      </c>
      <c r="H143" t="s">
        <v>618</v>
      </c>
      <c r="I143" t="s">
        <v>375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613</v>
      </c>
      <c r="D144">
        <v>0.09073517354468401</v>
      </c>
      <c r="E144">
        <v>0.05134944478587267</v>
      </c>
      <c r="F144">
        <v>0.033</v>
      </c>
      <c r="G144">
        <v>0.1514012120220791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HYPERLINK("https://www.suredividend.com/sure-analysis-PB/","Prosperity Bancshares, Inc.")</f>
        <v>0</v>
      </c>
      <c r="C145" t="s">
        <v>613</v>
      </c>
      <c r="D145">
        <v>0.031127012522361</v>
      </c>
      <c r="E145">
        <v>0.05770359963079308</v>
      </c>
      <c r="F145">
        <v>0.06</v>
      </c>
      <c r="G145">
        <v>0.1452415900088493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613</v>
      </c>
      <c r="D146">
        <v>0.023942093541202</v>
      </c>
      <c r="E146">
        <v>0.05071347205504551</v>
      </c>
      <c r="F146">
        <v>0.07000000000000001</v>
      </c>
      <c r="G146">
        <v>0.1433317192105277</v>
      </c>
      <c r="H146" t="s">
        <v>618</v>
      </c>
      <c r="I146" t="s">
        <v>375</v>
      </c>
    </row>
    <row r="147" spans="1:9">
      <c r="A147" s="1" t="s">
        <v>154</v>
      </c>
      <c r="B147">
        <f>HYPERLINK("https://www.suredividend.com/sure-analysis-CTSH/","Cognizant Technology Solutions Corp.")</f>
        <v>0</v>
      </c>
      <c r="C147" t="s">
        <v>613</v>
      </c>
      <c r="D147">
        <v>0.016341171781586</v>
      </c>
      <c r="E147">
        <v>0.05633739829874562</v>
      </c>
      <c r="F147">
        <v>0.07000000000000001</v>
      </c>
      <c r="G147">
        <v>0.1432423741417581</v>
      </c>
      <c r="H147" t="s">
        <v>618</v>
      </c>
      <c r="I147" t="s">
        <v>316</v>
      </c>
    </row>
    <row r="148" spans="1:9">
      <c r="A148" s="1" t="s">
        <v>155</v>
      </c>
      <c r="B148">
        <f>HYPERLINK("https://www.suredividend.com/sure-analysis-RE/","Everest Re Group Ltd.")</f>
        <v>0</v>
      </c>
      <c r="C148" t="s">
        <v>613</v>
      </c>
      <c r="D148">
        <v>0.034923641529537</v>
      </c>
      <c r="E148">
        <v>0.05231267327596489</v>
      </c>
      <c r="F148">
        <v>0.058</v>
      </c>
      <c r="G148">
        <v>0.1413103280269097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HYPERLINK("https://www.suredividend.com/sure-analysis-WHR/","Whirlpool Corp.")</f>
        <v>0</v>
      </c>
      <c r="C149" t="s">
        <v>613</v>
      </c>
      <c r="D149">
        <v>0.044117647058823</v>
      </c>
      <c r="E149">
        <v>0.01978934521903875</v>
      </c>
      <c r="F149">
        <v>0.09</v>
      </c>
      <c r="G149">
        <v>0.1406848070506403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HYPERLINK("https://www.suredividend.com/sure-analysis-JACK/","Jack in the Box, Inc.")</f>
        <v>0</v>
      </c>
      <c r="C150" t="s">
        <v>613</v>
      </c>
      <c r="D150">
        <v>0.0241145440844</v>
      </c>
      <c r="E150">
        <v>0.048305035140221</v>
      </c>
      <c r="F150">
        <v>0.07000000000000001</v>
      </c>
      <c r="G150">
        <v>0.1386178069905397</v>
      </c>
      <c r="H150" t="s">
        <v>618</v>
      </c>
      <c r="I150" t="s">
        <v>375</v>
      </c>
    </row>
    <row r="151" spans="1:9">
      <c r="A151" s="1" t="s">
        <v>158</v>
      </c>
      <c r="B151">
        <f>HYPERLINK("https://www.suredividend.com/sure-analysis-MSM/","MSC Industrial Direct Co., Inc.")</f>
        <v>0</v>
      </c>
      <c r="C151" t="s">
        <v>613</v>
      </c>
      <c r="D151">
        <v>0.04774535809018501</v>
      </c>
      <c r="E151">
        <v>0.03889655334628705</v>
      </c>
      <c r="F151">
        <v>0.06</v>
      </c>
      <c r="G151">
        <v>0.1379479294571799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HYPERLINK("https://www.suredividend.com/sure-analysis-BAYRY/","Bayer AG")</f>
        <v>0</v>
      </c>
      <c r="C152" t="s">
        <v>613</v>
      </c>
      <c r="D152">
        <v>0.04910495814552401</v>
      </c>
      <c r="E152">
        <v>0.06220799957134493</v>
      </c>
      <c r="F152">
        <v>0.035</v>
      </c>
      <c r="G152">
        <v>0.1367630307140413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HYPERLINK("https://www.suredividend.com/sure-analysis-LMT/","Lockheed Martin Corp.")</f>
        <v>0</v>
      </c>
      <c r="C153" t="s">
        <v>613</v>
      </c>
      <c r="D153">
        <v>0.025527192008879</v>
      </c>
      <c r="E153">
        <v>0.01117899301149583</v>
      </c>
      <c r="F153">
        <v>0.1</v>
      </c>
      <c r="G153">
        <v>0.1335270255737016</v>
      </c>
      <c r="H153" t="s">
        <v>618</v>
      </c>
      <c r="I153" t="s">
        <v>375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0.017651573292402</v>
      </c>
      <c r="E154">
        <v>0.08397193762938504</v>
      </c>
      <c r="F154">
        <v>0.031</v>
      </c>
      <c r="G154">
        <v>0.1305777441031692</v>
      </c>
      <c r="H154" t="s">
        <v>618</v>
      </c>
      <c r="I154" t="s">
        <v>375</v>
      </c>
    </row>
    <row r="155" spans="1:9">
      <c r="A155" s="1" t="s">
        <v>162</v>
      </c>
      <c r="B155">
        <f>HYPERLINK("https://www.suredividend.com/sure-analysis-HII/","Huntington Ingalls Industries, Inc.")</f>
        <v>0</v>
      </c>
      <c r="C155" t="s">
        <v>613</v>
      </c>
      <c r="D155">
        <v>0.022164888002814</v>
      </c>
      <c r="E155">
        <v>0.05320570520064516</v>
      </c>
      <c r="F155">
        <v>0.05</v>
      </c>
      <c r="G155">
        <v>0.127951089172655</v>
      </c>
      <c r="H155" t="s">
        <v>618</v>
      </c>
      <c r="I155" t="s">
        <v>375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0.044209215442092</v>
      </c>
      <c r="E156">
        <v>0.03957975671606273</v>
      </c>
      <c r="F156">
        <v>0.05</v>
      </c>
      <c r="G156">
        <v>0.1254889042396199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613</v>
      </c>
      <c r="D157">
        <v>0.016333589546502</v>
      </c>
      <c r="E157">
        <v>0.01837449406061098</v>
      </c>
      <c r="F157">
        <v>0.09</v>
      </c>
      <c r="G157">
        <v>0.1237766514574488</v>
      </c>
      <c r="H157" t="s">
        <v>618</v>
      </c>
      <c r="I157" t="s">
        <v>316</v>
      </c>
    </row>
    <row r="158" spans="1:9">
      <c r="A158" s="1" t="s">
        <v>165</v>
      </c>
      <c r="B158">
        <f>HYPERLINK("https://www.suredividend.com/sure-analysis-CVS/","CVS Health Corp.")</f>
        <v>0</v>
      </c>
      <c r="C158" t="s">
        <v>613</v>
      </c>
      <c r="D158">
        <v>0.031650577623041</v>
      </c>
      <c r="E158">
        <v>0.0430118664476884</v>
      </c>
      <c r="F158">
        <v>0.05</v>
      </c>
      <c r="G158">
        <v>0.119565586607923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HYPERLINK("https://www.suredividend.com/sure-analysis-SRE/","Sempra Energy")</f>
        <v>0</v>
      </c>
      <c r="C159" t="s">
        <v>613</v>
      </c>
      <c r="D159">
        <v>0.033116610738255</v>
      </c>
      <c r="E159">
        <v>0.02822666527339268</v>
      </c>
      <c r="F159">
        <v>0.06</v>
      </c>
      <c r="G159">
        <v>0.1181084771295908</v>
      </c>
      <c r="H159" t="s">
        <v>618</v>
      </c>
      <c r="I159" t="s">
        <v>375</v>
      </c>
    </row>
    <row r="160" spans="1:9">
      <c r="A160" s="1" t="s">
        <v>167</v>
      </c>
      <c r="B160">
        <f>HYPERLINK("https://www.suredividend.com/sure-analysis-TRV/","The Travelers Cos., Inc.")</f>
        <v>0</v>
      </c>
      <c r="C160" t="s">
        <v>613</v>
      </c>
      <c r="D160">
        <v>0.036319344480124</v>
      </c>
      <c r="E160">
        <v>0.02262664976541351</v>
      </c>
      <c r="F160">
        <v>0.06</v>
      </c>
      <c r="G160">
        <v>0.1165411140912258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613</v>
      </c>
      <c r="D161">
        <v>0.02683726010298</v>
      </c>
      <c r="E161">
        <v>0.05052094617738678</v>
      </c>
      <c r="F161">
        <v>0.04</v>
      </c>
      <c r="G161">
        <v>0.1145288622822149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HYPERLINK("https://www.suredividend.com/sure-analysis-TSN/","Tyson Foods, Inc.")</f>
        <v>0</v>
      </c>
      <c r="C162" t="s">
        <v>613</v>
      </c>
      <c r="D162">
        <v>0.028087957395636</v>
      </c>
      <c r="E162">
        <v>0.02543766956183902</v>
      </c>
      <c r="F162">
        <v>0.06</v>
      </c>
      <c r="G162">
        <v>0.1106310665764274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HYPERLINK("https://www.suredividend.com/sure-analysis-JW.A/","John Wiley &amp; Sons, Inc.")</f>
        <v>0</v>
      </c>
      <c r="C163" t="s">
        <v>613</v>
      </c>
      <c r="D163">
        <v>0.038071065989847</v>
      </c>
      <c r="E163">
        <v>0.03931200751513719</v>
      </c>
      <c r="F163">
        <v>0.04</v>
      </c>
      <c r="G163">
        <v>0.1100398369129136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HYPERLINK("https://www.suredividend.com/sure-analysis-RDEIY/","Red Eléctrica Corp. SA")</f>
        <v>0</v>
      </c>
      <c r="C164" t="s">
        <v>613</v>
      </c>
      <c r="D164">
        <v>0.065419126328217</v>
      </c>
      <c r="E164">
        <v>0.00398232329071857</v>
      </c>
      <c r="F164">
        <v>0.05</v>
      </c>
      <c r="G164">
        <v>0.1090678903884272</v>
      </c>
      <c r="H164" t="s">
        <v>618</v>
      </c>
      <c r="I164" t="s">
        <v>617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613</v>
      </c>
      <c r="D165">
        <v>0.03185001129433</v>
      </c>
      <c r="E165">
        <v>0.02051011014924731</v>
      </c>
      <c r="F165">
        <v>0.06</v>
      </c>
      <c r="G165">
        <v>0.108771810602633</v>
      </c>
      <c r="H165" t="s">
        <v>618</v>
      </c>
      <c r="I165" t="s">
        <v>375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613</v>
      </c>
      <c r="D166">
        <v>0.041289023162134</v>
      </c>
      <c r="E166">
        <v>0.05535560436283005</v>
      </c>
      <c r="F166">
        <v>0.02</v>
      </c>
      <c r="G166">
        <v>0.1073242057577264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HYPERLINK("https://www.suredividend.com/sure-analysis-XYL/","Xylem, Inc.")</f>
        <v>0</v>
      </c>
      <c r="C167" t="s">
        <v>613</v>
      </c>
      <c r="D167">
        <v>0.016841381680701</v>
      </c>
      <c r="E167">
        <v>-0.0006538877465994686</v>
      </c>
      <c r="F167">
        <v>0.09</v>
      </c>
      <c r="G167">
        <v>0.1062837530572682</v>
      </c>
      <c r="H167" t="s">
        <v>618</v>
      </c>
      <c r="I167" t="s">
        <v>316</v>
      </c>
    </row>
    <row r="168" spans="1:9">
      <c r="A168" s="1" t="s">
        <v>175</v>
      </c>
      <c r="B168">
        <f>HYPERLINK("https://www.suredividend.com/sure-analysis-DNKN/","Dunkin' Brands Group, Inc.")</f>
        <v>0</v>
      </c>
      <c r="C168" t="s">
        <v>613</v>
      </c>
      <c r="D168">
        <v>0.024169303797468</v>
      </c>
      <c r="E168">
        <v>0.002518923611994461</v>
      </c>
      <c r="F168">
        <v>0.08</v>
      </c>
      <c r="G168">
        <v>0.1052781755478429</v>
      </c>
      <c r="H168" t="s">
        <v>618</v>
      </c>
      <c r="I168" t="s">
        <v>316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613</v>
      </c>
      <c r="D169">
        <v>0.022813688212927</v>
      </c>
      <c r="E169">
        <v>-0.01008740028129462</v>
      </c>
      <c r="F169">
        <v>0.1</v>
      </c>
      <c r="G169">
        <v>0.1046677485239156</v>
      </c>
      <c r="H169" t="s">
        <v>618</v>
      </c>
      <c r="I169" t="s">
        <v>316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613</v>
      </c>
      <c r="D170">
        <v>0.044735880095046</v>
      </c>
      <c r="E170">
        <v>0.02861953258404348</v>
      </c>
      <c r="F170">
        <v>0.04</v>
      </c>
      <c r="G170">
        <v>0.1039851653812611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613</v>
      </c>
      <c r="D171">
        <v>0.038685447747328</v>
      </c>
      <c r="E171">
        <v>0.01596809314053926</v>
      </c>
      <c r="F171">
        <v>0.05</v>
      </c>
      <c r="G171">
        <v>0.1017448009664756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HYPERLINK("https://www.suredividend.com/sure-analysis-HON/","Honeywell International, Inc.")</f>
        <v>0</v>
      </c>
      <c r="C172" t="s">
        <v>613</v>
      </c>
      <c r="D172">
        <v>0.027430029503229</v>
      </c>
      <c r="E172">
        <v>-0.01378696414031977</v>
      </c>
      <c r="F172">
        <v>0.09</v>
      </c>
      <c r="G172">
        <v>0.1016631619620596</v>
      </c>
      <c r="H172" t="s">
        <v>618</v>
      </c>
      <c r="I172" t="s">
        <v>375</v>
      </c>
    </row>
    <row r="173" spans="1:9">
      <c r="A173" s="1" t="s">
        <v>180</v>
      </c>
      <c r="B173">
        <f>HYPERLINK("https://www.suredividend.com/sure-analysis-EIX/","Edison International")</f>
        <v>0</v>
      </c>
      <c r="C173" t="s">
        <v>613</v>
      </c>
      <c r="D173">
        <v>0.044682752457551</v>
      </c>
      <c r="E173">
        <v>0.02074748777390245</v>
      </c>
      <c r="F173">
        <v>0.04</v>
      </c>
      <c r="G173">
        <v>0.09922129056791773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613</v>
      </c>
      <c r="D174">
        <v>0.01203594736279</v>
      </c>
      <c r="E174">
        <v>-0.0306434507654515</v>
      </c>
      <c r="F174">
        <v>0.12</v>
      </c>
      <c r="G174">
        <v>0.09850328643820849</v>
      </c>
      <c r="H174" t="s">
        <v>618</v>
      </c>
      <c r="I174" t="s">
        <v>316</v>
      </c>
    </row>
    <row r="175" spans="1:9">
      <c r="A175" s="1" t="s">
        <v>182</v>
      </c>
      <c r="B175">
        <f>HYPERLINK("https://www.suredividend.com/sure-analysis-IBM/","International Business Machines Corp.")</f>
        <v>0</v>
      </c>
      <c r="C175" t="s">
        <v>613</v>
      </c>
      <c r="D175">
        <v>0.05539408445888101</v>
      </c>
      <c r="E175">
        <v>0.008439022418601727</v>
      </c>
      <c r="F175">
        <v>0.04</v>
      </c>
      <c r="G175">
        <v>0.09748823749592406</v>
      </c>
      <c r="H175" t="s">
        <v>618</v>
      </c>
      <c r="I175" t="s">
        <v>617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615</v>
      </c>
      <c r="D176">
        <v>0.04361087328767101</v>
      </c>
      <c r="E176">
        <v>0.01768522272177275</v>
      </c>
      <c r="F176">
        <v>0.04</v>
      </c>
      <c r="G176">
        <v>0.09549229506457735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HYPERLINK("https://www.suredividend.com/sure-analysis-UVV/","Universal Corp.")</f>
        <v>0</v>
      </c>
      <c r="C177" t="s">
        <v>613</v>
      </c>
      <c r="D177">
        <v>0.07320608842715601</v>
      </c>
      <c r="E177">
        <v>0.007661361171913184</v>
      </c>
      <c r="F177">
        <v>0.025</v>
      </c>
      <c r="G177">
        <v>0.09378734114396514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613</v>
      </c>
      <c r="D178">
        <v>0.031447225244831</v>
      </c>
      <c r="E178">
        <v>0.008767645026956927</v>
      </c>
      <c r="F178">
        <v>0.055</v>
      </c>
      <c r="G178">
        <v>0.09261870044657061</v>
      </c>
      <c r="H178" t="s">
        <v>618</v>
      </c>
      <c r="I178" t="s">
        <v>375</v>
      </c>
    </row>
    <row r="179" spans="1:9">
      <c r="A179" s="1" t="s">
        <v>186</v>
      </c>
      <c r="B179">
        <f>HYPERLINK("https://www.suredividend.com/sure-analysis-MDLZ/","Mondelez International, Inc.")</f>
        <v>0</v>
      </c>
      <c r="C179" t="s">
        <v>613</v>
      </c>
      <c r="D179">
        <v>0.022317854283426</v>
      </c>
      <c r="E179">
        <v>0.0001600768450848999</v>
      </c>
      <c r="F179">
        <v>0.07000000000000001</v>
      </c>
      <c r="G179">
        <v>0.09078071839957014</v>
      </c>
      <c r="H179" t="s">
        <v>618</v>
      </c>
      <c r="I179" t="s">
        <v>316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0.022948366176103</v>
      </c>
      <c r="E180">
        <v>0.003271121084361894</v>
      </c>
      <c r="F180">
        <v>0.065</v>
      </c>
      <c r="G180">
        <v>0.09035386788043454</v>
      </c>
      <c r="H180" t="s">
        <v>618</v>
      </c>
      <c r="I180" t="s">
        <v>316</v>
      </c>
    </row>
    <row r="181" spans="1:9">
      <c r="A181" s="1" t="s">
        <v>188</v>
      </c>
      <c r="B181">
        <f>HYPERLINK("https://www.suredividend.com/sure-analysis-DEO/","Diageo Plc")</f>
        <v>0</v>
      </c>
      <c r="C181" t="s">
        <v>613</v>
      </c>
      <c r="D181">
        <v>0.025486183330857</v>
      </c>
      <c r="E181">
        <v>-0.01314762242304712</v>
      </c>
      <c r="F181">
        <v>0.08</v>
      </c>
      <c r="G181">
        <v>0.08852286435546097</v>
      </c>
      <c r="H181" t="s">
        <v>618</v>
      </c>
      <c r="I181" t="s">
        <v>316</v>
      </c>
    </row>
    <row r="182" spans="1:9">
      <c r="A182" s="1" t="s">
        <v>189</v>
      </c>
      <c r="B182">
        <f>HYPERLINK("https://www.suredividend.com/sure-analysis-KO/","The Coca-Cola Co.")</f>
        <v>0</v>
      </c>
      <c r="C182" t="s">
        <v>613</v>
      </c>
      <c r="D182">
        <v>0.037216828478964</v>
      </c>
      <c r="E182">
        <v>-0.01554766083366377</v>
      </c>
      <c r="F182">
        <v>0.07000000000000001</v>
      </c>
      <c r="G182">
        <v>0.08778901481467671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0.01600451892299</v>
      </c>
      <c r="E183">
        <v>-0.03693572041597404</v>
      </c>
      <c r="F183">
        <v>0.112</v>
      </c>
      <c r="G183">
        <v>0.08732003843768643</v>
      </c>
      <c r="H183" t="s">
        <v>618</v>
      </c>
      <c r="I183" t="s">
        <v>316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0.021877144818119</v>
      </c>
      <c r="E184">
        <v>0.01569707382288099</v>
      </c>
      <c r="F184">
        <v>0.05</v>
      </c>
      <c r="G184">
        <v>0.08603293373054099</v>
      </c>
      <c r="H184" t="s">
        <v>618</v>
      </c>
      <c r="I184" t="s">
        <v>375</v>
      </c>
    </row>
    <row r="185" spans="1:9">
      <c r="A185" s="1" t="s">
        <v>192</v>
      </c>
      <c r="B185">
        <f>HYPERLINK("https://www.suredividend.com/sure-analysis-DE/","Deere &amp; Co.")</f>
        <v>0</v>
      </c>
      <c r="C185" t="s">
        <v>613</v>
      </c>
      <c r="D185">
        <v>0.024125069438933</v>
      </c>
      <c r="E185">
        <v>0.003138714489082206</v>
      </c>
      <c r="F185">
        <v>0.06</v>
      </c>
      <c r="G185">
        <v>0.08488945789796176</v>
      </c>
      <c r="H185" t="s">
        <v>618</v>
      </c>
      <c r="I185" t="s">
        <v>375</v>
      </c>
    </row>
    <row r="186" spans="1:9">
      <c r="A186" s="1" t="s">
        <v>193</v>
      </c>
      <c r="B186">
        <f>HYPERLINK("https://www.suredividend.com/sure-analysis-INFY/","Infosys Ltd.")</f>
        <v>0</v>
      </c>
      <c r="C186" t="s">
        <v>613</v>
      </c>
      <c r="D186">
        <v>0.027983103448275</v>
      </c>
      <c r="E186">
        <v>-0.01663635837135835</v>
      </c>
      <c r="F186">
        <v>0.07000000000000001</v>
      </c>
      <c r="G186">
        <v>0.081333097162819</v>
      </c>
      <c r="H186" t="s">
        <v>618</v>
      </c>
      <c r="I186" t="s">
        <v>375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613</v>
      </c>
      <c r="D187">
        <v>0.033021553477023</v>
      </c>
      <c r="E187">
        <v>0.04606443674316885</v>
      </c>
      <c r="F187">
        <v>0</v>
      </c>
      <c r="G187">
        <v>0.08086442904257618</v>
      </c>
      <c r="H187" t="s">
        <v>618</v>
      </c>
      <c r="I187" t="s">
        <v>375</v>
      </c>
    </row>
    <row r="188" spans="1:9">
      <c r="A188" s="1" t="s">
        <v>195</v>
      </c>
      <c r="B188">
        <f>HYPERLINK("https://www.suredividend.com/sure-analysis-WU/","The Western Union Co.")</f>
        <v>0</v>
      </c>
      <c r="C188" t="s">
        <v>613</v>
      </c>
      <c r="D188">
        <v>0.04442649434571801</v>
      </c>
      <c r="E188">
        <v>0.02489996476022993</v>
      </c>
      <c r="F188">
        <v>0.01</v>
      </c>
      <c r="G188">
        <v>0.08008945467971773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HYPERLINK("https://www.suredividend.com/sure-analysis-GILD/","Gilead Sciences, Inc.")</f>
        <v>0</v>
      </c>
      <c r="C189" t="s">
        <v>613</v>
      </c>
      <c r="D189">
        <v>0.03370049829530501</v>
      </c>
      <c r="E189">
        <v>-0.005998628199023082</v>
      </c>
      <c r="F189">
        <v>0.05</v>
      </c>
      <c r="G189">
        <v>0.07829290912703946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613</v>
      </c>
      <c r="D190">
        <v>0.058974358974358</v>
      </c>
      <c r="E190">
        <v>0.005076403090295889</v>
      </c>
      <c r="F190">
        <v>0.02</v>
      </c>
      <c r="G190">
        <v>0.07721871013593717</v>
      </c>
      <c r="H190" t="s">
        <v>618</v>
      </c>
      <c r="I190" t="s">
        <v>617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613</v>
      </c>
      <c r="D191">
        <v>0.029079969917272</v>
      </c>
      <c r="E191">
        <v>-0.001963069455829691</v>
      </c>
      <c r="F191">
        <v>0.05</v>
      </c>
      <c r="G191">
        <v>0.07581865708637925</v>
      </c>
      <c r="H191" t="s">
        <v>618</v>
      </c>
      <c r="I191" t="s">
        <v>375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613</v>
      </c>
      <c r="D192">
        <v>0.024771024146544</v>
      </c>
      <c r="E192">
        <v>-0.03985546646121818</v>
      </c>
      <c r="F192">
        <v>0.09</v>
      </c>
      <c r="G192">
        <v>0.07405627773955104</v>
      </c>
      <c r="H192" t="s">
        <v>618</v>
      </c>
      <c r="I192" t="s">
        <v>375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613</v>
      </c>
      <c r="D193">
        <v>0.030372519083969</v>
      </c>
      <c r="E193">
        <v>0.00751964409229755</v>
      </c>
      <c r="F193">
        <v>0.036</v>
      </c>
      <c r="G193">
        <v>0.07052931525320894</v>
      </c>
      <c r="H193" t="s">
        <v>618</v>
      </c>
      <c r="I193" t="s">
        <v>375</v>
      </c>
    </row>
    <row r="194" spans="1:9">
      <c r="A194" s="1" t="s">
        <v>201</v>
      </c>
      <c r="B194">
        <f>HYPERLINK("https://www.suredividend.com/sure-analysis-UNP/","Union Pacific Corp.")</f>
        <v>0</v>
      </c>
      <c r="C194" t="s">
        <v>613</v>
      </c>
      <c r="D194">
        <v>0.025059508066649</v>
      </c>
      <c r="E194">
        <v>-0.02537624050953469</v>
      </c>
      <c r="F194">
        <v>0.07000000000000001</v>
      </c>
      <c r="G194">
        <v>0.06687791650114772</v>
      </c>
      <c r="H194" t="s">
        <v>618</v>
      </c>
      <c r="I194" t="s">
        <v>375</v>
      </c>
    </row>
    <row r="195" spans="1:9">
      <c r="A195" s="1" t="s">
        <v>202</v>
      </c>
      <c r="B195">
        <f>HYPERLINK("https://www.suredividend.com/sure-analysis-AROW/","Arrow Financial Corp.")</f>
        <v>0</v>
      </c>
      <c r="C195" t="s">
        <v>613</v>
      </c>
      <c r="D195">
        <v>0.040064894448788</v>
      </c>
      <c r="E195">
        <v>0.01824315255500819</v>
      </c>
      <c r="F195">
        <v>0.01</v>
      </c>
      <c r="G195">
        <v>0.06653378823202516</v>
      </c>
      <c r="H195" t="s">
        <v>618</v>
      </c>
      <c r="I195" t="s">
        <v>618</v>
      </c>
    </row>
    <row r="196" spans="1:9">
      <c r="A196" s="1" t="s">
        <v>203</v>
      </c>
      <c r="B196">
        <f>HYPERLINK("https://www.suredividend.com/sure-analysis-SJM/","The J. M. Smucker Co.")</f>
        <v>0</v>
      </c>
      <c r="C196" t="s">
        <v>613</v>
      </c>
      <c r="D196">
        <v>0.038089427351172</v>
      </c>
      <c r="E196">
        <v>-0.01570387733986134</v>
      </c>
      <c r="F196">
        <v>0.05</v>
      </c>
      <c r="G196">
        <v>0.06184824181598869</v>
      </c>
      <c r="H196" t="s">
        <v>618</v>
      </c>
      <c r="I196" t="s">
        <v>375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613</v>
      </c>
      <c r="D197">
        <v>0.019947265848905</v>
      </c>
      <c r="E197">
        <v>-0.01715547463215528</v>
      </c>
      <c r="F197">
        <v>0.06</v>
      </c>
      <c r="G197">
        <v>0.06099593568133521</v>
      </c>
      <c r="H197" t="s">
        <v>618</v>
      </c>
      <c r="I197" t="s">
        <v>316</v>
      </c>
    </row>
    <row r="198" spans="1:9">
      <c r="A198" s="1" t="s">
        <v>205</v>
      </c>
      <c r="B198">
        <f>HYPERLINK("https://www.suredividend.com/sure-analysis-CBU/","Community Bank System, Inc.")</f>
        <v>0</v>
      </c>
      <c r="C198" t="s">
        <v>613</v>
      </c>
      <c r="D198">
        <v>0.031003273637589</v>
      </c>
      <c r="E198">
        <v>-0.01154807509942213</v>
      </c>
      <c r="F198">
        <v>0.04</v>
      </c>
      <c r="G198">
        <v>0.06064845851130962</v>
      </c>
      <c r="H198" t="s">
        <v>618</v>
      </c>
      <c r="I198" t="s">
        <v>375</v>
      </c>
    </row>
    <row r="199" spans="1:9">
      <c r="A199" s="1" t="s">
        <v>206</v>
      </c>
      <c r="B199">
        <f>HYPERLINK("https://www.suredividend.com/sure-analysis-ED/","Consolidated Edison, Inc.")</f>
        <v>0</v>
      </c>
      <c r="C199" t="s">
        <v>613</v>
      </c>
      <c r="D199">
        <v>0.042779988629903</v>
      </c>
      <c r="E199">
        <v>-0.01572261860741786</v>
      </c>
      <c r="F199">
        <v>0.035</v>
      </c>
      <c r="G199">
        <v>0.06002956444720575</v>
      </c>
      <c r="H199" t="s">
        <v>618</v>
      </c>
      <c r="I199" t="s">
        <v>618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613</v>
      </c>
      <c r="D200">
        <v>0.022730121589437</v>
      </c>
      <c r="E200">
        <v>-0.03623491863223016</v>
      </c>
      <c r="F200">
        <v>0.07000000000000001</v>
      </c>
      <c r="G200">
        <v>0.0571804003697518</v>
      </c>
      <c r="H200" t="s">
        <v>618</v>
      </c>
      <c r="I200" t="s">
        <v>316</v>
      </c>
    </row>
    <row r="201" spans="1:9">
      <c r="A201" s="1" t="s">
        <v>208</v>
      </c>
      <c r="B201">
        <f>HYPERLINK("https://www.suredividend.com/sure-analysis-HSY/","The Hershey Co.")</f>
        <v>0</v>
      </c>
      <c r="C201" t="s">
        <v>613</v>
      </c>
      <c r="D201">
        <v>0.023324129467709</v>
      </c>
      <c r="E201">
        <v>-0.02993371856243676</v>
      </c>
      <c r="F201">
        <v>0.06</v>
      </c>
      <c r="G201">
        <v>0.05245820602976092</v>
      </c>
      <c r="H201" t="s">
        <v>618</v>
      </c>
      <c r="I201" t="s">
        <v>316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613</v>
      </c>
      <c r="D202">
        <v>0.01377345048682</v>
      </c>
      <c r="E202">
        <v>-0.03086684410093365</v>
      </c>
      <c r="F202">
        <v>0.07000000000000001</v>
      </c>
      <c r="G202">
        <v>0.05148141850873755</v>
      </c>
      <c r="H202" t="s">
        <v>618</v>
      </c>
      <c r="I202" t="s">
        <v>316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613</v>
      </c>
      <c r="D203">
        <v>0.018680525635459</v>
      </c>
      <c r="E203">
        <v>-0.02817589076347993</v>
      </c>
      <c r="F203">
        <v>0.06</v>
      </c>
      <c r="G203">
        <v>0.05099676579869916</v>
      </c>
      <c r="H203" t="s">
        <v>618</v>
      </c>
      <c r="I203" t="s">
        <v>316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613</v>
      </c>
      <c r="D204">
        <v>0.021075094508166</v>
      </c>
      <c r="E204">
        <v>-0.03874336915608134</v>
      </c>
      <c r="F204">
        <v>0.07000000000000001</v>
      </c>
      <c r="G204">
        <v>0.05069489069100319</v>
      </c>
      <c r="H204" t="s">
        <v>618</v>
      </c>
      <c r="I204" t="s">
        <v>375</v>
      </c>
    </row>
    <row r="205" spans="1:9">
      <c r="A205" s="1" t="s">
        <v>212</v>
      </c>
      <c r="B205">
        <f>HYPERLINK("https://www.suredividend.com/sure-analysis-TMP/","Tompkins Financial Corp.")</f>
        <v>0</v>
      </c>
      <c r="C205" t="s">
        <v>613</v>
      </c>
      <c r="D205">
        <v>0.036273115220483</v>
      </c>
      <c r="E205">
        <v>0.01302738953747107</v>
      </c>
      <c r="F205">
        <v>0</v>
      </c>
      <c r="G205">
        <v>0.04981472443048696</v>
      </c>
      <c r="H205" t="s">
        <v>618</v>
      </c>
      <c r="I205" t="s">
        <v>618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613</v>
      </c>
      <c r="D206">
        <v>0.038744998947146</v>
      </c>
      <c r="E206">
        <v>-0.02427052559682907</v>
      </c>
      <c r="F206">
        <v>0.035</v>
      </c>
      <c r="G206">
        <v>0.04754622925688667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613</v>
      </c>
      <c r="D207">
        <v>0.019650583274001</v>
      </c>
      <c r="E207">
        <v>-0.03348467081464401</v>
      </c>
      <c r="F207">
        <v>0.06</v>
      </c>
      <c r="G207">
        <v>0.04704672190299641</v>
      </c>
      <c r="H207" t="s">
        <v>618</v>
      </c>
      <c r="I207" t="s">
        <v>375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613</v>
      </c>
      <c r="D208">
        <v>0.027042651593011</v>
      </c>
      <c r="E208">
        <v>-0.06541666817063885</v>
      </c>
      <c r="F208">
        <v>0.09</v>
      </c>
      <c r="G208">
        <v>0.04519552244386338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HYPERLINK("https://www.suredividend.com/sure-analysis-BLK/","BlackRock, Inc.")</f>
        <v>0</v>
      </c>
      <c r="C209" t="s">
        <v>613</v>
      </c>
      <c r="D209">
        <v>0.02633679169992</v>
      </c>
      <c r="E209">
        <v>-0.05216765605743734</v>
      </c>
      <c r="F209">
        <v>0.07000000000000001</v>
      </c>
      <c r="G209">
        <v>0.04511788353799462</v>
      </c>
      <c r="H209" t="s">
        <v>618</v>
      </c>
      <c r="I209" t="s">
        <v>375</v>
      </c>
    </row>
    <row r="210" spans="1:9">
      <c r="A210" s="1" t="s">
        <v>217</v>
      </c>
      <c r="B210">
        <f>HYPERLINK("https://www.suredividend.com/sure-analysis-K/","Kellogg Co.")</f>
        <v>0</v>
      </c>
      <c r="C210" t="s">
        <v>613</v>
      </c>
      <c r="D210">
        <v>0.035429998439207</v>
      </c>
      <c r="E210">
        <v>-0.0231136835769562</v>
      </c>
      <c r="F210">
        <v>0.03</v>
      </c>
      <c r="G210">
        <v>0.0425478691843999</v>
      </c>
      <c r="H210" t="s">
        <v>618</v>
      </c>
      <c r="I210" t="s">
        <v>375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613</v>
      </c>
      <c r="D211">
        <v>0.027731430872792</v>
      </c>
      <c r="E211">
        <v>-0.03693068328449101</v>
      </c>
      <c r="F211">
        <v>0.05</v>
      </c>
      <c r="G211">
        <v>0.04129875680256667</v>
      </c>
      <c r="H211" t="s">
        <v>618</v>
      </c>
      <c r="I211" t="s">
        <v>375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613</v>
      </c>
      <c r="D212">
        <v>0.025442055718102</v>
      </c>
      <c r="E212">
        <v>-0.04945997709341021</v>
      </c>
      <c r="F212">
        <v>0.06</v>
      </c>
      <c r="G212">
        <v>0.03983218281995038</v>
      </c>
      <c r="H212" t="s">
        <v>618</v>
      </c>
      <c r="I212" t="s">
        <v>375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613</v>
      </c>
      <c r="D213">
        <v>0.02172976011994</v>
      </c>
      <c r="E213">
        <v>-0.0335056076492628</v>
      </c>
      <c r="F213">
        <v>0.05</v>
      </c>
      <c r="G213">
        <v>0.03982197408947052</v>
      </c>
      <c r="H213" t="s">
        <v>618</v>
      </c>
      <c r="I213" t="s">
        <v>375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613</v>
      </c>
      <c r="D214">
        <v>0.023241304008734</v>
      </c>
      <c r="E214">
        <v>-0.02323561528312068</v>
      </c>
      <c r="F214">
        <v>0.04</v>
      </c>
      <c r="G214">
        <v>0.03946376444196908</v>
      </c>
      <c r="H214" t="s">
        <v>618</v>
      </c>
      <c r="I214" t="s">
        <v>375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613</v>
      </c>
      <c r="D215">
        <v>0.030009149130832</v>
      </c>
      <c r="E215">
        <v>-0.009891849814301135</v>
      </c>
      <c r="F215">
        <v>0.02</v>
      </c>
      <c r="G215">
        <v>0.03882554100862068</v>
      </c>
      <c r="H215" t="s">
        <v>618</v>
      </c>
      <c r="I215" t="s">
        <v>375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613</v>
      </c>
      <c r="D216">
        <v>0.028098565649135</v>
      </c>
      <c r="E216">
        <v>-0.04676295179492573</v>
      </c>
      <c r="F216">
        <v>0.055</v>
      </c>
      <c r="G216">
        <v>0.03815189210870584</v>
      </c>
      <c r="H216" t="s">
        <v>618</v>
      </c>
      <c r="I216" t="s">
        <v>618</v>
      </c>
    </row>
    <row r="217" spans="1:9">
      <c r="A217" s="1" t="s">
        <v>224</v>
      </c>
      <c r="B217">
        <f>HYPERLINK("https://www.suredividend.com/sure-analysis-NVO/","Novo Nordisk A/S")</f>
        <v>0</v>
      </c>
      <c r="C217" t="s">
        <v>613</v>
      </c>
      <c r="D217">
        <v>0.013711891722735</v>
      </c>
      <c r="E217">
        <v>-0.04412683008767959</v>
      </c>
      <c r="F217">
        <v>0.06</v>
      </c>
      <c r="G217">
        <v>0.03625971570995334</v>
      </c>
      <c r="H217" t="s">
        <v>618</v>
      </c>
      <c r="I217" t="s">
        <v>316</v>
      </c>
    </row>
    <row r="218" spans="1:9">
      <c r="A218" s="1" t="s">
        <v>225</v>
      </c>
      <c r="B218">
        <f>HYPERLINK("https://www.suredividend.com/sure-analysis-NUE/","Nucor Corp.")</f>
        <v>0</v>
      </c>
      <c r="C218" t="s">
        <v>613</v>
      </c>
      <c r="D218">
        <v>0.042159180457052</v>
      </c>
      <c r="E218">
        <v>-0.1933742255270561</v>
      </c>
      <c r="F218">
        <v>0.231</v>
      </c>
      <c r="G218">
        <v>0.03565977196956216</v>
      </c>
      <c r="H218" t="s">
        <v>618</v>
      </c>
      <c r="I218" t="s">
        <v>618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613</v>
      </c>
      <c r="D219">
        <v>0.02011421640471</v>
      </c>
      <c r="E219">
        <v>-0.05013410318811273</v>
      </c>
      <c r="F219">
        <v>0.065</v>
      </c>
      <c r="G219">
        <v>0.03474845888498379</v>
      </c>
      <c r="H219" t="s">
        <v>618</v>
      </c>
      <c r="I219" t="s">
        <v>316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0.013563153433173</v>
      </c>
      <c r="E220">
        <v>-0.06344793977351038</v>
      </c>
      <c r="F220">
        <v>0.08</v>
      </c>
      <c r="G220">
        <v>0.02926607427733252</v>
      </c>
      <c r="H220" t="s">
        <v>618</v>
      </c>
      <c r="I220" t="s">
        <v>316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0.023571976476604</v>
      </c>
      <c r="E221">
        <v>-0.06465023152829819</v>
      </c>
      <c r="F221">
        <v>0.07000000000000001</v>
      </c>
      <c r="G221">
        <v>0.02878695016547206</v>
      </c>
      <c r="H221" t="s">
        <v>618</v>
      </c>
      <c r="I221" t="s">
        <v>375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613</v>
      </c>
      <c r="D222">
        <v>0.022602589422865</v>
      </c>
      <c r="E222">
        <v>-0.06709940810262238</v>
      </c>
      <c r="F222">
        <v>0.07000000000000001</v>
      </c>
      <c r="G222">
        <v>0.0269536182912371</v>
      </c>
      <c r="H222" t="s">
        <v>618</v>
      </c>
      <c r="I222" t="s">
        <v>316</v>
      </c>
    </row>
    <row r="223" spans="1:9">
      <c r="A223" s="1" t="s">
        <v>230</v>
      </c>
      <c r="B223">
        <f>HYPERLINK("https://www.suredividend.com/sure-analysis-BAM/","Brookfield Asset Management, Inc.")</f>
        <v>0</v>
      </c>
      <c r="C223" t="s">
        <v>613</v>
      </c>
      <c r="D223">
        <v>0.022120877749027</v>
      </c>
      <c r="E223">
        <v>-0.02052492806933714</v>
      </c>
      <c r="F223">
        <v>0.03</v>
      </c>
      <c r="G223">
        <v>0.02666635451122779</v>
      </c>
      <c r="H223" t="s">
        <v>618</v>
      </c>
      <c r="I223" t="s">
        <v>375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613</v>
      </c>
      <c r="D224">
        <v>0.021708537475242</v>
      </c>
      <c r="E224">
        <v>-0.04550901797066698</v>
      </c>
      <c r="F224">
        <v>0.05</v>
      </c>
      <c r="G224">
        <v>0.02573664220755068</v>
      </c>
      <c r="H224" t="s">
        <v>618</v>
      </c>
      <c r="I224" t="s">
        <v>316</v>
      </c>
    </row>
    <row r="225" spans="1:9">
      <c r="A225" s="1" t="s">
        <v>232</v>
      </c>
      <c r="B225">
        <f>HYPERLINK("https://www.suredividend.com/sure-analysis-RMD/","ResMed, Inc.")</f>
        <v>0</v>
      </c>
      <c r="C225" t="s">
        <v>613</v>
      </c>
      <c r="D225">
        <v>0.009383378016085001</v>
      </c>
      <c r="E225">
        <v>-0.09798675751556762</v>
      </c>
      <c r="F225">
        <v>0.12</v>
      </c>
      <c r="G225">
        <v>0.02221689495666146</v>
      </c>
      <c r="H225" t="s">
        <v>618</v>
      </c>
      <c r="I225" t="s">
        <v>316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614</v>
      </c>
      <c r="D226">
        <v>0.017248889276069</v>
      </c>
      <c r="E226">
        <v>-0.05721554787582683</v>
      </c>
      <c r="F226">
        <v>0.06</v>
      </c>
      <c r="G226">
        <v>0.02094143895026557</v>
      </c>
      <c r="H226" t="s">
        <v>618</v>
      </c>
      <c r="I226" t="s">
        <v>316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613</v>
      </c>
      <c r="D227">
        <v>0.028415961305925</v>
      </c>
      <c r="E227">
        <v>-0.05339275216326334</v>
      </c>
      <c r="F227">
        <v>0.04</v>
      </c>
      <c r="G227">
        <v>0.01775166457878541</v>
      </c>
      <c r="H227" t="s">
        <v>618</v>
      </c>
      <c r="I227" t="s">
        <v>375</v>
      </c>
    </row>
    <row r="228" spans="1:9">
      <c r="A228" s="1" t="s">
        <v>235</v>
      </c>
      <c r="B228">
        <f>HYPERLINK("https://www.suredividend.com/sure-analysis-MSFT/","Microsoft Corp.")</f>
        <v>0</v>
      </c>
      <c r="C228" t="s">
        <v>613</v>
      </c>
      <c r="D228">
        <v>0.010864817645774</v>
      </c>
      <c r="E228">
        <v>-0.07956961490161163</v>
      </c>
      <c r="F228">
        <v>0.09</v>
      </c>
      <c r="G228">
        <v>0.01738588176580413</v>
      </c>
      <c r="H228" t="s">
        <v>618</v>
      </c>
      <c r="I228" t="s">
        <v>316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613</v>
      </c>
      <c r="D229">
        <v>0.007994486560992001</v>
      </c>
      <c r="E229">
        <v>-0.05734827063500747</v>
      </c>
      <c r="F229">
        <v>0.06</v>
      </c>
      <c r="G229">
        <v>0.009497792529355786</v>
      </c>
      <c r="H229" t="s">
        <v>618</v>
      </c>
      <c r="I229" t="s">
        <v>316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613</v>
      </c>
      <c r="D230">
        <v>0.010690884009656</v>
      </c>
      <c r="E230">
        <v>-0.0876138759341677</v>
      </c>
      <c r="F230">
        <v>0.09</v>
      </c>
      <c r="G230">
        <v>0.009045261312254471</v>
      </c>
      <c r="H230" t="s">
        <v>618</v>
      </c>
      <c r="I230" t="s">
        <v>316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613</v>
      </c>
      <c r="D231">
        <v>0.021136642694264</v>
      </c>
      <c r="E231">
        <v>-0.07671436269750764</v>
      </c>
      <c r="F231">
        <v>0.06</v>
      </c>
      <c r="G231">
        <v>0.006704761769635414</v>
      </c>
      <c r="H231" t="s">
        <v>618</v>
      </c>
      <c r="I231" t="s">
        <v>375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613</v>
      </c>
      <c r="D232">
        <v>0.022677529182879</v>
      </c>
      <c r="E232">
        <v>-0.07563822833445932</v>
      </c>
      <c r="F232">
        <v>0.055</v>
      </c>
      <c r="G232">
        <v>0.003619076432920698</v>
      </c>
      <c r="H232" t="s">
        <v>618</v>
      </c>
      <c r="I232" t="s">
        <v>375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613</v>
      </c>
      <c r="D233">
        <v>0.012531328320802</v>
      </c>
      <c r="E233">
        <v>-0.07415873596442657</v>
      </c>
      <c r="F233">
        <v>0.065</v>
      </c>
      <c r="G233">
        <v>0.00199910292903982</v>
      </c>
      <c r="H233" t="s">
        <v>618</v>
      </c>
      <c r="I233" t="s">
        <v>316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0.028863499699338</v>
      </c>
      <c r="E234">
        <v>-0.07111677854915988</v>
      </c>
      <c r="F234">
        <v>0.04</v>
      </c>
      <c r="G234">
        <v>0.0008189261387174795</v>
      </c>
      <c r="H234" t="s">
        <v>618</v>
      </c>
      <c r="I234" t="s">
        <v>375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0.020206834103798</v>
      </c>
      <c r="E235">
        <v>-0.0803929307214204</v>
      </c>
      <c r="F235">
        <v>0.04</v>
      </c>
      <c r="G235">
        <v>-0.01782288361912765</v>
      </c>
      <c r="H235" t="s">
        <v>618</v>
      </c>
      <c r="I235" t="s">
        <v>375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0.016799598065691</v>
      </c>
      <c r="E236">
        <v>-0.07990455480423442</v>
      </c>
      <c r="F236">
        <v>0.04</v>
      </c>
      <c r="G236">
        <v>-0.02225277933531189</v>
      </c>
      <c r="H236" t="s">
        <v>618</v>
      </c>
      <c r="I236" t="s">
        <v>316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0.273224043715846</v>
      </c>
      <c r="E237">
        <v>0.3014764179083869</v>
      </c>
      <c r="F237">
        <v>0.02</v>
      </c>
      <c r="G237">
        <v>0.4057105286731373</v>
      </c>
      <c r="H237" t="s">
        <v>375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0.081174899866488</v>
      </c>
      <c r="E238">
        <v>0.2705564716135282</v>
      </c>
      <c r="F238">
        <v>0.08</v>
      </c>
      <c r="G238">
        <v>0.4007470914732059</v>
      </c>
      <c r="H238" t="s">
        <v>375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613</v>
      </c>
      <c r="D239">
        <v>0.222931337325349</v>
      </c>
      <c r="E239">
        <v>0.2100996220266345</v>
      </c>
      <c r="F239">
        <v>0.04</v>
      </c>
      <c r="G239">
        <v>0.3491832734174443</v>
      </c>
      <c r="H239" t="s">
        <v>375</v>
      </c>
      <c r="I239" t="s">
        <v>617</v>
      </c>
    </row>
    <row r="240" spans="1:9">
      <c r="A240" s="1" t="s">
        <v>247</v>
      </c>
      <c r="B240">
        <f>HYPERLINK("https://www.suredividend.com/sure-analysis-MDP/","Meredith Corp.")</f>
        <v>0</v>
      </c>
      <c r="C240" t="s">
        <v>613</v>
      </c>
      <c r="D240">
        <v>0.200518582541054</v>
      </c>
      <c r="E240">
        <v>0.2332073832180277</v>
      </c>
      <c r="F240">
        <v>0.036</v>
      </c>
      <c r="G240">
        <v>0.3476639088529394</v>
      </c>
      <c r="H240" t="s">
        <v>375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0.048554913294797</v>
      </c>
      <c r="E241">
        <v>0.2509672879347515</v>
      </c>
      <c r="F241">
        <v>0.05</v>
      </c>
      <c r="G241">
        <v>0.3345168479681209</v>
      </c>
      <c r="H241" t="s">
        <v>375</v>
      </c>
      <c r="I241" t="s">
        <v>375</v>
      </c>
    </row>
    <row r="242" spans="1:9">
      <c r="A242" s="1" t="s">
        <v>249</v>
      </c>
      <c r="B242">
        <f>HYPERLINK("https://www.suredividend.com/sure-analysis-PBR/","Petróleo Brasileiro SA")</f>
        <v>0</v>
      </c>
      <c r="C242" t="s">
        <v>613</v>
      </c>
      <c r="D242">
        <v>0.046082786885245</v>
      </c>
      <c r="E242">
        <v>0.1633829734886234</v>
      </c>
      <c r="F242">
        <v>0.1</v>
      </c>
      <c r="G242">
        <v>0.2906467336618479</v>
      </c>
      <c r="H242" t="s">
        <v>375</v>
      </c>
      <c r="I242" t="s">
        <v>375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613</v>
      </c>
      <c r="D243">
        <v>0.156317567107551</v>
      </c>
      <c r="E243">
        <v>0.1564195385116272</v>
      </c>
      <c r="F243">
        <v>0.05</v>
      </c>
      <c r="G243">
        <v>0.2846826598352385</v>
      </c>
      <c r="H243" t="s">
        <v>375</v>
      </c>
      <c r="I243" t="s">
        <v>617</v>
      </c>
    </row>
    <row r="244" spans="1:9">
      <c r="A244" s="1" t="s">
        <v>251</v>
      </c>
      <c r="B244">
        <f>HYPERLINK("https://www.suredividend.com/sure-analysis-KTB/","Kontoor Brands, Inc.")</f>
        <v>0</v>
      </c>
      <c r="C244" t="s">
        <v>613</v>
      </c>
      <c r="D244">
        <v>0.121387283236994</v>
      </c>
      <c r="E244">
        <v>0.1673391012571213</v>
      </c>
      <c r="F244">
        <v>0.03</v>
      </c>
      <c r="G244">
        <v>0.2751471311091471</v>
      </c>
      <c r="H244" t="s">
        <v>375</v>
      </c>
      <c r="I244" t="s">
        <v>617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613</v>
      </c>
      <c r="D245">
        <v>0.129686098654708</v>
      </c>
      <c r="E245">
        <v>0.1657012840713803</v>
      </c>
      <c r="F245">
        <v>0.03</v>
      </c>
      <c r="G245">
        <v>0.2732341568736798</v>
      </c>
      <c r="H245" t="s">
        <v>375</v>
      </c>
      <c r="I245" t="s">
        <v>617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613</v>
      </c>
      <c r="D246">
        <v>0.04526315789473601</v>
      </c>
      <c r="E246">
        <v>0.1634300702005214</v>
      </c>
      <c r="F246">
        <v>0.075</v>
      </c>
      <c r="G246">
        <v>0.2725588318455421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HYPERLINK("https://www.suredividend.com/sure-analysis-TFC/","Truist Financial Corp.")</f>
        <v>0</v>
      </c>
      <c r="C247" t="s">
        <v>613</v>
      </c>
      <c r="D247">
        <v>0.05598086124401901</v>
      </c>
      <c r="E247">
        <v>0.1461219469623711</v>
      </c>
      <c r="F247">
        <v>0.07000000000000001</v>
      </c>
      <c r="G247">
        <v>0.2569188214645182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0.03726055971071601</v>
      </c>
      <c r="E248">
        <v>0.1529389482951018</v>
      </c>
      <c r="F248">
        <v>0.066</v>
      </c>
      <c r="G248">
        <v>0.2483383787761564</v>
      </c>
      <c r="H248" t="s">
        <v>375</v>
      </c>
      <c r="I248" t="s">
        <v>316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613</v>
      </c>
      <c r="D249">
        <v>0.127631578947368</v>
      </c>
      <c r="E249">
        <v>0.1747002625514502</v>
      </c>
      <c r="F249">
        <v>0.01</v>
      </c>
      <c r="G249">
        <v>0.2448245089154819</v>
      </c>
      <c r="H249" t="s">
        <v>375</v>
      </c>
      <c r="I249" t="s">
        <v>617</v>
      </c>
    </row>
    <row r="250" spans="1:9">
      <c r="A250" s="1" t="s">
        <v>257</v>
      </c>
      <c r="B250">
        <f>HYPERLINK("https://www.suredividend.com/sure-analysis-SBRA/","Sabra Health Care REIT, Inc.")</f>
        <v>0</v>
      </c>
      <c r="C250" t="s">
        <v>614</v>
      </c>
      <c r="D250">
        <v>0.153846153846153</v>
      </c>
      <c r="E250">
        <v>0.08997698704834534</v>
      </c>
      <c r="F250">
        <v>0.043</v>
      </c>
      <c r="G250">
        <v>0.2355440855269129</v>
      </c>
      <c r="H250" t="s">
        <v>375</v>
      </c>
      <c r="I250" t="s">
        <v>617</v>
      </c>
    </row>
    <row r="251" spans="1:9">
      <c r="A251" s="1" t="s">
        <v>258</v>
      </c>
      <c r="B251">
        <f>HYPERLINK("https://www.suredividend.com/sure-analysis-VTR/","Ventas, Inc.")</f>
        <v>0</v>
      </c>
      <c r="C251" t="s">
        <v>614</v>
      </c>
      <c r="D251">
        <v>0.11333571683947</v>
      </c>
      <c r="E251">
        <v>0.1363619429078138</v>
      </c>
      <c r="F251">
        <v>0.04</v>
      </c>
      <c r="G251">
        <v>0.2355363254783795</v>
      </c>
      <c r="H251" t="s">
        <v>375</v>
      </c>
      <c r="I251" t="s">
        <v>617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613</v>
      </c>
      <c r="D252">
        <v>0.064992614475627</v>
      </c>
      <c r="E252">
        <v>0.1322866197678509</v>
      </c>
      <c r="F252">
        <v>0.05</v>
      </c>
      <c r="G252">
        <v>0.2261006160855907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HYPERLINK("https://www.suredividend.com/sure-analysis-STOR/","STORE Capital Corp.")</f>
        <v>0</v>
      </c>
      <c r="C253" t="s">
        <v>614</v>
      </c>
      <c r="D253">
        <v>0.08046647230320701</v>
      </c>
      <c r="E253">
        <v>0.1256918294694294</v>
      </c>
      <c r="F253">
        <v>0.046</v>
      </c>
      <c r="G253">
        <v>0.222685836721519</v>
      </c>
      <c r="H253" t="s">
        <v>375</v>
      </c>
      <c r="I253" t="s">
        <v>617</v>
      </c>
    </row>
    <row r="254" spans="1:9">
      <c r="A254" s="1" t="s">
        <v>261</v>
      </c>
      <c r="B254">
        <f>HYPERLINK("https://www.suredividend.com/sure-analysis-MT/","ArcelorMittal SA")</f>
        <v>0</v>
      </c>
      <c r="C254" t="s">
        <v>613</v>
      </c>
      <c r="D254">
        <v>0.023501762632197</v>
      </c>
      <c r="E254">
        <v>-0.01228400813148267</v>
      </c>
      <c r="F254">
        <v>0.201</v>
      </c>
      <c r="G254">
        <v>0.206787138172023</v>
      </c>
      <c r="H254" t="s">
        <v>375</v>
      </c>
      <c r="I254" t="s">
        <v>316</v>
      </c>
    </row>
    <row r="255" spans="1:9">
      <c r="A255" s="1" t="s">
        <v>262</v>
      </c>
      <c r="B255">
        <f>HYPERLINK("https://www.suredividend.com/sure-analysis-OKE/","ONEOK, Inc.")</f>
        <v>0</v>
      </c>
      <c r="C255" t="s">
        <v>613</v>
      </c>
      <c r="D255">
        <v>0.113460944736029</v>
      </c>
      <c r="E255">
        <v>0.07730179132230619</v>
      </c>
      <c r="F255">
        <v>0.05</v>
      </c>
      <c r="G255">
        <v>0.2050857275834461</v>
      </c>
      <c r="H255" t="s">
        <v>375</v>
      </c>
      <c r="I255" t="s">
        <v>617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613</v>
      </c>
      <c r="D256">
        <v>0.09580838323353201</v>
      </c>
      <c r="E256">
        <v>0.1424399405780268</v>
      </c>
      <c r="F256">
        <v>0.01</v>
      </c>
      <c r="G256">
        <v>0.2034619078332451</v>
      </c>
      <c r="H256" t="s">
        <v>375</v>
      </c>
      <c r="I256" t="s">
        <v>618</v>
      </c>
    </row>
    <row r="257" spans="1:9">
      <c r="A257" s="1" t="s">
        <v>264</v>
      </c>
      <c r="B257">
        <f>HYPERLINK("https://www.suredividend.com/sure-analysis-MGA/","Magna International, Inc.")</f>
        <v>0</v>
      </c>
      <c r="C257" t="s">
        <v>613</v>
      </c>
      <c r="D257">
        <v>0.04087195684007</v>
      </c>
      <c r="E257">
        <v>0.09948641534142078</v>
      </c>
      <c r="F257">
        <v>0.06</v>
      </c>
      <c r="G257">
        <v>0.1923958971557733</v>
      </c>
      <c r="H257" t="s">
        <v>375</v>
      </c>
      <c r="I257" t="s">
        <v>375</v>
      </c>
    </row>
    <row r="258" spans="1:9">
      <c r="A258" s="1" t="s">
        <v>265</v>
      </c>
      <c r="B258">
        <f>HYPERLINK("https://www.suredividend.com/sure-analysis-PRU/","Prudential Financial, Inc.")</f>
        <v>0</v>
      </c>
      <c r="C258" t="s">
        <v>613</v>
      </c>
      <c r="D258">
        <v>0.07746079727942501</v>
      </c>
      <c r="E258">
        <v>0.09676978722706808</v>
      </c>
      <c r="F258">
        <v>0.04</v>
      </c>
      <c r="G258">
        <v>0.1912502258375304</v>
      </c>
      <c r="H258" t="s">
        <v>375</v>
      </c>
      <c r="I258" t="s">
        <v>618</v>
      </c>
    </row>
    <row r="259" spans="1:9">
      <c r="A259" s="1" t="s">
        <v>266</v>
      </c>
      <c r="B259">
        <f>HYPERLINK("https://www.suredividend.com/sure-analysis-NOV/","National Oilwell Varco, Inc.")</f>
        <v>0</v>
      </c>
      <c r="C259" t="s">
        <v>613</v>
      </c>
      <c r="D259">
        <v>0.017361111111111</v>
      </c>
      <c r="E259">
        <v>0.1482992241310128</v>
      </c>
      <c r="F259">
        <v>0.018</v>
      </c>
      <c r="G259">
        <v>0.1872417597641547</v>
      </c>
      <c r="H259" t="s">
        <v>375</v>
      </c>
      <c r="I259" t="s">
        <v>516</v>
      </c>
    </row>
    <row r="260" spans="1:9">
      <c r="A260" s="1" t="s">
        <v>267</v>
      </c>
      <c r="B260">
        <f>HYPERLINK("https://www.suredividend.com/sure-analysis-MTB/","M&amp;T Bank Corp.")</f>
        <v>0</v>
      </c>
      <c r="C260" t="s">
        <v>613</v>
      </c>
      <c r="D260">
        <v>0.047127468581687</v>
      </c>
      <c r="E260">
        <v>0.08821008422389243</v>
      </c>
      <c r="F260">
        <v>0.057</v>
      </c>
      <c r="G260">
        <v>0.179716960204851</v>
      </c>
      <c r="H260" t="s">
        <v>375</v>
      </c>
      <c r="I260" t="s">
        <v>618</v>
      </c>
    </row>
    <row r="261" spans="1:9">
      <c r="A261" s="1" t="s">
        <v>268</v>
      </c>
      <c r="B261">
        <f>HYPERLINK("https://www.suredividend.com/sure-analysis-GM/","General Motors Co.")</f>
        <v>0</v>
      </c>
      <c r="C261" t="s">
        <v>613</v>
      </c>
      <c r="D261">
        <v>0.067167476800707</v>
      </c>
      <c r="E261">
        <v>0.1092254068017076</v>
      </c>
      <c r="F261">
        <v>0.03</v>
      </c>
      <c r="G261">
        <v>0.1794545639635008</v>
      </c>
      <c r="H261" t="s">
        <v>375</v>
      </c>
      <c r="I261" t="s">
        <v>618</v>
      </c>
    </row>
    <row r="262" spans="1:9">
      <c r="A262" s="1" t="s">
        <v>269</v>
      </c>
      <c r="B262">
        <f>HYPERLINK("https://www.suredividend.com/sure-analysis-MMP/","Magellan Midstream Partners LP")</f>
        <v>0</v>
      </c>
      <c r="C262" t="s">
        <v>615</v>
      </c>
      <c r="D262">
        <v>0.09715583173996101</v>
      </c>
      <c r="E262">
        <v>0.0600327185409677</v>
      </c>
      <c r="F262">
        <v>0.05</v>
      </c>
      <c r="G262">
        <v>0.1790380291258125</v>
      </c>
      <c r="H262" t="s">
        <v>375</v>
      </c>
      <c r="I262" t="s">
        <v>617</v>
      </c>
    </row>
    <row r="263" spans="1:9">
      <c r="A263" s="1" t="s">
        <v>270</v>
      </c>
      <c r="B263">
        <f>HYPERLINK("https://www.suredividend.com/sure-analysis-MPLX/","MPLX LP")</f>
        <v>0</v>
      </c>
      <c r="C263" t="s">
        <v>615</v>
      </c>
      <c r="D263">
        <v>0.148209366391184</v>
      </c>
      <c r="E263">
        <v>0.04850436143755688</v>
      </c>
      <c r="F263">
        <v>0.02</v>
      </c>
      <c r="G263">
        <v>0.1712281885594993</v>
      </c>
      <c r="H263" t="s">
        <v>375</v>
      </c>
      <c r="I263" t="s">
        <v>617</v>
      </c>
    </row>
    <row r="264" spans="1:9">
      <c r="A264" s="1" t="s">
        <v>271</v>
      </c>
      <c r="B264">
        <f>HYPERLINK("https://www.suredividend.com/sure-analysis-HNI/","HNI Corp.")</f>
        <v>0</v>
      </c>
      <c r="C264" t="s">
        <v>613</v>
      </c>
      <c r="D264">
        <v>0.05815061963775001</v>
      </c>
      <c r="E264">
        <v>0.07414560093496836</v>
      </c>
      <c r="F264">
        <v>0.055</v>
      </c>
      <c r="G264">
        <v>0.1706510337986158</v>
      </c>
      <c r="H264" t="s">
        <v>375</v>
      </c>
      <c r="I264" t="s">
        <v>618</v>
      </c>
    </row>
    <row r="265" spans="1:9">
      <c r="A265" s="1" t="s">
        <v>272</v>
      </c>
      <c r="B265">
        <f>HYPERLINK("https://www.suredividend.com/sure-analysis-LEG/","Leggett &amp; Platt, Inc.")</f>
        <v>0</v>
      </c>
      <c r="C265" t="s">
        <v>613</v>
      </c>
      <c r="D265">
        <v>0.06012777151446801</v>
      </c>
      <c r="E265">
        <v>0.07386019455658865</v>
      </c>
      <c r="F265">
        <v>0.05</v>
      </c>
      <c r="G265">
        <v>0.1666923350759013</v>
      </c>
      <c r="H265" t="s">
        <v>375</v>
      </c>
      <c r="I265" t="s">
        <v>618</v>
      </c>
    </row>
    <row r="266" spans="1:9">
      <c r="A266" s="1" t="s">
        <v>273</v>
      </c>
      <c r="B266">
        <f>HYPERLINK("https://www.suredividend.com/sure-analysis-MAR/","Marriott International, Inc.")</f>
        <v>0</v>
      </c>
      <c r="C266" t="s">
        <v>613</v>
      </c>
      <c r="D266">
        <v>0.024072216649949</v>
      </c>
      <c r="E266">
        <v>0.1076774108741947</v>
      </c>
      <c r="F266">
        <v>0.04</v>
      </c>
      <c r="G266">
        <v>0.1660725182002192</v>
      </c>
      <c r="H266" t="s">
        <v>375</v>
      </c>
      <c r="I266" t="s">
        <v>316</v>
      </c>
    </row>
    <row r="267" spans="1:9">
      <c r="A267" s="1" t="s">
        <v>274</v>
      </c>
      <c r="B267">
        <f>HYPERLINK("https://www.suredividend.com/sure-analysis-ENB/","Enbridge, Inc.")</f>
        <v>0</v>
      </c>
      <c r="C267" t="s">
        <v>613</v>
      </c>
      <c r="D267">
        <v>0.072858416799695</v>
      </c>
      <c r="E267">
        <v>0.04577366052855547</v>
      </c>
      <c r="F267">
        <v>0.055</v>
      </c>
      <c r="G267">
        <v>0.1609547509937364</v>
      </c>
      <c r="H267" t="s">
        <v>375</v>
      </c>
      <c r="I267" t="s">
        <v>618</v>
      </c>
    </row>
    <row r="268" spans="1:9">
      <c r="A268" s="1" t="s">
        <v>275</v>
      </c>
      <c r="B268">
        <f>HYPERLINK("https://www.suredividend.com/sure-analysis-GS/","The Goldman Sachs Group, Inc.")</f>
        <v>0</v>
      </c>
      <c r="C268" t="s">
        <v>613</v>
      </c>
      <c r="D268">
        <v>0.026764414964798</v>
      </c>
      <c r="E268">
        <v>0.08379366782102537</v>
      </c>
      <c r="F268">
        <v>0.05</v>
      </c>
      <c r="G268">
        <v>0.1585503341177821</v>
      </c>
      <c r="H268" t="s">
        <v>375</v>
      </c>
      <c r="I268" t="s">
        <v>316</v>
      </c>
    </row>
    <row r="269" spans="1:9">
      <c r="A269" s="1" t="s">
        <v>276</v>
      </c>
      <c r="B269">
        <f>HYPERLINK("https://www.suredividend.com/sure-analysis-HPQ/","HP, Inc.")</f>
        <v>0</v>
      </c>
      <c r="C269" t="s">
        <v>613</v>
      </c>
      <c r="D269">
        <v>0.044199192462987</v>
      </c>
      <c r="E269">
        <v>0.07161823985716387</v>
      </c>
      <c r="F269">
        <v>0.05</v>
      </c>
      <c r="G269">
        <v>0.1583793205861808</v>
      </c>
      <c r="H269" t="s">
        <v>375</v>
      </c>
      <c r="I269" t="s">
        <v>375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613</v>
      </c>
      <c r="D270">
        <v>0.037741734248284</v>
      </c>
      <c r="E270">
        <v>0.08406555116689174</v>
      </c>
      <c r="F270">
        <v>0.04</v>
      </c>
      <c r="G270">
        <v>0.1546921380227806</v>
      </c>
      <c r="H270" t="s">
        <v>375</v>
      </c>
      <c r="I270" t="s">
        <v>316</v>
      </c>
    </row>
    <row r="271" spans="1:9">
      <c r="A271" s="1" t="s">
        <v>278</v>
      </c>
      <c r="B271">
        <f>HYPERLINK("https://www.suredividend.com/sure-analysis-BUD/","Anheuser-Busch InBev SA/NV")</f>
        <v>0</v>
      </c>
      <c r="C271" t="s">
        <v>613</v>
      </c>
      <c r="D271">
        <v>0.02215411558669</v>
      </c>
      <c r="E271">
        <v>0.09177088437375436</v>
      </c>
      <c r="F271">
        <v>0.03</v>
      </c>
      <c r="G271">
        <v>0.1543471964646586</v>
      </c>
      <c r="H271" t="s">
        <v>375</v>
      </c>
      <c r="I271" t="s">
        <v>516</v>
      </c>
    </row>
    <row r="272" spans="1:9">
      <c r="A272" s="1" t="s">
        <v>279</v>
      </c>
      <c r="B272">
        <f>HYPERLINK("https://www.suredividend.com/sure-analysis-GEF/","Greif, Inc.")</f>
        <v>0</v>
      </c>
      <c r="C272" t="s">
        <v>613</v>
      </c>
      <c r="D272">
        <v>0.06119610570236401</v>
      </c>
      <c r="E272">
        <v>0.09366603898162396</v>
      </c>
      <c r="F272">
        <v>0.02</v>
      </c>
      <c r="G272">
        <v>0.1529928214654797</v>
      </c>
      <c r="H272" t="s">
        <v>375</v>
      </c>
      <c r="I272" t="s">
        <v>618</v>
      </c>
    </row>
    <row r="273" spans="1:9">
      <c r="A273" s="1" t="s">
        <v>280</v>
      </c>
      <c r="B273">
        <f>HYPERLINK("https://www.suredividend.com/sure-analysis-GE/","General Electric Co.")</f>
        <v>0</v>
      </c>
      <c r="C273" t="s">
        <v>613</v>
      </c>
      <c r="D273">
        <v>0.007285974499089001</v>
      </c>
      <c r="E273">
        <v>0.01792500121884211</v>
      </c>
      <c r="F273">
        <v>0.125</v>
      </c>
      <c r="G273">
        <v>0.1493711936699489</v>
      </c>
      <c r="H273" t="s">
        <v>375</v>
      </c>
      <c r="I273" t="s">
        <v>516</v>
      </c>
    </row>
    <row r="274" spans="1:9">
      <c r="A274" s="1" t="s">
        <v>281</v>
      </c>
      <c r="B274">
        <f>HYPERLINK("https://www.suredividend.com/sure-analysis-UPS/","United Parcel Service, Inc.")</f>
        <v>0</v>
      </c>
      <c r="C274" t="s">
        <v>613</v>
      </c>
      <c r="D274">
        <v>0.042733164890695</v>
      </c>
      <c r="E274">
        <v>0.02301764811338058</v>
      </c>
      <c r="F274">
        <v>0.09</v>
      </c>
      <c r="G274">
        <v>0.1462963402314734</v>
      </c>
      <c r="H274" t="s">
        <v>375</v>
      </c>
      <c r="I274" t="s">
        <v>375</v>
      </c>
    </row>
    <row r="275" spans="1:9">
      <c r="A275" s="1" t="s">
        <v>282</v>
      </c>
      <c r="B275">
        <f>HYPERLINK("https://www.suredividend.com/sure-analysis-ORI/","Old Republic International Corp.")</f>
        <v>0</v>
      </c>
      <c r="C275" t="s">
        <v>613</v>
      </c>
      <c r="D275">
        <v>0.05728429985855701</v>
      </c>
      <c r="E275">
        <v>0.06086675112626061</v>
      </c>
      <c r="F275">
        <v>0.04</v>
      </c>
      <c r="G275">
        <v>0.1458218019512911</v>
      </c>
      <c r="H275" t="s">
        <v>375</v>
      </c>
      <c r="I275" t="s">
        <v>618</v>
      </c>
    </row>
    <row r="276" spans="1:9">
      <c r="A276" s="1" t="s">
        <v>283</v>
      </c>
      <c r="B276">
        <f>HYPERLINK("https://www.suredividend.com/sure-analysis-NC/","NACCO Industries, Inc.")</f>
        <v>0</v>
      </c>
      <c r="C276" t="s">
        <v>613</v>
      </c>
      <c r="D276">
        <v>0.028326500186358</v>
      </c>
      <c r="E276">
        <v>0.108966349788977</v>
      </c>
      <c r="F276">
        <v>0.01</v>
      </c>
      <c r="G276">
        <v>0.1443518121429055</v>
      </c>
      <c r="H276" t="s">
        <v>375</v>
      </c>
      <c r="I276" t="s">
        <v>316</v>
      </c>
    </row>
    <row r="277" spans="1:9">
      <c r="A277" s="1" t="s">
        <v>284</v>
      </c>
      <c r="B277">
        <f>HYPERLINK("https://www.suredividend.com/sure-analysis-TAP/","Molson Coors Beverage Co.")</f>
        <v>0</v>
      </c>
      <c r="C277" t="s">
        <v>613</v>
      </c>
      <c r="D277">
        <v>0.05832187070151301</v>
      </c>
      <c r="E277">
        <v>0.04821575573418779</v>
      </c>
      <c r="F277">
        <v>0.05</v>
      </c>
      <c r="G277">
        <v>0.1438152557988106</v>
      </c>
      <c r="H277" t="s">
        <v>375</v>
      </c>
      <c r="I277" t="s">
        <v>618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614</v>
      </c>
      <c r="D278">
        <v>0.054770954190838</v>
      </c>
      <c r="E278">
        <v>0.05065315125005054</v>
      </c>
      <c r="F278">
        <v>0.05</v>
      </c>
      <c r="G278">
        <v>0.143272838758465</v>
      </c>
      <c r="H278" t="s">
        <v>375</v>
      </c>
      <c r="I278" t="s">
        <v>618</v>
      </c>
    </row>
    <row r="279" spans="1:9">
      <c r="A279" s="1" t="s">
        <v>286</v>
      </c>
      <c r="B279">
        <f>HYPERLINK("https://www.suredividend.com/sure-analysis-BIP/","Brookfield Infrastructure Partners LP")</f>
        <v>0</v>
      </c>
      <c r="C279" t="s">
        <v>615</v>
      </c>
      <c r="D279">
        <v>0.053199791883454</v>
      </c>
      <c r="E279">
        <v>0.01787203394822434</v>
      </c>
      <c r="F279">
        <v>0.08</v>
      </c>
      <c r="G279">
        <v>0.1388690856333061</v>
      </c>
      <c r="H279" t="s">
        <v>375</v>
      </c>
      <c r="I279" t="s">
        <v>618</v>
      </c>
    </row>
    <row r="280" spans="1:9">
      <c r="A280" s="1" t="s">
        <v>287</v>
      </c>
      <c r="B280">
        <f>HYPERLINK("https://www.suredividend.com/sure-analysis-JWN/","Nordstrom, Inc.")</f>
        <v>0</v>
      </c>
      <c r="C280" t="s">
        <v>613</v>
      </c>
      <c r="D280">
        <v>0.090409285277947</v>
      </c>
      <c r="E280">
        <v>0.09694520406254403</v>
      </c>
      <c r="F280">
        <v>-0.02</v>
      </c>
      <c r="G280">
        <v>0.1355007231093335</v>
      </c>
      <c r="H280" t="s">
        <v>375</v>
      </c>
      <c r="I280" t="s">
        <v>617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614</v>
      </c>
      <c r="D281">
        <v>0.07328352899324</v>
      </c>
      <c r="E281">
        <v>0.04481990966254412</v>
      </c>
      <c r="F281">
        <v>0.037</v>
      </c>
      <c r="G281">
        <v>0.1352385511525362</v>
      </c>
      <c r="H281" t="s">
        <v>375</v>
      </c>
      <c r="I281" t="s">
        <v>618</v>
      </c>
    </row>
    <row r="282" spans="1:9">
      <c r="A282" s="1" t="s">
        <v>289</v>
      </c>
      <c r="B282">
        <f>HYPERLINK("https://www.suredividend.com/sure-analysis-HBI/","Hanesbrands, Inc.")</f>
        <v>0</v>
      </c>
      <c r="C282" t="s">
        <v>613</v>
      </c>
      <c r="D282">
        <v>0.07042253521126701</v>
      </c>
      <c r="E282">
        <v>-0.01251597527587844</v>
      </c>
      <c r="F282">
        <v>0.1</v>
      </c>
      <c r="G282">
        <v>0.1347814261496991</v>
      </c>
      <c r="H282" t="s">
        <v>375</v>
      </c>
      <c r="I282" t="s">
        <v>618</v>
      </c>
    </row>
    <row r="283" spans="1:9">
      <c r="A283" s="1" t="s">
        <v>290</v>
      </c>
      <c r="B283">
        <f>HYPERLINK("https://www.suredividend.com/sure-analysis-UMBF/","UMB Financial Corp.")</f>
        <v>0</v>
      </c>
      <c r="C283" t="s">
        <v>613</v>
      </c>
      <c r="D283">
        <v>0.028097650852141</v>
      </c>
      <c r="E283">
        <v>0.09062888762645605</v>
      </c>
      <c r="F283">
        <v>0.02</v>
      </c>
      <c r="G283">
        <v>0.1321471146643221</v>
      </c>
      <c r="H283" t="s">
        <v>375</v>
      </c>
      <c r="I283" t="s">
        <v>316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613</v>
      </c>
      <c r="D284">
        <v>0.018067026683608</v>
      </c>
      <c r="E284">
        <v>-0.02055460359693639</v>
      </c>
      <c r="F284">
        <v>0.14</v>
      </c>
      <c r="G284">
        <v>0.1314980688050758</v>
      </c>
      <c r="H284" t="s">
        <v>375</v>
      </c>
      <c r="I284" t="s">
        <v>516</v>
      </c>
    </row>
    <row r="285" spans="1:9">
      <c r="A285" s="1" t="s">
        <v>292</v>
      </c>
      <c r="B285">
        <f>HYPERLINK("https://www.suredividend.com/sure-analysis-DDS/","Dillard's, Inc.")</f>
        <v>0</v>
      </c>
      <c r="C285" t="s">
        <v>613</v>
      </c>
      <c r="D285">
        <v>0.02127659574468</v>
      </c>
      <c r="E285">
        <v>0.08010160104648389</v>
      </c>
      <c r="F285">
        <v>0.03</v>
      </c>
      <c r="G285">
        <v>0.1300117860204875</v>
      </c>
      <c r="H285" t="s">
        <v>375</v>
      </c>
      <c r="I285" t="s">
        <v>316</v>
      </c>
    </row>
    <row r="286" spans="1:9">
      <c r="A286" s="1" t="s">
        <v>293</v>
      </c>
      <c r="B286">
        <f>HYPERLINK("https://www.suredividend.com/sure-analysis-PII/","Polaris Inc.")</f>
        <v>0</v>
      </c>
      <c r="C286" t="s">
        <v>613</v>
      </c>
      <c r="D286">
        <v>0.033130493576741</v>
      </c>
      <c r="E286">
        <v>0.04006592049376634</v>
      </c>
      <c r="F286">
        <v>0.06</v>
      </c>
      <c r="G286">
        <v>0.128360314737187</v>
      </c>
      <c r="H286" t="s">
        <v>375</v>
      </c>
      <c r="I286" t="s">
        <v>316</v>
      </c>
    </row>
    <row r="287" spans="1:9">
      <c r="A287" s="1" t="s">
        <v>294</v>
      </c>
      <c r="B287">
        <f>HYPERLINK("https://www.suredividend.com/sure-analysis-ALL/","The Allstate Corp.")</f>
        <v>0</v>
      </c>
      <c r="C287" t="s">
        <v>613</v>
      </c>
      <c r="D287">
        <v>0.021388131683791</v>
      </c>
      <c r="E287">
        <v>0.05557850739992753</v>
      </c>
      <c r="F287">
        <v>0.05</v>
      </c>
      <c r="G287">
        <v>0.1267392735618578</v>
      </c>
      <c r="H287" t="s">
        <v>375</v>
      </c>
      <c r="I287" t="s">
        <v>316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613</v>
      </c>
      <c r="D288">
        <v>0.05575573677223501</v>
      </c>
      <c r="E288">
        <v>0.03623094053520748</v>
      </c>
      <c r="F288">
        <v>0.06</v>
      </c>
      <c r="G288">
        <v>0.1264944935937613</v>
      </c>
      <c r="H288" t="s">
        <v>375</v>
      </c>
      <c r="I288" t="s">
        <v>618</v>
      </c>
    </row>
    <row r="289" spans="1:9">
      <c r="A289" s="1" t="s">
        <v>296</v>
      </c>
      <c r="B289">
        <f>HYPERLINK("https://www.suredividend.com/sure-analysis-SIEGY/","Siemens AG")</f>
        <v>0</v>
      </c>
      <c r="C289" t="s">
        <v>613</v>
      </c>
      <c r="D289">
        <v>0.04527991452991401</v>
      </c>
      <c r="E289">
        <v>0.04384599219544394</v>
      </c>
      <c r="F289">
        <v>0.045</v>
      </c>
      <c r="G289">
        <v>0.1260817987027338</v>
      </c>
      <c r="H289" t="s">
        <v>375</v>
      </c>
      <c r="I289" t="s">
        <v>618</v>
      </c>
    </row>
    <row r="290" spans="1:9">
      <c r="A290" s="1" t="s">
        <v>297</v>
      </c>
      <c r="B290">
        <f>HYPERLINK("https://www.suredividend.com/sure-analysis-OSK/","Oshkosh Corp.")</f>
        <v>0</v>
      </c>
      <c r="C290" t="s">
        <v>613</v>
      </c>
      <c r="D290">
        <v>0.01868546139977</v>
      </c>
      <c r="E290">
        <v>0.06604528143544952</v>
      </c>
      <c r="F290">
        <v>0.04</v>
      </c>
      <c r="G290">
        <v>0.124246617378172</v>
      </c>
      <c r="H290" t="s">
        <v>375</v>
      </c>
      <c r="I290" t="s">
        <v>516</v>
      </c>
    </row>
    <row r="291" spans="1:9">
      <c r="A291" s="1" t="s">
        <v>298</v>
      </c>
      <c r="B291">
        <f>HYPERLINK("https://www.suredividend.com/sure-analysis-DTE/","DTE Energy Co.")</f>
        <v>0</v>
      </c>
      <c r="C291" t="s">
        <v>613</v>
      </c>
      <c r="D291">
        <v>0.040215716486902</v>
      </c>
      <c r="E291">
        <v>0.0265908866604867</v>
      </c>
      <c r="F291">
        <v>0.06</v>
      </c>
      <c r="G291">
        <v>0.1215359549068493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HYPERLINK("https://www.suredividend.com/sure-analysis-WPC/","W.P. Carey, Inc.")</f>
        <v>0</v>
      </c>
      <c r="C292" t="s">
        <v>614</v>
      </c>
      <c r="D292">
        <v>0.07592897675269901</v>
      </c>
      <c r="E292">
        <v>0.02892061771340382</v>
      </c>
      <c r="F292">
        <v>0.035</v>
      </c>
      <c r="G292">
        <v>0.1214401847042341</v>
      </c>
      <c r="H292" t="s">
        <v>375</v>
      </c>
      <c r="I292" t="s">
        <v>618</v>
      </c>
    </row>
    <row r="293" spans="1:9">
      <c r="A293" s="1" t="s">
        <v>300</v>
      </c>
      <c r="B293">
        <f>HYPERLINK("https://www.suredividend.com/sure-analysis-AMX/","America Movil SAB de CV")</f>
        <v>0</v>
      </c>
      <c r="C293" t="s">
        <v>613</v>
      </c>
      <c r="D293">
        <v>0.0300736497545</v>
      </c>
      <c r="E293">
        <v>-0.03930449470459296</v>
      </c>
      <c r="F293">
        <v>0.14</v>
      </c>
      <c r="G293">
        <v>0.1196375373567085</v>
      </c>
      <c r="H293" t="s">
        <v>375</v>
      </c>
      <c r="I293" t="s">
        <v>375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613</v>
      </c>
      <c r="D294">
        <v>0.01135599551737</v>
      </c>
      <c r="E294">
        <v>0.025758306388729</v>
      </c>
      <c r="F294">
        <v>0.08</v>
      </c>
      <c r="G294">
        <v>0.1179804681987375</v>
      </c>
      <c r="H294" t="s">
        <v>375</v>
      </c>
      <c r="I294" t="s">
        <v>516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613</v>
      </c>
      <c r="D295">
        <v>0.03660118606375001</v>
      </c>
      <c r="E295">
        <v>0.007449341191869019</v>
      </c>
      <c r="F295">
        <v>0.08</v>
      </c>
      <c r="G295">
        <v>0.1174990531456526</v>
      </c>
      <c r="H295" t="s">
        <v>375</v>
      </c>
      <c r="I295" t="s">
        <v>375</v>
      </c>
    </row>
    <row r="296" spans="1:9">
      <c r="A296" s="1" t="s">
        <v>303</v>
      </c>
      <c r="B296">
        <f>HYPERLINK("https://www.suredividend.com/sure-analysis-BTI/","British American Tobacco plc")</f>
        <v>0</v>
      </c>
      <c r="C296" t="s">
        <v>613</v>
      </c>
      <c r="D296">
        <v>0.08999732190680201</v>
      </c>
      <c r="E296">
        <v>0.02862915212751815</v>
      </c>
      <c r="F296">
        <v>0.03</v>
      </c>
      <c r="G296">
        <v>0.1153837543429304</v>
      </c>
      <c r="H296" t="s">
        <v>375</v>
      </c>
      <c r="I296" t="s">
        <v>618</v>
      </c>
    </row>
    <row r="297" spans="1:9">
      <c r="A297" s="1" t="s">
        <v>304</v>
      </c>
      <c r="B297">
        <f>HYPERLINK("https://www.suredividend.com/sure-analysis-YUM/","Yum! Brands, Inc.")</f>
        <v>0</v>
      </c>
      <c r="C297" t="s">
        <v>613</v>
      </c>
      <c r="D297">
        <v>0.020376914016489</v>
      </c>
      <c r="E297">
        <v>-0.04625247822249401</v>
      </c>
      <c r="F297">
        <v>0.15</v>
      </c>
      <c r="G297">
        <v>0.1145322130968636</v>
      </c>
      <c r="H297" t="s">
        <v>375</v>
      </c>
      <c r="I297" t="s">
        <v>316</v>
      </c>
    </row>
    <row r="298" spans="1:9">
      <c r="A298" s="1" t="s">
        <v>305</v>
      </c>
      <c r="B298">
        <f>HYPERLINK("https://www.suredividend.com/sure-analysis-SNY/","Sanofi")</f>
        <v>0</v>
      </c>
      <c r="C298" t="s">
        <v>613</v>
      </c>
      <c r="D298">
        <v>0.02565594583157</v>
      </c>
      <c r="E298">
        <v>0.03818853294101321</v>
      </c>
      <c r="F298">
        <v>0.04</v>
      </c>
      <c r="G298">
        <v>0.109309138059585</v>
      </c>
      <c r="H298" t="s">
        <v>375</v>
      </c>
      <c r="I298" t="s">
        <v>316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0.045462294709325</v>
      </c>
      <c r="E299">
        <v>0.04087832545412406</v>
      </c>
      <c r="F299">
        <v>0.03</v>
      </c>
      <c r="G299">
        <v>0.1079443713086636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HYPERLINK("https://www.suredividend.com/sure-analysis-TM/","Toyota Motor Corp.")</f>
        <v>0</v>
      </c>
      <c r="C300" t="s">
        <v>613</v>
      </c>
      <c r="D300">
        <v>0.015654889212079</v>
      </c>
      <c r="E300">
        <v>0.03674066934752784</v>
      </c>
      <c r="F300">
        <v>0.04</v>
      </c>
      <c r="G300">
        <v>0.1062403384802553</v>
      </c>
      <c r="H300" t="s">
        <v>375</v>
      </c>
      <c r="I300" t="s">
        <v>516</v>
      </c>
    </row>
    <row r="301" spans="1:9">
      <c r="A301" s="1" t="s">
        <v>308</v>
      </c>
      <c r="B301">
        <f>HYPERLINK("https://www.suredividend.com/sure-analysis-TCO/","Taubman Centers, Inc.")</f>
        <v>0</v>
      </c>
      <c r="C301" t="s">
        <v>614</v>
      </c>
      <c r="D301">
        <v>0.070075266026472</v>
      </c>
      <c r="E301">
        <v>0.0269060996335746</v>
      </c>
      <c r="F301">
        <v>0.02</v>
      </c>
      <c r="G301">
        <v>0.1045401220136055</v>
      </c>
      <c r="H301" t="s">
        <v>375</v>
      </c>
      <c r="I301" t="s">
        <v>618</v>
      </c>
    </row>
    <row r="302" spans="1:9">
      <c r="A302" s="1" t="s">
        <v>309</v>
      </c>
      <c r="B302">
        <f>HYPERLINK("https://www.suredividend.com/sure-analysis-OTTR/","Otter Tail Corp.")</f>
        <v>0</v>
      </c>
      <c r="C302" t="s">
        <v>613</v>
      </c>
      <c r="D302">
        <v>0.036683027641436</v>
      </c>
      <c r="E302">
        <v>0.02594930363474646</v>
      </c>
      <c r="F302">
        <v>0.046</v>
      </c>
      <c r="G302">
        <v>0.1035061506054651</v>
      </c>
      <c r="H302" t="s">
        <v>375</v>
      </c>
      <c r="I302" t="s">
        <v>375</v>
      </c>
    </row>
    <row r="303" spans="1:9">
      <c r="A303" s="1" t="s">
        <v>310</v>
      </c>
      <c r="B303">
        <f>HYPERLINK("https://www.suredividend.com/sure-analysis-AON/","Aon Plc")</f>
        <v>0</v>
      </c>
      <c r="C303" t="s">
        <v>613</v>
      </c>
      <c r="D303">
        <v>0.002295612250221</v>
      </c>
      <c r="E303">
        <v>-0.007058832220032341</v>
      </c>
      <c r="F303">
        <v>0.1</v>
      </c>
      <c r="G303">
        <v>0.1012629521611033</v>
      </c>
      <c r="H303" t="s">
        <v>375</v>
      </c>
      <c r="I303" t="s">
        <v>516</v>
      </c>
    </row>
    <row r="304" spans="1:9">
      <c r="A304" s="1" t="s">
        <v>311</v>
      </c>
      <c r="B304">
        <f>HYPERLINK("https://www.suredividend.com/sure-analysis-PAYX/","Paychex, Inc.")</f>
        <v>0</v>
      </c>
      <c r="C304" t="s">
        <v>613</v>
      </c>
      <c r="D304">
        <v>0.03909821850859201</v>
      </c>
      <c r="E304">
        <v>0.01101131993788829</v>
      </c>
      <c r="F304">
        <v>0.05</v>
      </c>
      <c r="G304">
        <v>0.09512985386435835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0.02076591154261</v>
      </c>
      <c r="E305">
        <v>-0.02304436349476569</v>
      </c>
      <c r="F305">
        <v>0.1</v>
      </c>
      <c r="G305">
        <v>0.0948360933637884</v>
      </c>
      <c r="H305" t="s">
        <v>375</v>
      </c>
      <c r="I305" t="s">
        <v>516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613</v>
      </c>
      <c r="D306">
        <v>0.007634238052915</v>
      </c>
      <c r="E306">
        <v>-0.03406040202939598</v>
      </c>
      <c r="F306">
        <v>0.12</v>
      </c>
      <c r="G306">
        <v>0.09199232817482161</v>
      </c>
      <c r="H306" t="s">
        <v>375</v>
      </c>
      <c r="I306" t="s">
        <v>516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613</v>
      </c>
      <c r="D307">
        <v>0.071998568134351</v>
      </c>
      <c r="E307">
        <v>0.001828165773798629</v>
      </c>
      <c r="F307">
        <v>0.032</v>
      </c>
      <c r="G307">
        <v>0.091932453949926</v>
      </c>
      <c r="H307" t="s">
        <v>375</v>
      </c>
      <c r="I307" t="s">
        <v>618</v>
      </c>
    </row>
    <row r="308" spans="1:9">
      <c r="A308" s="1" t="s">
        <v>315</v>
      </c>
      <c r="B308">
        <f>HYPERLINK("https://www.suredividend.com/sure-analysis-VALE/","Vale SA")</f>
        <v>0</v>
      </c>
      <c r="C308" t="s">
        <v>613</v>
      </c>
      <c r="D308">
        <v>0.04199516324062801</v>
      </c>
      <c r="E308">
        <v>0.0387209669320745</v>
      </c>
      <c r="F308">
        <v>0.02</v>
      </c>
      <c r="G308">
        <v>0.09113501898480014</v>
      </c>
      <c r="H308" t="s">
        <v>375</v>
      </c>
      <c r="I308" t="s">
        <v>316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613</v>
      </c>
      <c r="D309">
        <v>0.047206596778317</v>
      </c>
      <c r="E309">
        <v>-0.003139052335246473</v>
      </c>
      <c r="F309">
        <v>0.055</v>
      </c>
      <c r="G309">
        <v>0.09095969281968697</v>
      </c>
      <c r="H309" t="s">
        <v>375</v>
      </c>
      <c r="I309" t="s">
        <v>375</v>
      </c>
    </row>
    <row r="310" spans="1:9">
      <c r="A310" s="1" t="s">
        <v>317</v>
      </c>
      <c r="B310">
        <f>HYPERLINK("https://www.suredividend.com/sure-analysis-CNP/","CenterPoint Energy, Inc.")</f>
        <v>0</v>
      </c>
      <c r="C310" t="s">
        <v>613</v>
      </c>
      <c r="D310">
        <v>0.06860119047619001</v>
      </c>
      <c r="E310">
        <v>-0.009710577713137658</v>
      </c>
      <c r="F310">
        <v>0.04</v>
      </c>
      <c r="G310">
        <v>0.08910181015991103</v>
      </c>
      <c r="H310" t="s">
        <v>375</v>
      </c>
      <c r="I310" t="s">
        <v>618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0.04873307984790801</v>
      </c>
      <c r="E311">
        <v>-0.004494317661697389</v>
      </c>
      <c r="F311">
        <v>0.05</v>
      </c>
      <c r="G311">
        <v>0.08726964393559355</v>
      </c>
      <c r="H311" t="s">
        <v>375</v>
      </c>
      <c r="I311" t="s">
        <v>618</v>
      </c>
    </row>
    <row r="312" spans="1:9">
      <c r="A312" s="1" t="s">
        <v>319</v>
      </c>
      <c r="B312">
        <f>HYPERLINK("https://www.suredividend.com/sure-analysis-DOC/","Physicians Realty Trust")</f>
        <v>0</v>
      </c>
      <c r="C312" t="s">
        <v>614</v>
      </c>
      <c r="D312">
        <v>0.06040709126723501</v>
      </c>
      <c r="E312">
        <v>0.02223278051471511</v>
      </c>
      <c r="F312">
        <v>0.017</v>
      </c>
      <c r="G312">
        <v>0.08683473167858358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0.032594448727833</v>
      </c>
      <c r="E313">
        <v>-0.02236055542210091</v>
      </c>
      <c r="F313">
        <v>0.08</v>
      </c>
      <c r="G313">
        <v>0.08557051360789214</v>
      </c>
      <c r="H313" t="s">
        <v>375</v>
      </c>
      <c r="I313" t="s">
        <v>316</v>
      </c>
    </row>
    <row r="314" spans="1:9">
      <c r="A314" s="1" t="s">
        <v>321</v>
      </c>
      <c r="B314">
        <f>HYPERLINK("https://www.suredividend.com/sure-analysis-TXN/","Texas Instruments Incorporated")</f>
        <v>0</v>
      </c>
      <c r="C314" t="s">
        <v>613</v>
      </c>
      <c r="D314">
        <v>0.030857354028085</v>
      </c>
      <c r="E314">
        <v>-0.02575729095680446</v>
      </c>
      <c r="F314">
        <v>0.08</v>
      </c>
      <c r="G314">
        <v>0.08542223842443475</v>
      </c>
      <c r="H314" t="s">
        <v>375</v>
      </c>
      <c r="I314" t="s">
        <v>375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613</v>
      </c>
      <c r="D315">
        <v>0.005618764845605</v>
      </c>
      <c r="E315">
        <v>-0.002866745704752316</v>
      </c>
      <c r="F315">
        <v>0.08</v>
      </c>
      <c r="G315">
        <v>0.08540945739228101</v>
      </c>
      <c r="H315" t="s">
        <v>375</v>
      </c>
      <c r="I315" t="s">
        <v>516</v>
      </c>
    </row>
    <row r="316" spans="1:9">
      <c r="A316" s="1" t="s">
        <v>323</v>
      </c>
      <c r="B316">
        <f>HYPERLINK("https://www.suredividend.com/sure-analysis-RCI/","Rogers Communications, Inc.")</f>
        <v>0</v>
      </c>
      <c r="C316" t="s">
        <v>613</v>
      </c>
      <c r="D316">
        <v>0.05116398055768701</v>
      </c>
      <c r="E316">
        <v>-0.01633466675401973</v>
      </c>
      <c r="F316">
        <v>0.07000000000000001</v>
      </c>
      <c r="G316">
        <v>0.0847033052810553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HYPERLINK("https://www.suredividend.com/sure-analysis-CBRL/","Cracker Barrel Old Country Store, Inc.")</f>
        <v>0</v>
      </c>
      <c r="C317" t="s">
        <v>613</v>
      </c>
      <c r="D317">
        <v>0.058890794739851</v>
      </c>
      <c r="E317">
        <v>-0.09874288567895528</v>
      </c>
      <c r="F317">
        <v>0.151</v>
      </c>
      <c r="G317">
        <v>0.08372279795236781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614</v>
      </c>
      <c r="D318">
        <v>0.040904556035916</v>
      </c>
      <c r="E318">
        <v>0.01503803546844651</v>
      </c>
      <c r="F318">
        <v>0.031</v>
      </c>
      <c r="G318">
        <v>0.08300524121181074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0.067421460628314</v>
      </c>
      <c r="E319">
        <v>0.003966772362733462</v>
      </c>
      <c r="F319">
        <v>0.02</v>
      </c>
      <c r="G319">
        <v>0.08234191758090881</v>
      </c>
      <c r="H319" t="s">
        <v>375</v>
      </c>
      <c r="I319" t="s">
        <v>618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0.05938332698896</v>
      </c>
      <c r="E320">
        <v>-0.002064079986266343</v>
      </c>
      <c r="F320">
        <v>0.04</v>
      </c>
      <c r="G320">
        <v>0.07984344435040569</v>
      </c>
      <c r="H320" t="s">
        <v>375</v>
      </c>
      <c r="I320" t="s">
        <v>375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613</v>
      </c>
      <c r="D321">
        <v>0.04634191402882101</v>
      </c>
      <c r="E321">
        <v>-0.005453919961769582</v>
      </c>
      <c r="F321">
        <v>0.04</v>
      </c>
      <c r="G321">
        <v>0.07612194727386412</v>
      </c>
      <c r="H321" t="s">
        <v>375</v>
      </c>
      <c r="I321" t="s">
        <v>375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613</v>
      </c>
      <c r="D322">
        <v>0.019112464910708</v>
      </c>
      <c r="E322">
        <v>-0.03105181836070581</v>
      </c>
      <c r="F322">
        <v>0.08500000000000001</v>
      </c>
      <c r="G322">
        <v>0.07275439751676882</v>
      </c>
      <c r="H322" t="s">
        <v>375</v>
      </c>
      <c r="I322" t="s">
        <v>516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0.035264596758445</v>
      </c>
      <c r="E323">
        <v>-0.02552310230124999</v>
      </c>
      <c r="F323">
        <v>0.06</v>
      </c>
      <c r="G323">
        <v>0.06594639134584868</v>
      </c>
      <c r="H323" t="s">
        <v>375</v>
      </c>
      <c r="I323" t="s">
        <v>316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613</v>
      </c>
      <c r="D324">
        <v>0.018928639030853</v>
      </c>
      <c r="E324">
        <v>-0.007025917709904017</v>
      </c>
      <c r="F324">
        <v>0.05</v>
      </c>
      <c r="G324">
        <v>0.0608122036756078</v>
      </c>
      <c r="H324" t="s">
        <v>375</v>
      </c>
      <c r="I324" t="s">
        <v>516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0.035318118067066</v>
      </c>
      <c r="E325">
        <v>-0.01970852300699721</v>
      </c>
      <c r="F325">
        <v>0.045</v>
      </c>
      <c r="G325">
        <v>0.0585597273431393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613</v>
      </c>
      <c r="D326">
        <v>0.032730632176323</v>
      </c>
      <c r="E326">
        <v>-0.04559920455098532</v>
      </c>
      <c r="F326">
        <v>0.07000000000000001</v>
      </c>
      <c r="G326">
        <v>0.0574021779955971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613</v>
      </c>
      <c r="D327">
        <v>0.00523410052341</v>
      </c>
      <c r="E327">
        <v>-0.08798837472636123</v>
      </c>
      <c r="F327">
        <v>0.15</v>
      </c>
      <c r="G327">
        <v>0.05606628445385731</v>
      </c>
      <c r="H327" t="s">
        <v>375</v>
      </c>
      <c r="I327" t="s">
        <v>516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0.005994877105019</v>
      </c>
      <c r="E328">
        <v>-0.08606629872742799</v>
      </c>
      <c r="F328">
        <v>0.14</v>
      </c>
      <c r="G328">
        <v>0.05059166492243605</v>
      </c>
      <c r="H328" t="s">
        <v>375</v>
      </c>
      <c r="I328" t="s">
        <v>516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614</v>
      </c>
      <c r="D329">
        <v>0.03097109364593</v>
      </c>
      <c r="E329">
        <v>-0.03140390987390207</v>
      </c>
      <c r="F329">
        <v>0.05</v>
      </c>
      <c r="G329">
        <v>0.04956472038040705</v>
      </c>
      <c r="H329" t="s">
        <v>375</v>
      </c>
      <c r="I329" t="s">
        <v>316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615</v>
      </c>
      <c r="D330">
        <v>0.043791684990702</v>
      </c>
      <c r="E330">
        <v>-0.05536080516798625</v>
      </c>
      <c r="F330">
        <v>0.06</v>
      </c>
      <c r="G330">
        <v>0.0487192802781331</v>
      </c>
      <c r="H330" t="s">
        <v>375</v>
      </c>
      <c r="I330" t="s">
        <v>375</v>
      </c>
    </row>
    <row r="331" spans="1:9">
      <c r="A331" s="1" t="s">
        <v>338</v>
      </c>
      <c r="B331">
        <f>HYPERLINK("https://www.suredividend.com/sure-analysis-PCAR/","PACCAR, Inc.")</f>
        <v>0</v>
      </c>
      <c r="C331" t="s">
        <v>613</v>
      </c>
      <c r="D331">
        <v>0.019153074966332</v>
      </c>
      <c r="E331">
        <v>-0.07198013205978226</v>
      </c>
      <c r="F331">
        <v>0.1</v>
      </c>
      <c r="G331">
        <v>0.04834070201044227</v>
      </c>
      <c r="H331" t="s">
        <v>375</v>
      </c>
      <c r="I331" t="s">
        <v>516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613</v>
      </c>
      <c r="D332">
        <v>0.031365018402944</v>
      </c>
      <c r="E332">
        <v>-0.01142801840309215</v>
      </c>
      <c r="F332">
        <v>0.03</v>
      </c>
      <c r="G332">
        <v>0.04681975020718077</v>
      </c>
      <c r="H332" t="s">
        <v>375</v>
      </c>
      <c r="I332" t="s">
        <v>316</v>
      </c>
    </row>
    <row r="333" spans="1:9">
      <c r="A333" s="1" t="s">
        <v>340</v>
      </c>
      <c r="B333">
        <f>HYPERLINK("https://www.suredividend.com/sure-analysis-DLR/","Digital Realty Trust, Inc.")</f>
        <v>0</v>
      </c>
      <c r="C333" t="s">
        <v>614</v>
      </c>
      <c r="D333">
        <v>0.033340980347174</v>
      </c>
      <c r="E333">
        <v>-0.07200234850675913</v>
      </c>
      <c r="F333">
        <v>0.08</v>
      </c>
      <c r="G333">
        <v>0.03989600664130633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613</v>
      </c>
      <c r="D334">
        <v>0.033494931687968</v>
      </c>
      <c r="E334">
        <v>-0.03487443209316754</v>
      </c>
      <c r="F334">
        <v>0.04</v>
      </c>
      <c r="G334">
        <v>0.03745226762718801</v>
      </c>
      <c r="H334" t="s">
        <v>375</v>
      </c>
      <c r="I334" t="s">
        <v>375</v>
      </c>
    </row>
    <row r="335" spans="1:9">
      <c r="A335" s="1" t="s">
        <v>342</v>
      </c>
      <c r="B335">
        <f>HYPERLINK("https://www.suredividend.com/sure-analysis-ACN/","Accenture Plc")</f>
        <v>0</v>
      </c>
      <c r="C335" t="s">
        <v>613</v>
      </c>
      <c r="D335">
        <v>0.016641287796388</v>
      </c>
      <c r="E335">
        <v>-0.05716170372502438</v>
      </c>
      <c r="F335">
        <v>0.075</v>
      </c>
      <c r="G335">
        <v>0.0336309288764125</v>
      </c>
      <c r="H335" t="s">
        <v>375</v>
      </c>
      <c r="I335" t="s">
        <v>516</v>
      </c>
    </row>
    <row r="336" spans="1:9">
      <c r="A336" s="1" t="s">
        <v>343</v>
      </c>
      <c r="B336">
        <f>HYPERLINK("https://www.suredividend.com/sure-analysis-WEC/","WEC Energy Group, Inc.")</f>
        <v>0</v>
      </c>
      <c r="C336" t="s">
        <v>613</v>
      </c>
      <c r="D336">
        <v>0.028331367924528</v>
      </c>
      <c r="E336">
        <v>-0.05472793352068905</v>
      </c>
      <c r="F336">
        <v>0.052</v>
      </c>
      <c r="G336">
        <v>0.0277322093652741</v>
      </c>
      <c r="H336" t="s">
        <v>375</v>
      </c>
      <c r="I336" t="s">
        <v>316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613</v>
      </c>
      <c r="D337">
        <v>0.05100739607243</v>
      </c>
      <c r="E337">
        <v>-0.03982448461076671</v>
      </c>
      <c r="F337">
        <v>0.07000000000000001</v>
      </c>
      <c r="G337">
        <v>0.02738780146647968</v>
      </c>
      <c r="H337" t="s">
        <v>375</v>
      </c>
      <c r="I337" t="s">
        <v>618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613</v>
      </c>
      <c r="D338">
        <v>0.016139385602934</v>
      </c>
      <c r="E338">
        <v>-0.1513607514561307</v>
      </c>
      <c r="F338">
        <v>0.19</v>
      </c>
      <c r="G338">
        <v>0.02706141412251006</v>
      </c>
      <c r="H338" t="s">
        <v>375</v>
      </c>
      <c r="I338" t="s">
        <v>316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613</v>
      </c>
      <c r="D339">
        <v>0.02325282631038</v>
      </c>
      <c r="E339">
        <v>-0.07052398677838367</v>
      </c>
      <c r="F339">
        <v>0.07000000000000001</v>
      </c>
      <c r="G339">
        <v>0.02335072140062167</v>
      </c>
      <c r="H339" t="s">
        <v>375</v>
      </c>
      <c r="I339" t="s">
        <v>316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613</v>
      </c>
      <c r="D340">
        <v>0.026153558752101</v>
      </c>
      <c r="E340">
        <v>-0.05193672724337506</v>
      </c>
      <c r="F340">
        <v>0.05</v>
      </c>
      <c r="G340">
        <v>0.02230219312797699</v>
      </c>
      <c r="H340" t="s">
        <v>375</v>
      </c>
      <c r="I340" t="s">
        <v>316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613</v>
      </c>
      <c r="D341">
        <v>0.027862068965517</v>
      </c>
      <c r="E341">
        <v>-0.06073622592327665</v>
      </c>
      <c r="F341">
        <v>0.05</v>
      </c>
      <c r="G341">
        <v>0.01885422229489242</v>
      </c>
      <c r="H341" t="s">
        <v>375</v>
      </c>
      <c r="I341" t="s">
        <v>316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0.0137709866063</v>
      </c>
      <c r="E342">
        <v>-0.06938770939112171</v>
      </c>
      <c r="F342">
        <v>0.07000000000000001</v>
      </c>
      <c r="G342">
        <v>0.01393665593808713</v>
      </c>
      <c r="H342" t="s">
        <v>375</v>
      </c>
      <c r="I342" t="s">
        <v>516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613</v>
      </c>
      <c r="D343">
        <v>0.017120450654443</v>
      </c>
      <c r="E343">
        <v>-0.05287670823734292</v>
      </c>
      <c r="F343">
        <v>0.043</v>
      </c>
      <c r="G343">
        <v>0.009315376770016703</v>
      </c>
      <c r="H343" t="s">
        <v>375</v>
      </c>
      <c r="I343" t="s">
        <v>516</v>
      </c>
    </row>
    <row r="344" spans="1:9">
      <c r="A344" s="1" t="s">
        <v>351</v>
      </c>
      <c r="B344">
        <f>HYPERLINK("https://www.suredividend.com/sure-analysis-NVDA/","NVIDIA Corp.")</f>
        <v>0</v>
      </c>
      <c r="C344" t="s">
        <v>613</v>
      </c>
      <c r="D344">
        <v>0.001884403615699</v>
      </c>
      <c r="E344">
        <v>-0.1262081058443576</v>
      </c>
      <c r="F344">
        <v>0.15</v>
      </c>
      <c r="G344">
        <v>0.006702123481914901</v>
      </c>
      <c r="H344" t="s">
        <v>375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0.009111617312072001</v>
      </c>
      <c r="E345">
        <v>-0.09489108532394808</v>
      </c>
      <c r="F345">
        <v>0.1</v>
      </c>
      <c r="G345">
        <v>0.004724769601614165</v>
      </c>
      <c r="H345" t="s">
        <v>375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0.018030076371939</v>
      </c>
      <c r="E346">
        <v>-0.139278469261778</v>
      </c>
      <c r="F346">
        <v>0.14</v>
      </c>
      <c r="G346">
        <v>0.002646704305783176</v>
      </c>
      <c r="H346" t="s">
        <v>375</v>
      </c>
      <c r="I346" t="s">
        <v>516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614</v>
      </c>
      <c r="D347">
        <v>0.033546325878594</v>
      </c>
      <c r="E347">
        <v>-0.06549406994220197</v>
      </c>
      <c r="F347">
        <v>0.03</v>
      </c>
      <c r="G347">
        <v>0.0002292278433559947</v>
      </c>
      <c r="H347" t="s">
        <v>375</v>
      </c>
      <c r="I347" t="s">
        <v>375</v>
      </c>
    </row>
    <row r="348" spans="1:9">
      <c r="A348" s="1" t="s">
        <v>355</v>
      </c>
      <c r="B348">
        <f>HYPERLINK("https://www.suredividend.com/sure-analysis-OMI/","Owens &amp; Minor, Inc.")</f>
        <v>0</v>
      </c>
      <c r="C348" t="s">
        <v>613</v>
      </c>
      <c r="D348">
        <v>0.001464128843338</v>
      </c>
      <c r="E348">
        <v>-0.06047171320316003</v>
      </c>
      <c r="F348">
        <v>0.06</v>
      </c>
      <c r="G348">
        <v>-0.002616056190478444</v>
      </c>
      <c r="H348" t="s">
        <v>375</v>
      </c>
      <c r="I348" t="s">
        <v>516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0.002871426339634</v>
      </c>
      <c r="E349">
        <v>-0.02988555235744139</v>
      </c>
      <c r="F349">
        <v>0.017</v>
      </c>
      <c r="G349">
        <v>-0.00708053293733435</v>
      </c>
      <c r="H349" t="s">
        <v>375</v>
      </c>
      <c r="I349" t="s">
        <v>516</v>
      </c>
    </row>
    <row r="350" spans="1:9">
      <c r="A350" s="1" t="s">
        <v>357</v>
      </c>
      <c r="B350">
        <f>HYPERLINK("https://www.suredividend.com/sure-analysis-RACE/","Ferrari NV")</f>
        <v>0</v>
      </c>
      <c r="C350" t="s">
        <v>613</v>
      </c>
      <c r="D350">
        <v>0.007179617510642</v>
      </c>
      <c r="E350">
        <v>-0.08855259697490536</v>
      </c>
      <c r="F350">
        <v>0.075</v>
      </c>
      <c r="G350">
        <v>-0.00991446686596853</v>
      </c>
      <c r="H350" t="s">
        <v>375</v>
      </c>
      <c r="I350" t="s">
        <v>516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613</v>
      </c>
      <c r="D351">
        <v>0.008247422680412</v>
      </c>
      <c r="E351">
        <v>-0.08731747284896696</v>
      </c>
      <c r="F351">
        <v>0.05</v>
      </c>
      <c r="G351">
        <v>-0.02274120054765905</v>
      </c>
      <c r="H351" t="s">
        <v>375</v>
      </c>
      <c r="I351" t="s">
        <v>516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0.02204905116163</v>
      </c>
      <c r="E352">
        <v>-0.1009593980496337</v>
      </c>
      <c r="F352">
        <v>0.05</v>
      </c>
      <c r="G352">
        <v>-0.02680539282696937</v>
      </c>
      <c r="H352" t="s">
        <v>375</v>
      </c>
      <c r="I352" t="s">
        <v>316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0.007179087562587</v>
      </c>
      <c r="E353">
        <v>-0.09848911185864107</v>
      </c>
      <c r="F353">
        <v>0.018</v>
      </c>
      <c r="G353">
        <v>-0.06643830895180736</v>
      </c>
      <c r="H353" t="s">
        <v>375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0.008318877159609</v>
      </c>
      <c r="E354">
        <v>-0.1061422814506133</v>
      </c>
      <c r="F354">
        <v>0</v>
      </c>
      <c r="G354">
        <v>-0.08919551291533867</v>
      </c>
      <c r="H354" t="s">
        <v>375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0.471698113207547</v>
      </c>
      <c r="E355">
        <v>0.3727166950864023</v>
      </c>
      <c r="F355">
        <v>0</v>
      </c>
      <c r="G355">
        <v>0.4854572002522597</v>
      </c>
      <c r="H355" t="s">
        <v>316</v>
      </c>
      <c r="I355" t="s">
        <v>618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613</v>
      </c>
      <c r="D356">
        <v>0.212166010588081</v>
      </c>
      <c r="E356">
        <v>0.3036055792627534</v>
      </c>
      <c r="F356">
        <v>0.06</v>
      </c>
      <c r="G356">
        <v>0.4355591483300716</v>
      </c>
      <c r="H356" t="s">
        <v>316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0.338877338877338</v>
      </c>
      <c r="E357">
        <v>0.2554205592209371</v>
      </c>
      <c r="F357">
        <v>0.02</v>
      </c>
      <c r="G357">
        <v>0.4191637926274359</v>
      </c>
      <c r="H357" t="s">
        <v>316</v>
      </c>
      <c r="I357" t="s">
        <v>617</v>
      </c>
    </row>
    <row r="358" spans="1:9">
      <c r="A358" s="1" t="s">
        <v>365</v>
      </c>
      <c r="B358">
        <f>HYPERLINK("https://www.suredividend.com/sure-analysis-GEL/","Genesis Energy LP")</f>
        <v>0</v>
      </c>
      <c r="C358" t="s">
        <v>615</v>
      </c>
      <c r="D358">
        <v>0.280811232449297</v>
      </c>
      <c r="E358">
        <v>0.2797140268989471</v>
      </c>
      <c r="F358">
        <v>0.02</v>
      </c>
      <c r="G358">
        <v>0.4089290043459075</v>
      </c>
      <c r="H358" t="s">
        <v>316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0.214007782101167</v>
      </c>
      <c r="E359">
        <v>0.270273273004731</v>
      </c>
      <c r="F359">
        <v>0.02</v>
      </c>
      <c r="G359">
        <v>0.3761612512875439</v>
      </c>
      <c r="H359" t="s">
        <v>316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0.18001198083067</v>
      </c>
      <c r="E360">
        <v>0.2064494503288425</v>
      </c>
      <c r="F360">
        <v>0.05</v>
      </c>
      <c r="G360">
        <v>0.3346815799920169</v>
      </c>
      <c r="H360" t="s">
        <v>316</v>
      </c>
      <c r="I360" t="s">
        <v>618</v>
      </c>
    </row>
    <row r="361" spans="1:9">
      <c r="A361" s="1" t="s">
        <v>368</v>
      </c>
      <c r="B361">
        <f>HYPERLINK("https://www.suredividend.com/sure-analysis-TRGP/","Targa Resources Corp.")</f>
        <v>0</v>
      </c>
      <c r="C361" t="s">
        <v>613</v>
      </c>
      <c r="D361">
        <v>0.188290086493679</v>
      </c>
      <c r="E361">
        <v>0.1908819260222396</v>
      </c>
      <c r="F361">
        <v>0.03</v>
      </c>
      <c r="G361">
        <v>0.3194792644315392</v>
      </c>
      <c r="H361" t="s">
        <v>316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0.1928125</v>
      </c>
      <c r="E362">
        <v>0.2228455710323991</v>
      </c>
      <c r="F362">
        <v>0.015</v>
      </c>
      <c r="G362">
        <v>0.3148284038749727</v>
      </c>
      <c r="H362" t="s">
        <v>316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0.185074626865671</v>
      </c>
      <c r="E363">
        <v>0.2444889322202632</v>
      </c>
      <c r="F363">
        <v>0.02</v>
      </c>
      <c r="G363">
        <v>0.3056068015344899</v>
      </c>
      <c r="H363" t="s">
        <v>316</v>
      </c>
      <c r="I363" t="s">
        <v>618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614</v>
      </c>
      <c r="D364">
        <v>0.162704598597038</v>
      </c>
      <c r="E364">
        <v>0.1427274777832388</v>
      </c>
      <c r="F364">
        <v>0.07000000000000001</v>
      </c>
      <c r="G364">
        <v>0.2936130764612372</v>
      </c>
      <c r="H364" t="s">
        <v>316</v>
      </c>
      <c r="I364" t="s">
        <v>618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614</v>
      </c>
      <c r="D365">
        <v>0.240963855421686</v>
      </c>
      <c r="E365">
        <v>0.1674515941859964</v>
      </c>
      <c r="F365">
        <v>-0.01</v>
      </c>
      <c r="G365">
        <v>0.2808227931428391</v>
      </c>
      <c r="H365" t="s">
        <v>316</v>
      </c>
      <c r="I365" t="s">
        <v>618</v>
      </c>
    </row>
    <row r="366" spans="1:9">
      <c r="A366" s="1" t="s">
        <v>373</v>
      </c>
      <c r="B366">
        <f>HYPERLINK("https://www.suredividend.com/sure-analysis-BRX/","Brixmor Property Group, Inc.")</f>
        <v>0</v>
      </c>
      <c r="C366" t="s">
        <v>614</v>
      </c>
      <c r="D366">
        <v>0.120855614973262</v>
      </c>
      <c r="E366">
        <v>0.1756594437440968</v>
      </c>
      <c r="F366">
        <v>0.03</v>
      </c>
      <c r="G366">
        <v>0.2673854288819262</v>
      </c>
      <c r="H366" t="s">
        <v>316</v>
      </c>
      <c r="I366" t="s">
        <v>618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613</v>
      </c>
      <c r="D367">
        <v>0.106450475854776</v>
      </c>
      <c r="E367">
        <v>0.1729952210233585</v>
      </c>
      <c r="F367">
        <v>0.03</v>
      </c>
      <c r="G367">
        <v>0.263484215572684</v>
      </c>
      <c r="H367" t="s">
        <v>316</v>
      </c>
      <c r="I367" t="s">
        <v>618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613</v>
      </c>
      <c r="D368">
        <v>0.04723282442748</v>
      </c>
      <c r="E368">
        <v>0.1598779161635688</v>
      </c>
      <c r="F368">
        <v>0.06</v>
      </c>
      <c r="G368">
        <v>0.2568542696220575</v>
      </c>
      <c r="H368" t="s">
        <v>316</v>
      </c>
      <c r="I368" t="s">
        <v>316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0.052599758162031</v>
      </c>
      <c r="E369">
        <v>0.1682973701960493</v>
      </c>
      <c r="F369">
        <v>0.05</v>
      </c>
      <c r="G369">
        <v>0.2536188912045778</v>
      </c>
      <c r="H369" t="s">
        <v>316</v>
      </c>
      <c r="I369" t="s">
        <v>316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613</v>
      </c>
      <c r="D370">
        <v>0.156494522691705</v>
      </c>
      <c r="E370">
        <v>0.1343212747864497</v>
      </c>
      <c r="F370">
        <v>0.04</v>
      </c>
      <c r="G370">
        <v>0.2512679211497089</v>
      </c>
      <c r="H370" t="s">
        <v>316</v>
      </c>
      <c r="I370" t="s">
        <v>618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613</v>
      </c>
      <c r="D371">
        <v>0.115873015873015</v>
      </c>
      <c r="E371">
        <v>0.173160676311841</v>
      </c>
      <c r="F371">
        <v>0.015</v>
      </c>
      <c r="G371">
        <v>0.2470615586541607</v>
      </c>
      <c r="H371" t="s">
        <v>316</v>
      </c>
      <c r="I371" t="s">
        <v>618</v>
      </c>
    </row>
    <row r="372" spans="1:9">
      <c r="A372" s="1" t="s">
        <v>379</v>
      </c>
      <c r="B372">
        <f>HYPERLINK("https://www.suredividend.com/sure-analysis-KSS/","Kohl's Corp.")</f>
        <v>0</v>
      </c>
      <c r="C372" t="s">
        <v>613</v>
      </c>
      <c r="D372">
        <v>0.15279361459521</v>
      </c>
      <c r="E372">
        <v>0.1481739547076484</v>
      </c>
      <c r="F372">
        <v>0</v>
      </c>
      <c r="G372">
        <v>0.2350106275140309</v>
      </c>
      <c r="H372" t="s">
        <v>316</v>
      </c>
      <c r="I372" t="s">
        <v>618</v>
      </c>
    </row>
    <row r="373" spans="1:9">
      <c r="A373" s="1" t="s">
        <v>380</v>
      </c>
      <c r="B373">
        <f>HYPERLINK("https://www.suredividend.com/sure-analysis-TPR/","Tapestry, Inc.")</f>
        <v>0</v>
      </c>
      <c r="C373" t="s">
        <v>613</v>
      </c>
      <c r="D373">
        <v>0.110655737704918</v>
      </c>
      <c r="E373">
        <v>0.1251555585047419</v>
      </c>
      <c r="F373">
        <v>0.045</v>
      </c>
      <c r="G373">
        <v>0.2312099952529882</v>
      </c>
      <c r="H373" t="s">
        <v>316</v>
      </c>
      <c r="I373" t="s">
        <v>618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613</v>
      </c>
      <c r="D374">
        <v>0.11049723756906</v>
      </c>
      <c r="E374">
        <v>0.1409796376259504</v>
      </c>
      <c r="F374">
        <v>0.03</v>
      </c>
      <c r="G374">
        <v>0.2281481648711841</v>
      </c>
      <c r="H374" t="s">
        <v>316</v>
      </c>
      <c r="I374" t="s">
        <v>618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613</v>
      </c>
      <c r="D375">
        <v>0.284369114877589</v>
      </c>
      <c r="E375">
        <v>0.1771108016730245</v>
      </c>
      <c r="F375">
        <v>-0.06</v>
      </c>
      <c r="G375">
        <v>0.2265871555462537</v>
      </c>
      <c r="H375" t="s">
        <v>316</v>
      </c>
      <c r="I375" t="s">
        <v>618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613</v>
      </c>
      <c r="D376">
        <v>0.067432150313152</v>
      </c>
      <c r="E376">
        <v>0.1259090655121371</v>
      </c>
      <c r="F376">
        <v>0.046</v>
      </c>
      <c r="G376">
        <v>0.2184078246889836</v>
      </c>
      <c r="H376" t="s">
        <v>316</v>
      </c>
      <c r="I376" t="s">
        <v>375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613</v>
      </c>
      <c r="D377">
        <v>0.045931758530183</v>
      </c>
      <c r="E377">
        <v>0.1293657500263214</v>
      </c>
      <c r="F377">
        <v>0.05</v>
      </c>
      <c r="G377">
        <v>0.2178590919911545</v>
      </c>
      <c r="H377" t="s">
        <v>316</v>
      </c>
      <c r="I377" t="s">
        <v>316</v>
      </c>
    </row>
    <row r="378" spans="1:9">
      <c r="A378" s="1" t="s">
        <v>385</v>
      </c>
      <c r="B378">
        <f>HYPERLINK("https://www.suredividend.com/sure-analysis-HST/","Host Hotels &amp; Resorts, Inc.")</f>
        <v>0</v>
      </c>
      <c r="C378" t="s">
        <v>614</v>
      </c>
      <c r="D378">
        <v>0.07952286282306101</v>
      </c>
      <c r="E378">
        <v>0.1356150096449622</v>
      </c>
      <c r="F378">
        <v>0.02</v>
      </c>
      <c r="G378">
        <v>0.2032791162396377</v>
      </c>
      <c r="H378" t="s">
        <v>316</v>
      </c>
      <c r="I378" t="s">
        <v>618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613</v>
      </c>
      <c r="D379">
        <v>0.107874865156418</v>
      </c>
      <c r="E379">
        <v>0.1111277233435986</v>
      </c>
      <c r="F379">
        <v>0.03</v>
      </c>
      <c r="G379">
        <v>0.201389709217602</v>
      </c>
      <c r="H379" t="s">
        <v>316</v>
      </c>
      <c r="I379" t="s">
        <v>618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615</v>
      </c>
      <c r="D380">
        <v>0.169444444444444</v>
      </c>
      <c r="E380">
        <v>0.03131030647754507</v>
      </c>
      <c r="F380">
        <v>0.074</v>
      </c>
      <c r="G380">
        <v>0.1994093377312784</v>
      </c>
      <c r="H380" t="s">
        <v>316</v>
      </c>
      <c r="I380" t="s">
        <v>617</v>
      </c>
    </row>
    <row r="381" spans="1:9">
      <c r="A381" s="1" t="s">
        <v>388</v>
      </c>
      <c r="B381">
        <f>HYPERLINK("https://www.suredividend.com/sure-analysis-USB/","U.S. Bancorp")</f>
        <v>0</v>
      </c>
      <c r="C381" t="s">
        <v>613</v>
      </c>
      <c r="D381">
        <v>0.053129074315514</v>
      </c>
      <c r="E381">
        <v>0.09816638292095736</v>
      </c>
      <c r="F381">
        <v>0.06</v>
      </c>
      <c r="G381">
        <v>0.1977117065843619</v>
      </c>
      <c r="H381" t="s">
        <v>316</v>
      </c>
      <c r="I381" t="s">
        <v>375</v>
      </c>
    </row>
    <row r="382" spans="1:9">
      <c r="A382" s="1" t="s">
        <v>389</v>
      </c>
      <c r="B382">
        <f>HYPERLINK("https://www.suredividend.com/sure-analysis-MIC/","Macquarie Infrastructure Corp.")</f>
        <v>0</v>
      </c>
      <c r="C382" t="s">
        <v>613</v>
      </c>
      <c r="D382">
        <v>0.145825738242799</v>
      </c>
      <c r="E382">
        <v>0.08894186933322579</v>
      </c>
      <c r="F382">
        <v>0.02</v>
      </c>
      <c r="G382">
        <v>0.1933038065099428</v>
      </c>
      <c r="H382" t="s">
        <v>316</v>
      </c>
      <c r="I382" t="s">
        <v>618</v>
      </c>
    </row>
    <row r="383" spans="1:9">
      <c r="A383" s="1" t="s">
        <v>390</v>
      </c>
      <c r="B383">
        <f>HYPERLINK("https://www.suredividend.com/sure-analysis-WELL/","Welltower, Inc.")</f>
        <v>0</v>
      </c>
      <c r="C383" t="s">
        <v>614</v>
      </c>
      <c r="D383">
        <v>0.08560885608856</v>
      </c>
      <c r="E383">
        <v>0.1083825315649714</v>
      </c>
      <c r="F383">
        <v>0.03</v>
      </c>
      <c r="G383">
        <v>0.1907135656250023</v>
      </c>
      <c r="H383" t="s">
        <v>316</v>
      </c>
      <c r="I383" t="s">
        <v>375</v>
      </c>
    </row>
    <row r="384" spans="1:9">
      <c r="A384" s="1" t="s">
        <v>391</v>
      </c>
      <c r="B384">
        <f>HYPERLINK("https://www.suredividend.com/sure-analysis-IMBBY/","Imperial Brands Plc")</f>
        <v>0</v>
      </c>
      <c r="C384" t="s">
        <v>613</v>
      </c>
      <c r="D384">
        <v>0.124161488185017</v>
      </c>
      <c r="E384">
        <v>0.07833237161071027</v>
      </c>
      <c r="F384">
        <v>0.03</v>
      </c>
      <c r="G384">
        <v>0.1818892965948971</v>
      </c>
      <c r="H384" t="s">
        <v>316</v>
      </c>
      <c r="I384" t="s">
        <v>618</v>
      </c>
    </row>
    <row r="385" spans="1:9">
      <c r="A385" s="1" t="s">
        <v>392</v>
      </c>
      <c r="B385">
        <f>HYPERLINK("https://www.suredividend.com/sure-analysis-HSBC/","HSBC Holdings Plc")</f>
        <v>0</v>
      </c>
      <c r="C385" t="s">
        <v>613</v>
      </c>
      <c r="D385">
        <v>0.10439786272092</v>
      </c>
      <c r="E385">
        <v>0.09896661557452036</v>
      </c>
      <c r="F385">
        <v>0.02</v>
      </c>
      <c r="G385">
        <v>0.1806268665727437</v>
      </c>
      <c r="H385" t="s">
        <v>316</v>
      </c>
      <c r="I385" t="s">
        <v>375</v>
      </c>
    </row>
    <row r="386" spans="1:9">
      <c r="A386" s="1" t="s">
        <v>393</v>
      </c>
      <c r="B386">
        <f>HYPERLINK("https://www.suredividend.com/sure-analysis-BAC/","Bank of America Corp.")</f>
        <v>0</v>
      </c>
      <c r="C386" t="s">
        <v>613</v>
      </c>
      <c r="D386">
        <v>0.032182835820895</v>
      </c>
      <c r="E386">
        <v>0.09007864504181762</v>
      </c>
      <c r="F386">
        <v>0.06</v>
      </c>
      <c r="G386">
        <v>0.1797511822150448</v>
      </c>
      <c r="H386" t="s">
        <v>316</v>
      </c>
      <c r="I386" t="s">
        <v>316</v>
      </c>
    </row>
    <row r="387" spans="1:9">
      <c r="A387" s="1" t="s">
        <v>394</v>
      </c>
      <c r="B387">
        <f>HYPERLINK("https://www.suredividend.com/sure-analysis-WPP/","WPP Plc")</f>
        <v>0</v>
      </c>
      <c r="C387" t="s">
        <v>613</v>
      </c>
      <c r="D387">
        <v>0.110651725154821</v>
      </c>
      <c r="E387">
        <v>0.07197014339923191</v>
      </c>
      <c r="F387">
        <v>0.03</v>
      </c>
      <c r="G387">
        <v>0.1762713237328026</v>
      </c>
      <c r="H387" t="s">
        <v>316</v>
      </c>
      <c r="I387" t="s">
        <v>618</v>
      </c>
    </row>
    <row r="388" spans="1:9">
      <c r="A388" s="1" t="s">
        <v>395</v>
      </c>
      <c r="B388">
        <f>HYPERLINK("https://www.suredividend.com/sure-analysis-NWL/","Newell Brands, Inc.")</f>
        <v>0</v>
      </c>
      <c r="C388" t="s">
        <v>613</v>
      </c>
      <c r="D388">
        <v>0.07863247863247801</v>
      </c>
      <c r="E388">
        <v>0.07758766622357949</v>
      </c>
      <c r="F388">
        <v>0.05</v>
      </c>
      <c r="G388">
        <v>0.1758268252539965</v>
      </c>
      <c r="H388" t="s">
        <v>316</v>
      </c>
      <c r="I388" t="s">
        <v>375</v>
      </c>
    </row>
    <row r="389" spans="1:9">
      <c r="A389" s="1" t="s">
        <v>396</v>
      </c>
      <c r="B389">
        <f>HYPERLINK("https://www.suredividend.com/sure-analysis-TEF/","Telefónica SA")</f>
        <v>0</v>
      </c>
      <c r="C389" t="s">
        <v>613</v>
      </c>
      <c r="D389">
        <v>0.09755991285403001</v>
      </c>
      <c r="E389">
        <v>0.0942182708221897</v>
      </c>
      <c r="F389">
        <v>0.02</v>
      </c>
      <c r="G389">
        <v>0.1740470355188302</v>
      </c>
      <c r="H389" t="s">
        <v>316</v>
      </c>
      <c r="I389" t="s">
        <v>618</v>
      </c>
    </row>
    <row r="390" spans="1:9">
      <c r="A390" s="1" t="s">
        <v>397</v>
      </c>
      <c r="B390">
        <f>HYPERLINK("https://www.suredividend.com/sure-analysis-UBS/","UBS Group AG")</f>
        <v>0</v>
      </c>
      <c r="C390" t="s">
        <v>613</v>
      </c>
      <c r="D390">
        <v>0.05842332613390901</v>
      </c>
      <c r="E390">
        <v>0.1113676041352452</v>
      </c>
      <c r="F390">
        <v>0.01</v>
      </c>
      <c r="G390">
        <v>0.169630193269539</v>
      </c>
      <c r="H390" t="s">
        <v>316</v>
      </c>
      <c r="I390" t="s">
        <v>375</v>
      </c>
    </row>
    <row r="391" spans="1:9">
      <c r="A391" s="1" t="s">
        <v>398</v>
      </c>
      <c r="B391">
        <f>HYPERLINK("https://www.suredividend.com/sure-analysis-HEP/","Holly Energy Partners LP")</f>
        <v>0</v>
      </c>
      <c r="C391" t="s">
        <v>615</v>
      </c>
      <c r="D391">
        <v>0.1828231292517</v>
      </c>
      <c r="E391">
        <v>0.05265789789617825</v>
      </c>
      <c r="F391">
        <v>0.04</v>
      </c>
      <c r="G391">
        <v>0.1677866291789887</v>
      </c>
      <c r="H391" t="s">
        <v>316</v>
      </c>
      <c r="I391" t="s">
        <v>618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614</v>
      </c>
      <c r="D392">
        <v>0.109678858162355</v>
      </c>
      <c r="E392">
        <v>0.0669528236898238</v>
      </c>
      <c r="F392">
        <v>0.03</v>
      </c>
      <c r="G392">
        <v>0.1677066824346676</v>
      </c>
      <c r="H392" t="s">
        <v>316</v>
      </c>
      <c r="I392" t="s">
        <v>618</v>
      </c>
    </row>
    <row r="393" spans="1:9">
      <c r="A393" s="1" t="s">
        <v>400</v>
      </c>
      <c r="B393">
        <f>HYPERLINK("https://www.suredividend.com/sure-analysis-NTAP/","NetApp, Inc.")</f>
        <v>0</v>
      </c>
      <c r="C393" t="s">
        <v>613</v>
      </c>
      <c r="D393">
        <v>0.04341670599339301</v>
      </c>
      <c r="E393">
        <v>0.07200808208264564</v>
      </c>
      <c r="F393">
        <v>0.06</v>
      </c>
      <c r="G393">
        <v>0.1658780975638714</v>
      </c>
      <c r="H393" t="s">
        <v>316</v>
      </c>
      <c r="I393" t="s">
        <v>316</v>
      </c>
    </row>
    <row r="394" spans="1:9">
      <c r="A394" s="1" t="s">
        <v>401</v>
      </c>
      <c r="B394">
        <f>HYPERLINK("https://www.suredividend.com/sure-analysis-CHL/","China Mobile Ltd.")</f>
        <v>0</v>
      </c>
      <c r="C394" t="s">
        <v>613</v>
      </c>
      <c r="D394">
        <v>0.051439840965176</v>
      </c>
      <c r="E394">
        <v>0.08563887227994482</v>
      </c>
      <c r="F394">
        <v>0.04</v>
      </c>
      <c r="G394">
        <v>0.1651050338286717</v>
      </c>
      <c r="H394" t="s">
        <v>316</v>
      </c>
      <c r="I394" t="s">
        <v>375</v>
      </c>
    </row>
    <row r="395" spans="1:9">
      <c r="A395" s="1" t="s">
        <v>402</v>
      </c>
      <c r="B395">
        <f>HYPERLINK("https://www.suredividend.com/sure-analysis-JPM/","JPMorgan Chase &amp; Co.")</f>
        <v>0</v>
      </c>
      <c r="C395" t="s">
        <v>613</v>
      </c>
      <c r="D395">
        <v>0.04074505238649501</v>
      </c>
      <c r="E395">
        <v>0.06914747948704236</v>
      </c>
      <c r="F395">
        <v>0.06</v>
      </c>
      <c r="G395">
        <v>0.1621593351435227</v>
      </c>
      <c r="H395" t="s">
        <v>316</v>
      </c>
      <c r="I395" t="s">
        <v>316</v>
      </c>
    </row>
    <row r="396" spans="1:9">
      <c r="A396" s="1" t="s">
        <v>403</v>
      </c>
      <c r="B396">
        <f>HYPERLINK("https://www.suredividend.com/sure-analysis-SUUIF/","Superior Plus Corp.")</f>
        <v>0</v>
      </c>
      <c r="C396" t="s">
        <v>613</v>
      </c>
      <c r="D396">
        <v>0.08323435799994</v>
      </c>
      <c r="E396">
        <v>0.1109534595426207</v>
      </c>
      <c r="F396">
        <v>0</v>
      </c>
      <c r="G396">
        <v>0.1608108054716124</v>
      </c>
      <c r="H396" t="s">
        <v>316</v>
      </c>
      <c r="I396" t="s">
        <v>618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613</v>
      </c>
      <c r="D397">
        <v>0.054615384615384</v>
      </c>
      <c r="E397">
        <v>0.07885244396237145</v>
      </c>
      <c r="F397">
        <v>0.04</v>
      </c>
      <c r="G397">
        <v>0.1598252896240813</v>
      </c>
      <c r="H397" t="s">
        <v>316</v>
      </c>
      <c r="I397" t="s">
        <v>375</v>
      </c>
    </row>
    <row r="398" spans="1:9">
      <c r="A398" s="1" t="s">
        <v>405</v>
      </c>
      <c r="B398">
        <f>HYPERLINK("https://www.suredividend.com/sure-analysis-XRX/","Xerox Holdings Corp.")</f>
        <v>0</v>
      </c>
      <c r="C398" t="s">
        <v>613</v>
      </c>
      <c r="D398">
        <v>0.06715916722632601</v>
      </c>
      <c r="E398">
        <v>0.1179328812438123</v>
      </c>
      <c r="F398">
        <v>0</v>
      </c>
      <c r="G398">
        <v>0.1579595777128815</v>
      </c>
      <c r="H398" t="s">
        <v>316</v>
      </c>
      <c r="I398" t="s">
        <v>375</v>
      </c>
    </row>
    <row r="399" spans="1:9">
      <c r="A399" s="1" t="s">
        <v>406</v>
      </c>
      <c r="B399">
        <f>HYPERLINK("https://www.suredividend.com/sure-analysis-ABEV/","Ambev SA")</f>
        <v>0</v>
      </c>
      <c r="C399" t="s">
        <v>613</v>
      </c>
      <c r="D399">
        <v>0.050846534653465</v>
      </c>
      <c r="E399">
        <v>0.08873308826701298</v>
      </c>
      <c r="F399">
        <v>0.03</v>
      </c>
      <c r="G399">
        <v>0.1566708486905586</v>
      </c>
      <c r="H399" t="s">
        <v>316</v>
      </c>
      <c r="I399" t="s">
        <v>316</v>
      </c>
    </row>
    <row r="400" spans="1:9">
      <c r="A400" s="1" t="s">
        <v>407</v>
      </c>
      <c r="B400">
        <f>HYPERLINK("https://www.suredividend.com/sure-analysis-NTR/","Nutrien Ltd.")</f>
        <v>0</v>
      </c>
      <c r="C400" t="s">
        <v>613</v>
      </c>
      <c r="D400">
        <v>0.056531922688877</v>
      </c>
      <c r="E400">
        <v>0.07265004401417752</v>
      </c>
      <c r="F400">
        <v>0.04</v>
      </c>
      <c r="G400">
        <v>0.1552224326560383</v>
      </c>
      <c r="H400" t="s">
        <v>316</v>
      </c>
      <c r="I400" t="s">
        <v>316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614</v>
      </c>
      <c r="D401">
        <v>0.100456621004566</v>
      </c>
      <c r="E401">
        <v>0.07880058353604125</v>
      </c>
      <c r="F401">
        <v>0.01</v>
      </c>
      <c r="G401">
        <v>0.1530312358674404</v>
      </c>
      <c r="H401" t="s">
        <v>316</v>
      </c>
      <c r="I401" t="s">
        <v>618</v>
      </c>
    </row>
    <row r="402" spans="1:9">
      <c r="A402" s="1" t="s">
        <v>409</v>
      </c>
      <c r="B402">
        <f>HYPERLINK("https://www.suredividend.com/sure-analysis-LTC/","LTC Properties, Inc.")</f>
        <v>0</v>
      </c>
      <c r="C402" t="s">
        <v>614</v>
      </c>
      <c r="D402">
        <v>0.07080745341614901</v>
      </c>
      <c r="E402">
        <v>0.07394092378577932</v>
      </c>
      <c r="F402">
        <v>0.03</v>
      </c>
      <c r="G402">
        <v>0.1521680273083237</v>
      </c>
      <c r="H402" t="s">
        <v>316</v>
      </c>
      <c r="I402" t="s">
        <v>375</v>
      </c>
    </row>
    <row r="403" spans="1:9">
      <c r="A403" s="1" t="s">
        <v>410</v>
      </c>
      <c r="B403">
        <f>HYPERLINK("https://www.suredividend.com/sure-analysis-AXS/","AXIS Capital Holdings Ltd.")</f>
        <v>0</v>
      </c>
      <c r="C403" t="s">
        <v>613</v>
      </c>
      <c r="D403">
        <v>0.04723032069970801</v>
      </c>
      <c r="E403">
        <v>0.06502731796910655</v>
      </c>
      <c r="F403">
        <v>0.05</v>
      </c>
      <c r="G403">
        <v>0.1516690089617019</v>
      </c>
      <c r="H403" t="s">
        <v>316</v>
      </c>
      <c r="I403" t="s">
        <v>316</v>
      </c>
    </row>
    <row r="404" spans="1:9">
      <c r="A404" s="1" t="s">
        <v>411</v>
      </c>
      <c r="B404">
        <f>HYPERLINK("https://www.suredividend.com/sure-analysis-PSO/","Pearson Plc")</f>
        <v>0</v>
      </c>
      <c r="C404" t="s">
        <v>613</v>
      </c>
      <c r="D404">
        <v>0.046149425287356</v>
      </c>
      <c r="E404">
        <v>0.1011265673942863</v>
      </c>
      <c r="F404">
        <v>0.02</v>
      </c>
      <c r="G404">
        <v>0.1506607711812133</v>
      </c>
      <c r="H404" t="s">
        <v>316</v>
      </c>
      <c r="I404" t="s">
        <v>316</v>
      </c>
    </row>
    <row r="405" spans="1:9">
      <c r="A405" s="1" t="s">
        <v>412</v>
      </c>
      <c r="B405">
        <f>HYPERLINK("https://www.suredividend.com/sure-analysis-STAG/","STAG Industrial, Inc.")</f>
        <v>0</v>
      </c>
      <c r="C405" t="s">
        <v>614</v>
      </c>
      <c r="D405">
        <v>0.061886873920552</v>
      </c>
      <c r="E405">
        <v>0.04600049142514595</v>
      </c>
      <c r="F405">
        <v>0.06</v>
      </c>
      <c r="G405">
        <v>0.1481880937680089</v>
      </c>
      <c r="H405" t="s">
        <v>316</v>
      </c>
      <c r="I405" t="s">
        <v>375</v>
      </c>
    </row>
    <row r="406" spans="1:9">
      <c r="A406" s="1" t="s">
        <v>413</v>
      </c>
      <c r="B406">
        <f>HYPERLINK("https://www.suredividend.com/sure-analysis-OHI/","Omega Healthcare Investors, Inc.")</f>
        <v>0</v>
      </c>
      <c r="C406" t="s">
        <v>614</v>
      </c>
      <c r="D406">
        <v>0.101482326111744</v>
      </c>
      <c r="E406">
        <v>0.05874028739318549</v>
      </c>
      <c r="F406">
        <v>0.02</v>
      </c>
      <c r="G406">
        <v>0.1479988396111778</v>
      </c>
      <c r="H406" t="s">
        <v>316</v>
      </c>
      <c r="I406" t="s">
        <v>375</v>
      </c>
    </row>
    <row r="407" spans="1:9">
      <c r="A407" s="1" t="s">
        <v>414</v>
      </c>
      <c r="B407">
        <f>HYPERLINK("https://www.suredividend.com/sure-analysis-BXP/","Boston Properties, Inc.")</f>
        <v>0</v>
      </c>
      <c r="C407" t="s">
        <v>614</v>
      </c>
      <c r="D407">
        <v>0.051501000667111</v>
      </c>
      <c r="E407">
        <v>0.08365060326489737</v>
      </c>
      <c r="F407">
        <v>0.027</v>
      </c>
      <c r="G407">
        <v>0.1460111506750539</v>
      </c>
      <c r="H407" t="s">
        <v>316</v>
      </c>
      <c r="I407" t="s">
        <v>375</v>
      </c>
    </row>
    <row r="408" spans="1:9">
      <c r="A408" s="1" t="s">
        <v>415</v>
      </c>
      <c r="B408">
        <f>HYPERLINK("https://www.suredividend.com/sure-analysis-CWCO/","Consolidated Water Co. Ltd.")</f>
        <v>0</v>
      </c>
      <c r="C408" t="s">
        <v>613</v>
      </c>
      <c r="D408">
        <v>0.025278810408921</v>
      </c>
      <c r="E408">
        <v>0.05041576824822736</v>
      </c>
      <c r="F408">
        <v>0.06900000000000001</v>
      </c>
      <c r="G408">
        <v>0.1455322499406013</v>
      </c>
      <c r="H408" t="s">
        <v>316</v>
      </c>
      <c r="I408" t="s">
        <v>516</v>
      </c>
    </row>
    <row r="409" spans="1:9">
      <c r="A409" s="1" t="s">
        <v>416</v>
      </c>
      <c r="B409">
        <f>HYPERLINK("https://www.suredividend.com/sure-analysis-LYB/","LyondellBasell Industries NV")</f>
        <v>0</v>
      </c>
      <c r="C409" t="s">
        <v>613</v>
      </c>
      <c r="D409">
        <v>0.07835820895522301</v>
      </c>
      <c r="E409">
        <v>0.001488101823806209</v>
      </c>
      <c r="F409">
        <v>0.09</v>
      </c>
      <c r="G409">
        <v>0.1447888950034915</v>
      </c>
      <c r="H409" t="s">
        <v>316</v>
      </c>
      <c r="I409" t="s">
        <v>375</v>
      </c>
    </row>
    <row r="410" spans="1:9">
      <c r="A410" s="1" t="s">
        <v>417</v>
      </c>
      <c r="B410">
        <f>HYPERLINK("https://www.suredividend.com/sure-analysis-UBA/","Urstadt Biddle Properties, Inc.")</f>
        <v>0</v>
      </c>
      <c r="C410" t="s">
        <v>614</v>
      </c>
      <c r="D410">
        <v>0.095753899480069</v>
      </c>
      <c r="E410">
        <v>0.007848114001454798</v>
      </c>
      <c r="F410">
        <v>0.07000000000000001</v>
      </c>
      <c r="G410">
        <v>0.1431680359185679</v>
      </c>
      <c r="H410" t="s">
        <v>316</v>
      </c>
      <c r="I410" t="s">
        <v>618</v>
      </c>
    </row>
    <row r="411" spans="1:9">
      <c r="A411" s="1" t="s">
        <v>418</v>
      </c>
      <c r="B411">
        <f>HYPERLINK("https://www.suredividend.com/sure-analysis-PDCO/","Patterson Cos., Inc.")</f>
        <v>0</v>
      </c>
      <c r="C411" t="s">
        <v>613</v>
      </c>
      <c r="D411">
        <v>0.06989247311827901</v>
      </c>
      <c r="E411">
        <v>0.0500987317136008</v>
      </c>
      <c r="F411">
        <v>0.04</v>
      </c>
      <c r="G411">
        <v>0.1373314202510243</v>
      </c>
      <c r="H411" t="s">
        <v>316</v>
      </c>
      <c r="I411" t="s">
        <v>375</v>
      </c>
    </row>
    <row r="412" spans="1:9">
      <c r="A412" s="1" t="s">
        <v>419</v>
      </c>
      <c r="B412">
        <f>HYPERLINK("https://www.suredividend.com/sure-analysis-HAS/","Hasbro, Inc.")</f>
        <v>0</v>
      </c>
      <c r="C412" t="s">
        <v>613</v>
      </c>
      <c r="D412">
        <v>0.041975308641975</v>
      </c>
      <c r="E412">
        <v>0.02129568760013512</v>
      </c>
      <c r="F412">
        <v>0.08</v>
      </c>
      <c r="G412">
        <v>0.1331942556939061</v>
      </c>
      <c r="H412" t="s">
        <v>316</v>
      </c>
      <c r="I412" t="s">
        <v>316</v>
      </c>
    </row>
    <row r="413" spans="1:9">
      <c r="A413" s="1" t="s">
        <v>420</v>
      </c>
      <c r="B413">
        <f>HYPERLINK("https://www.suredividend.com/sure-analysis-GNL/","Global Net Lease, Inc.")</f>
        <v>0</v>
      </c>
      <c r="C413" t="s">
        <v>614</v>
      </c>
      <c r="D413">
        <v>0.128521126760563</v>
      </c>
      <c r="E413">
        <v>0.01840245217991354</v>
      </c>
      <c r="F413">
        <v>0.015</v>
      </c>
      <c r="G413">
        <v>0.1327285320689895</v>
      </c>
      <c r="H413" t="s">
        <v>316</v>
      </c>
      <c r="I413" t="s">
        <v>618</v>
      </c>
    </row>
    <row r="414" spans="1:9">
      <c r="A414" s="1" t="s">
        <v>421</v>
      </c>
      <c r="B414">
        <f>HYPERLINK("https://www.suredividend.com/sure-analysis-KMI/","Kinder Morgan, Inc.")</f>
        <v>0</v>
      </c>
      <c r="C414" t="s">
        <v>613</v>
      </c>
      <c r="D414">
        <v>0.067385444743935</v>
      </c>
      <c r="E414">
        <v>0.06149809461109701</v>
      </c>
      <c r="F414">
        <v>0.019</v>
      </c>
      <c r="G414">
        <v>0.1314692014423688</v>
      </c>
      <c r="H414" t="s">
        <v>316</v>
      </c>
      <c r="I414" t="s">
        <v>375</v>
      </c>
    </row>
    <row r="415" spans="1:9">
      <c r="A415" s="1" t="s">
        <v>422</v>
      </c>
      <c r="B415">
        <f>HYPERLINK("https://www.suredividend.com/sure-analysis-MCY/","Mercury General Corp.")</f>
        <v>0</v>
      </c>
      <c r="C415" t="s">
        <v>613</v>
      </c>
      <c r="D415">
        <v>0.06623650250197501</v>
      </c>
      <c r="E415">
        <v>0.06897378397173393</v>
      </c>
      <c r="F415">
        <v>0.015</v>
      </c>
      <c r="G415">
        <v>0.1297356945430019</v>
      </c>
      <c r="H415" t="s">
        <v>316</v>
      </c>
      <c r="I415" t="s">
        <v>375</v>
      </c>
    </row>
    <row r="416" spans="1:9">
      <c r="A416" s="1" t="s">
        <v>423</v>
      </c>
      <c r="B416">
        <f>HYPERLINK("https://www.suredividend.com/sure-analysis-PFE/","Pfizer Inc.")</f>
        <v>0</v>
      </c>
      <c r="C416" t="s">
        <v>613</v>
      </c>
      <c r="D416">
        <v>0.039194915254237</v>
      </c>
      <c r="E416">
        <v>0.04026783228628505</v>
      </c>
      <c r="F416">
        <v>0.06</v>
      </c>
      <c r="G416">
        <v>0.1294354392009867</v>
      </c>
      <c r="H416" t="s">
        <v>316</v>
      </c>
      <c r="I416" t="s">
        <v>316</v>
      </c>
    </row>
    <row r="417" spans="1:9">
      <c r="A417" s="1" t="s">
        <v>424</v>
      </c>
      <c r="B417">
        <f>HYPERLINK("https://www.suredividend.com/sure-analysis-GLW/","Corning, Inc.")</f>
        <v>0</v>
      </c>
      <c r="C417" t="s">
        <v>613</v>
      </c>
      <c r="D417">
        <v>0.041730279898218</v>
      </c>
      <c r="E417">
        <v>0.03198421925489003</v>
      </c>
      <c r="F417">
        <v>0.06</v>
      </c>
      <c r="G417">
        <v>0.1290006166022457</v>
      </c>
      <c r="H417" t="s">
        <v>316</v>
      </c>
      <c r="I417" t="s">
        <v>316</v>
      </c>
    </row>
    <row r="418" spans="1:9">
      <c r="A418" s="1" t="s">
        <v>425</v>
      </c>
      <c r="B418">
        <f>HYPERLINK("https://www.suredividend.com/sure-analysis-WMB/","The Williams Cos., Inc.")</f>
        <v>0</v>
      </c>
      <c r="C418" t="s">
        <v>613</v>
      </c>
      <c r="D418">
        <v>0.082089552238805</v>
      </c>
      <c r="E418">
        <v>0.0128833503748802</v>
      </c>
      <c r="F418">
        <v>0.05</v>
      </c>
      <c r="G418">
        <v>0.1289580263235175</v>
      </c>
      <c r="H418" t="s">
        <v>316</v>
      </c>
      <c r="I418" t="s">
        <v>618</v>
      </c>
    </row>
    <row r="419" spans="1:9">
      <c r="A419" s="1" t="s">
        <v>426</v>
      </c>
      <c r="B419">
        <f>HYPERLINK("https://www.suredividend.com/sure-analysis-NOK/","Nokia Oyj")</f>
        <v>0</v>
      </c>
      <c r="C419" t="s">
        <v>613</v>
      </c>
      <c r="D419">
        <v>0.032521739130434</v>
      </c>
      <c r="E419">
        <v>0.02482356331085978</v>
      </c>
      <c r="F419">
        <v>0.07000000000000001</v>
      </c>
      <c r="G419">
        <v>0.1268594826067473</v>
      </c>
      <c r="H419" t="s">
        <v>316</v>
      </c>
      <c r="I419" t="s">
        <v>316</v>
      </c>
    </row>
    <row r="420" spans="1:9">
      <c r="A420" s="1" t="s">
        <v>427</v>
      </c>
      <c r="B420">
        <f>HYPERLINK("https://www.suredividend.com/sure-analysis-NYCB/","New York Community Bancorp, Inc.")</f>
        <v>0</v>
      </c>
      <c r="C420" t="s">
        <v>613</v>
      </c>
      <c r="D420">
        <v>0.076404494382022</v>
      </c>
      <c r="E420">
        <v>0.02358048826922654</v>
      </c>
      <c r="F420">
        <v>0.05</v>
      </c>
      <c r="G420">
        <v>0.1267443848452328</v>
      </c>
      <c r="H420" t="s">
        <v>316</v>
      </c>
      <c r="I420" t="s">
        <v>375</v>
      </c>
    </row>
    <row r="421" spans="1:9">
      <c r="A421" s="1" t="s">
        <v>428</v>
      </c>
      <c r="B421">
        <f>HYPERLINK("https://www.suredividend.com/sure-analysis-WRK/","WestRock Co.")</f>
        <v>0</v>
      </c>
      <c r="C421" t="s">
        <v>613</v>
      </c>
      <c r="D421">
        <v>0.07600165220983</v>
      </c>
      <c r="E421">
        <v>0.03676575007619576</v>
      </c>
      <c r="F421">
        <v>0.06</v>
      </c>
      <c r="G421">
        <v>0.1249369511407044</v>
      </c>
      <c r="H421" t="s">
        <v>316</v>
      </c>
      <c r="I421" t="s">
        <v>375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613</v>
      </c>
      <c r="D422">
        <v>0.048348106365834</v>
      </c>
      <c r="E422">
        <v>0.07115730383416574</v>
      </c>
      <c r="F422">
        <v>0.02</v>
      </c>
      <c r="G422">
        <v>0.1245790389274182</v>
      </c>
      <c r="H422" t="s">
        <v>316</v>
      </c>
      <c r="I422" t="s">
        <v>316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0.06487835308796</v>
      </c>
      <c r="E423">
        <v>0.02345274828168709</v>
      </c>
      <c r="F423">
        <v>0.047</v>
      </c>
      <c r="G423">
        <v>0.1243586584349261</v>
      </c>
      <c r="H423" t="s">
        <v>316</v>
      </c>
      <c r="I423" t="s">
        <v>375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613</v>
      </c>
      <c r="D424">
        <v>0.036542515811665</v>
      </c>
      <c r="E424">
        <v>0.00376632229827667</v>
      </c>
      <c r="F424">
        <v>0.09</v>
      </c>
      <c r="G424">
        <v>0.1226206872197375</v>
      </c>
      <c r="H424" t="s">
        <v>316</v>
      </c>
      <c r="I424" t="s">
        <v>316</v>
      </c>
    </row>
    <row r="425" spans="1:9">
      <c r="A425" s="1" t="s">
        <v>432</v>
      </c>
      <c r="B425">
        <f>HYPERLINK("https://www.suredividend.com/sure-analysis-PEAK/","Healthpeak Properties, Inc.")</f>
        <v>0</v>
      </c>
      <c r="C425" t="s">
        <v>614</v>
      </c>
      <c r="D425">
        <v>0.06745670009115701</v>
      </c>
      <c r="E425">
        <v>0.0423784594465999</v>
      </c>
      <c r="F425">
        <v>0.03</v>
      </c>
      <c r="G425">
        <v>0.1215767542051494</v>
      </c>
      <c r="H425" t="s">
        <v>316</v>
      </c>
      <c r="I425" t="s">
        <v>316</v>
      </c>
    </row>
    <row r="426" spans="1:9">
      <c r="A426" s="1" t="s">
        <v>433</v>
      </c>
      <c r="B426">
        <f>HYPERLINK("https://www.suredividend.com/sure-analysis-CODI/","Compass Diversified Holdings")</f>
        <v>0</v>
      </c>
      <c r="C426" t="s">
        <v>613</v>
      </c>
      <c r="D426">
        <v>0.09350649350649301</v>
      </c>
      <c r="E426">
        <v>0.007673534376565039</v>
      </c>
      <c r="F426">
        <v>0.045</v>
      </c>
      <c r="G426">
        <v>0.1199905007515514</v>
      </c>
      <c r="H426" t="s">
        <v>316</v>
      </c>
      <c r="I426" t="s">
        <v>375</v>
      </c>
    </row>
    <row r="427" spans="1:9">
      <c r="A427" s="1" t="s">
        <v>434</v>
      </c>
      <c r="B427">
        <f>HYPERLINK("https://www.suredividend.com/sure-analysis-NLSN/","Nielsen Holdings Plc")</f>
        <v>0</v>
      </c>
      <c r="C427" t="s">
        <v>613</v>
      </c>
      <c r="D427">
        <v>0.06451612903225801</v>
      </c>
      <c r="E427">
        <v>0.07207554852844789</v>
      </c>
      <c r="F427">
        <v>0.03</v>
      </c>
      <c r="G427">
        <v>0.1184176876663987</v>
      </c>
      <c r="H427" t="s">
        <v>316</v>
      </c>
      <c r="I427" t="s">
        <v>375</v>
      </c>
    </row>
    <row r="428" spans="1:9">
      <c r="A428" s="1" t="s">
        <v>435</v>
      </c>
      <c r="B428">
        <f>HYPERLINK("https://www.suredividend.com/sure-analysis-SAN/","Banco Santander SA")</f>
        <v>0</v>
      </c>
      <c r="C428" t="s">
        <v>613</v>
      </c>
      <c r="D428">
        <v>0.056497461928934</v>
      </c>
      <c r="E428">
        <v>0.1153278279254291</v>
      </c>
      <c r="F428">
        <v>0</v>
      </c>
      <c r="G428">
        <v>0.1153278279254291</v>
      </c>
      <c r="H428" t="s">
        <v>316</v>
      </c>
      <c r="I428" t="s">
        <v>375</v>
      </c>
    </row>
    <row r="429" spans="1:9">
      <c r="A429" s="1" t="s">
        <v>436</v>
      </c>
      <c r="B429">
        <f>HYPERLINK("https://www.suredividend.com/sure-analysis-TRP/","TC Energy Corp.")</f>
        <v>0</v>
      </c>
      <c r="C429" t="s">
        <v>613</v>
      </c>
      <c r="D429">
        <v>0.051648439116942</v>
      </c>
      <c r="E429">
        <v>0.0275962633302409</v>
      </c>
      <c r="F429">
        <v>0.04</v>
      </c>
      <c r="G429">
        <v>0.1144045551121038</v>
      </c>
      <c r="H429" t="s">
        <v>316</v>
      </c>
      <c r="I429" t="s">
        <v>316</v>
      </c>
    </row>
    <row r="430" spans="1:9">
      <c r="A430" s="1" t="s">
        <v>437</v>
      </c>
      <c r="B430">
        <f>HYPERLINK("https://www.suredividend.com/sure-analysis-DTEGY/","Deutsche Telekom AG")</f>
        <v>0</v>
      </c>
      <c r="C430" t="s">
        <v>613</v>
      </c>
      <c r="D430">
        <v>0.043967611336032</v>
      </c>
      <c r="E430">
        <v>0.03964449980411033</v>
      </c>
      <c r="F430">
        <v>0.04</v>
      </c>
      <c r="G430">
        <v>0.11280083329075</v>
      </c>
      <c r="H430" t="s">
        <v>316</v>
      </c>
      <c r="I430" t="s">
        <v>316</v>
      </c>
    </row>
    <row r="431" spans="1:9">
      <c r="A431" s="1" t="s">
        <v>438</v>
      </c>
      <c r="B431">
        <f>HYPERLINK("https://www.suredividend.com/sure-analysis-PM/","Philip Morris International, Inc.")</f>
        <v>0</v>
      </c>
      <c r="C431" t="s">
        <v>613</v>
      </c>
      <c r="D431">
        <v>0.068604308055473</v>
      </c>
      <c r="E431">
        <v>0.01215304591006894</v>
      </c>
      <c r="F431">
        <v>0.04</v>
      </c>
      <c r="G431">
        <v>0.1070663468779351</v>
      </c>
      <c r="H431" t="s">
        <v>316</v>
      </c>
      <c r="I431" t="s">
        <v>618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613</v>
      </c>
      <c r="D432">
        <v>0.06916565900846401</v>
      </c>
      <c r="E432">
        <v>0.05089680372095917</v>
      </c>
      <c r="F432">
        <v>0.01</v>
      </c>
      <c r="G432">
        <v>0.1062301775719445</v>
      </c>
      <c r="H432" t="s">
        <v>316</v>
      </c>
      <c r="I432" t="s">
        <v>375</v>
      </c>
    </row>
    <row r="433" spans="1:9">
      <c r="A433" s="1" t="s">
        <v>440</v>
      </c>
      <c r="B433">
        <f>HYPERLINK("https://www.suredividend.com/sure-analysis-DD/","DuPont de Nemours, Inc.")</f>
        <v>0</v>
      </c>
      <c r="C433" t="s">
        <v>613</v>
      </c>
      <c r="D433">
        <v>0.029042904290429</v>
      </c>
      <c r="E433">
        <v>0.01097745294817321</v>
      </c>
      <c r="F433">
        <v>0.07000000000000001</v>
      </c>
      <c r="G433">
        <v>0.1051193772874286</v>
      </c>
      <c r="H433" t="s">
        <v>316</v>
      </c>
      <c r="I433" t="s">
        <v>316</v>
      </c>
    </row>
    <row r="434" spans="1:9">
      <c r="A434" s="1" t="s">
        <v>441</v>
      </c>
      <c r="B434">
        <f>HYPERLINK("https://www.suredividend.com/sure-analysis-WDR/","Waddell &amp; Reed Financial, Inc.")</f>
        <v>0</v>
      </c>
      <c r="C434" t="s">
        <v>613</v>
      </c>
      <c r="D434">
        <v>0.077821011673151</v>
      </c>
      <c r="E434">
        <v>0.05757008771696404</v>
      </c>
      <c r="F434">
        <v>-0.01</v>
      </c>
      <c r="G434">
        <v>0.1049701405681764</v>
      </c>
      <c r="H434" t="s">
        <v>316</v>
      </c>
      <c r="I434" t="s">
        <v>375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613</v>
      </c>
      <c r="D435">
        <v>0.043009101032986</v>
      </c>
      <c r="E435">
        <v>-0.01783634298635006</v>
      </c>
      <c r="F435">
        <v>0.075</v>
      </c>
      <c r="G435">
        <v>0.1024287574471352</v>
      </c>
      <c r="H435" t="s">
        <v>316</v>
      </c>
      <c r="I435" t="s">
        <v>316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613</v>
      </c>
      <c r="D436">
        <v>0.03846153846153801</v>
      </c>
      <c r="E436">
        <v>-0.02543744906113798</v>
      </c>
      <c r="F436">
        <v>0.08</v>
      </c>
      <c r="G436">
        <v>0.1022881315468926</v>
      </c>
      <c r="H436" t="s">
        <v>316</v>
      </c>
      <c r="I436" t="s">
        <v>316</v>
      </c>
    </row>
    <row r="437" spans="1:9">
      <c r="A437" s="1" t="s">
        <v>444</v>
      </c>
      <c r="B437">
        <f>HYPERLINK("https://www.suredividend.com/sure-analysis-DREUF/","Dream Industrial Real Estate Investment Trust")</f>
        <v>0</v>
      </c>
      <c r="C437" t="s">
        <v>614</v>
      </c>
      <c r="D437">
        <v>0.08415437510369901</v>
      </c>
      <c r="E437">
        <v>-0.02172354317408065</v>
      </c>
      <c r="F437">
        <v>0.052</v>
      </c>
      <c r="G437">
        <v>0.1001386409177847</v>
      </c>
      <c r="H437" t="s">
        <v>316</v>
      </c>
      <c r="I437" t="s">
        <v>375</v>
      </c>
    </row>
    <row r="438" spans="1:9">
      <c r="A438" s="1" t="s">
        <v>445</v>
      </c>
      <c r="B438">
        <f>HYPERLINK("https://www.suredividend.com/sure-analysis-LAMR/","Lamar Advertising Co.")</f>
        <v>0</v>
      </c>
      <c r="C438" t="s">
        <v>614</v>
      </c>
      <c r="D438">
        <v>0.06554054054054001</v>
      </c>
      <c r="E438">
        <v>0.002688210842791472</v>
      </c>
      <c r="F438">
        <v>0.046</v>
      </c>
      <c r="G438">
        <v>0.09880877625015771</v>
      </c>
      <c r="H438" t="s">
        <v>316</v>
      </c>
      <c r="I438" t="s">
        <v>316</v>
      </c>
    </row>
    <row r="439" spans="1:9">
      <c r="A439" s="1" t="s">
        <v>446</v>
      </c>
      <c r="B439">
        <f>HYPERLINK("https://www.suredividend.com/sure-analysis-PHG/","Koninklijke Philips NV")</f>
        <v>0</v>
      </c>
      <c r="C439" t="s">
        <v>613</v>
      </c>
      <c r="D439">
        <v>0.022686711930164</v>
      </c>
      <c r="E439">
        <v>-0.0268119469938668</v>
      </c>
      <c r="F439">
        <v>0.11</v>
      </c>
      <c r="G439">
        <v>0.09843621864937768</v>
      </c>
      <c r="H439" t="s">
        <v>316</v>
      </c>
      <c r="I439" t="s">
        <v>516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613</v>
      </c>
      <c r="D440">
        <v>0.05359011932175001</v>
      </c>
      <c r="E440">
        <v>0.01317155168782902</v>
      </c>
      <c r="F440">
        <v>0.04</v>
      </c>
      <c r="G440">
        <v>0.09746771080017691</v>
      </c>
      <c r="H440" t="s">
        <v>316</v>
      </c>
      <c r="I440" t="s">
        <v>375</v>
      </c>
    </row>
    <row r="441" spans="1:9">
      <c r="A441" s="1" t="s">
        <v>448</v>
      </c>
      <c r="B441">
        <f>HYPERLINK("https://www.suredividend.com/sure-analysis-TS/","Tenaris SA")</f>
        <v>0</v>
      </c>
      <c r="C441" t="s">
        <v>613</v>
      </c>
      <c r="D441">
        <v>0.015714512291831</v>
      </c>
      <c r="E441">
        <v>0.02113365432407299</v>
      </c>
      <c r="F441">
        <v>0.06</v>
      </c>
      <c r="G441">
        <v>0.09592521552042843</v>
      </c>
      <c r="H441" t="s">
        <v>316</v>
      </c>
      <c r="I441" t="s">
        <v>516</v>
      </c>
    </row>
    <row r="442" spans="1:9">
      <c r="A442" s="1" t="s">
        <v>449</v>
      </c>
      <c r="B442">
        <f>HYPERLINK("https://www.suredividend.com/sure-analysis-GSK/","GlaxoSmithKline Plc")</f>
        <v>0</v>
      </c>
      <c r="C442" t="s">
        <v>613</v>
      </c>
      <c r="D442">
        <v>0.048023637252505</v>
      </c>
      <c r="E442">
        <v>0.02373056605608093</v>
      </c>
      <c r="F442">
        <v>0.03</v>
      </c>
      <c r="G442">
        <v>0.09522385336807937</v>
      </c>
      <c r="H442" t="s">
        <v>316</v>
      </c>
      <c r="I442" t="s">
        <v>316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613</v>
      </c>
      <c r="D443">
        <v>0.073523660539694</v>
      </c>
      <c r="E443">
        <v>-0.02096228645408427</v>
      </c>
      <c r="F443">
        <v>0.05</v>
      </c>
      <c r="G443">
        <v>0.09335670365394644</v>
      </c>
      <c r="H443" t="s">
        <v>316</v>
      </c>
      <c r="I443" t="s">
        <v>618</v>
      </c>
    </row>
    <row r="444" spans="1:9">
      <c r="A444" s="1" t="s">
        <v>451</v>
      </c>
      <c r="B444">
        <f>HYPERLINK("https://www.suredividend.com/sure-analysis-TCP/","TC Pipelines LP")</f>
        <v>0</v>
      </c>
      <c r="C444" t="s">
        <v>615</v>
      </c>
      <c r="D444">
        <v>0.079219987812309</v>
      </c>
      <c r="E444">
        <v>0.001094493682438635</v>
      </c>
      <c r="F444">
        <v>0.02</v>
      </c>
      <c r="G444">
        <v>0.08796818323775546</v>
      </c>
      <c r="H444" t="s">
        <v>316</v>
      </c>
      <c r="I444" t="s">
        <v>375</v>
      </c>
    </row>
    <row r="445" spans="1:9">
      <c r="A445" s="1" t="s">
        <v>452</v>
      </c>
      <c r="B445">
        <f>HYPERLINK("https://www.suredividend.com/sure-analysis-TT/","Trane Technologies Plc")</f>
        <v>0</v>
      </c>
      <c r="C445" t="s">
        <v>613</v>
      </c>
      <c r="D445">
        <v>0.027457583214609</v>
      </c>
      <c r="E445">
        <v>-0.03683368768208872</v>
      </c>
      <c r="F445">
        <v>0.1</v>
      </c>
      <c r="G445">
        <v>0.08568458711334825</v>
      </c>
      <c r="H445" t="s">
        <v>316</v>
      </c>
      <c r="I445" t="s">
        <v>516</v>
      </c>
    </row>
    <row r="446" spans="1:9">
      <c r="A446" s="1" t="s">
        <v>453</v>
      </c>
      <c r="B446">
        <f>HYPERLINK("https://www.suredividend.com/sure-analysis-KHC/","The Kraft Heinz Co.")</f>
        <v>0</v>
      </c>
      <c r="C446" t="s">
        <v>613</v>
      </c>
      <c r="D446">
        <v>0.054794520547945</v>
      </c>
      <c r="E446">
        <v>0.01203555033943671</v>
      </c>
      <c r="F446">
        <v>0.03</v>
      </c>
      <c r="G446">
        <v>0.0851517893567324</v>
      </c>
      <c r="H446" t="s">
        <v>316</v>
      </c>
      <c r="I446" t="s">
        <v>316</v>
      </c>
    </row>
    <row r="447" spans="1:9">
      <c r="A447" s="1" t="s">
        <v>454</v>
      </c>
      <c r="B447">
        <f>HYPERLINK("https://www.suredividend.com/sure-analysis-HRB/","H&amp;R Block, Inc.")</f>
        <v>0</v>
      </c>
      <c r="C447" t="s">
        <v>613</v>
      </c>
      <c r="D447">
        <v>0.06653870761356301</v>
      </c>
      <c r="E447">
        <v>-0.1045183181051774</v>
      </c>
      <c r="F447">
        <v>0.149</v>
      </c>
      <c r="G447">
        <v>0.08500157640969253</v>
      </c>
      <c r="H447" t="s">
        <v>316</v>
      </c>
      <c r="I447" t="s">
        <v>375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613</v>
      </c>
      <c r="D448">
        <v>0.026727851405622</v>
      </c>
      <c r="E448">
        <v>-0.03814212995269906</v>
      </c>
      <c r="F448">
        <v>0.09</v>
      </c>
      <c r="G448">
        <v>0.08202318090847061</v>
      </c>
      <c r="H448" t="s">
        <v>316</v>
      </c>
      <c r="I448" t="s">
        <v>516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613</v>
      </c>
      <c r="D449">
        <v>0.041654859733635</v>
      </c>
      <c r="E449">
        <v>0.02537250213271069</v>
      </c>
      <c r="F449">
        <v>0.02</v>
      </c>
      <c r="G449">
        <v>0.08180303002211131</v>
      </c>
      <c r="H449" t="s">
        <v>316</v>
      </c>
      <c r="I449" t="s">
        <v>316</v>
      </c>
    </row>
    <row r="450" spans="1:9">
      <c r="A450" s="1" t="s">
        <v>457</v>
      </c>
      <c r="B450">
        <f>HYPERLINK("https://www.suredividend.com/sure-analysis-ALV/","Autoliv, Inc.")</f>
        <v>0</v>
      </c>
      <c r="C450" t="s">
        <v>613</v>
      </c>
      <c r="D450">
        <v>0.042913998961758</v>
      </c>
      <c r="E450">
        <v>0.007534001220055764</v>
      </c>
      <c r="F450">
        <v>0.05</v>
      </c>
      <c r="G450">
        <v>0.07731231378605474</v>
      </c>
      <c r="H450" t="s">
        <v>316</v>
      </c>
      <c r="I450" t="s">
        <v>316</v>
      </c>
    </row>
    <row r="451" spans="1:9">
      <c r="A451" s="1" t="s">
        <v>458</v>
      </c>
      <c r="B451">
        <f>HYPERLINK("https://www.suredividend.com/sure-analysis-OGZPY/","Gazprom PJSC")</f>
        <v>0</v>
      </c>
      <c r="C451" t="s">
        <v>613</v>
      </c>
      <c r="D451">
        <v>0.101633064516129</v>
      </c>
      <c r="E451">
        <v>-0.06735305158545024</v>
      </c>
      <c r="F451">
        <v>0.08</v>
      </c>
      <c r="G451">
        <v>0.0768620737703809</v>
      </c>
      <c r="H451" t="s">
        <v>316</v>
      </c>
      <c r="I451" t="s">
        <v>375</v>
      </c>
    </row>
    <row r="452" spans="1:9">
      <c r="A452" s="1" t="s">
        <v>459</v>
      </c>
      <c r="B452">
        <f>HYPERLINK("https://www.suredividend.com/sure-analysis-GRP-UN","Granite Real Estate Investment Trust")</f>
        <v>0</v>
      </c>
      <c r="C452" t="s">
        <v>614</v>
      </c>
      <c r="D452">
        <v>0.0458</v>
      </c>
      <c r="E452">
        <v>-0.01080361506027894</v>
      </c>
      <c r="F452">
        <v>0.04</v>
      </c>
      <c r="G452">
        <v>0.07238532071027093</v>
      </c>
      <c r="H452" t="s">
        <v>316</v>
      </c>
      <c r="I452" t="s">
        <v>316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613</v>
      </c>
      <c r="D453">
        <v>0.049793984801057</v>
      </c>
      <c r="E453">
        <v>-0.02202240427569502</v>
      </c>
      <c r="F453">
        <v>0.031</v>
      </c>
      <c r="G453">
        <v>0.07117611669541213</v>
      </c>
      <c r="H453" t="s">
        <v>316</v>
      </c>
      <c r="I453" t="s">
        <v>316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613</v>
      </c>
      <c r="D454">
        <v>0.029219530949634</v>
      </c>
      <c r="E454">
        <v>0.007499136038948695</v>
      </c>
      <c r="F454">
        <v>0.03</v>
      </c>
      <c r="G454">
        <v>0.06725847584941369</v>
      </c>
      <c r="H454" t="s">
        <v>316</v>
      </c>
      <c r="I454" t="s">
        <v>516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0.034992275435886</v>
      </c>
      <c r="E455">
        <v>0.00649207158031162</v>
      </c>
      <c r="F455">
        <v>0.029</v>
      </c>
      <c r="G455">
        <v>0.06649090484220244</v>
      </c>
      <c r="H455" t="s">
        <v>316</v>
      </c>
      <c r="I455" t="s">
        <v>316</v>
      </c>
    </row>
    <row r="456" spans="1:9">
      <c r="A456" s="1" t="s">
        <v>463</v>
      </c>
      <c r="B456">
        <f>HYPERLINK("https://www.suredividend.com/sure-analysis-PKX/","POSCO")</f>
        <v>0</v>
      </c>
      <c r="C456" t="s">
        <v>613</v>
      </c>
      <c r="D456">
        <v>0.048053691275167</v>
      </c>
      <c r="E456">
        <v>0.004224443029696712</v>
      </c>
      <c r="F456">
        <v>0.02</v>
      </c>
      <c r="G456">
        <v>0.06472748291485919</v>
      </c>
      <c r="H456" t="s">
        <v>316</v>
      </c>
      <c r="I456" t="s">
        <v>316</v>
      </c>
    </row>
    <row r="457" spans="1:9">
      <c r="A457" s="1" t="s">
        <v>464</v>
      </c>
      <c r="B457">
        <f>HYPERLINK("https://www.suredividend.com/sure-analysis-WEN/","The Wendy's Co.")</f>
        <v>0</v>
      </c>
      <c r="C457" t="s">
        <v>613</v>
      </c>
      <c r="D457">
        <v>0.021093000958772</v>
      </c>
      <c r="E457">
        <v>-0.02906168338346948</v>
      </c>
      <c r="F457">
        <v>0.07000000000000001</v>
      </c>
      <c r="G457">
        <v>0.06208214886016616</v>
      </c>
      <c r="H457" t="s">
        <v>316</v>
      </c>
      <c r="I457" t="s">
        <v>516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614</v>
      </c>
      <c r="D458">
        <v>0.04034657798004501</v>
      </c>
      <c r="E458">
        <v>-0.02244502471413112</v>
      </c>
      <c r="F458">
        <v>0.046</v>
      </c>
      <c r="G458">
        <v>0.05866874850042714</v>
      </c>
      <c r="H458" t="s">
        <v>316</v>
      </c>
      <c r="I458" t="s">
        <v>316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614</v>
      </c>
      <c r="D459">
        <v>0.040494564766409</v>
      </c>
      <c r="E459">
        <v>-0.04050967952089479</v>
      </c>
      <c r="F459">
        <v>0.063</v>
      </c>
      <c r="G459">
        <v>0.05743348518824254</v>
      </c>
      <c r="H459" t="s">
        <v>316</v>
      </c>
      <c r="I459" t="s">
        <v>316</v>
      </c>
    </row>
    <row r="460" spans="1:9">
      <c r="A460" s="1" t="s">
        <v>467</v>
      </c>
      <c r="B460">
        <f>HYPERLINK("https://www.suredividend.com/sure-analysis-FLR/","Fluor Corp.")</f>
        <v>0</v>
      </c>
      <c r="C460" t="s">
        <v>613</v>
      </c>
      <c r="D460">
        <v>0.09210526315789401</v>
      </c>
      <c r="E460">
        <v>-0.002645539725573465</v>
      </c>
      <c r="F460">
        <v>0.02</v>
      </c>
      <c r="G460">
        <v>0.05530521982018333</v>
      </c>
      <c r="H460" t="s">
        <v>316</v>
      </c>
      <c r="I460" t="s">
        <v>618</v>
      </c>
    </row>
    <row r="461" spans="1:9">
      <c r="A461" s="1" t="s">
        <v>468</v>
      </c>
      <c r="B461">
        <f>HYPERLINK("https://www.suredividend.com/sure-analysis-DEA/","Easterly Government Properties, Inc.")</f>
        <v>0</v>
      </c>
      <c r="C461" t="s">
        <v>614</v>
      </c>
      <c r="D461">
        <v>0.044711951848667</v>
      </c>
      <c r="E461">
        <v>-0.02974909376102897</v>
      </c>
      <c r="F461">
        <v>0.034</v>
      </c>
      <c r="G461">
        <v>0.05027947334352878</v>
      </c>
      <c r="H461" t="s">
        <v>316</v>
      </c>
      <c r="I461" t="s">
        <v>316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613</v>
      </c>
      <c r="D462">
        <v>0.08026896406808101</v>
      </c>
      <c r="E462">
        <v>-0.03415183885493478</v>
      </c>
      <c r="F462">
        <v>0.01</v>
      </c>
      <c r="G462">
        <v>0.04501290868100516</v>
      </c>
      <c r="H462" t="s">
        <v>316</v>
      </c>
      <c r="I462" t="s">
        <v>375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613</v>
      </c>
      <c r="D463">
        <v>0.022547914317925</v>
      </c>
      <c r="E463">
        <v>-0.0555107391368117</v>
      </c>
      <c r="F463">
        <v>0.08</v>
      </c>
      <c r="G463">
        <v>0.04375339058985728</v>
      </c>
      <c r="H463" t="s">
        <v>316</v>
      </c>
      <c r="I463" t="s">
        <v>516</v>
      </c>
    </row>
    <row r="464" spans="1:9">
      <c r="A464" s="1" t="s">
        <v>471</v>
      </c>
      <c r="B464">
        <f>HYPERLINK("https://www.suredividend.com/sure-analysis-CAG/","Conagra Brands, Inc.")</f>
        <v>0</v>
      </c>
      <c r="C464" t="s">
        <v>613</v>
      </c>
      <c r="D464">
        <v>0.024875621890547</v>
      </c>
      <c r="E464">
        <v>-0.02569427338114427</v>
      </c>
      <c r="F464">
        <v>0.04</v>
      </c>
      <c r="G464">
        <v>0.03836464143803919</v>
      </c>
      <c r="H464" t="s">
        <v>316</v>
      </c>
      <c r="I464" t="s">
        <v>516</v>
      </c>
    </row>
    <row r="465" spans="1:9">
      <c r="A465" s="1" t="s">
        <v>472</v>
      </c>
      <c r="B465">
        <f>HYPERLINK("https://www.suredividend.com/sure-analysis-HMC/","Honda Motor Co., Ltd.")</f>
        <v>0</v>
      </c>
      <c r="C465" t="s">
        <v>613</v>
      </c>
      <c r="D465">
        <v>0.045335658238884</v>
      </c>
      <c r="E465">
        <v>-0.03698724914358154</v>
      </c>
      <c r="F465">
        <v>0.029</v>
      </c>
      <c r="G465">
        <v>0.0372296054059007</v>
      </c>
      <c r="H465" t="s">
        <v>316</v>
      </c>
      <c r="I465" t="s">
        <v>316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0.038800705467372</v>
      </c>
      <c r="E466">
        <v>-0.06033409370307063</v>
      </c>
      <c r="F466">
        <v>0.04</v>
      </c>
      <c r="G466">
        <v>0.01960111135570863</v>
      </c>
      <c r="H466" t="s">
        <v>316</v>
      </c>
      <c r="I466" t="s">
        <v>316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0.08024224072672201</v>
      </c>
      <c r="E467">
        <v>-0.08440540211916425</v>
      </c>
      <c r="F467">
        <v>0.05</v>
      </c>
      <c r="G467">
        <v>0.01714686077530447</v>
      </c>
      <c r="H467" t="s">
        <v>316</v>
      </c>
      <c r="I467" t="s">
        <v>375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0.032089851584436</v>
      </c>
      <c r="E468">
        <v>-0.09661308432174753</v>
      </c>
      <c r="F468">
        <v>0.05</v>
      </c>
      <c r="G468">
        <v>-0.009377056903810632</v>
      </c>
      <c r="H468" t="s">
        <v>316</v>
      </c>
      <c r="I468" t="s">
        <v>316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0.025650627223366</v>
      </c>
      <c r="E469">
        <v>-0.1089547993381982</v>
      </c>
      <c r="F469">
        <v>0.04</v>
      </c>
      <c r="G469">
        <v>-0.0402181978485262</v>
      </c>
      <c r="H469" t="s">
        <v>316</v>
      </c>
      <c r="I469" t="s">
        <v>516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0.008293183527668</v>
      </c>
      <c r="E470">
        <v>-0.1280804005703006</v>
      </c>
      <c r="F470">
        <v>0</v>
      </c>
      <c r="G470">
        <v>-0.1134180716974313</v>
      </c>
      <c r="H470" t="s">
        <v>316</v>
      </c>
      <c r="I470" t="s">
        <v>516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0.022966507177033</v>
      </c>
      <c r="E471">
        <v>-0.1964917304788871</v>
      </c>
      <c r="F471">
        <v>0.02</v>
      </c>
      <c r="G471">
        <v>-0.1323581348543182</v>
      </c>
      <c r="H471" t="s">
        <v>316</v>
      </c>
      <c r="I471" t="s">
        <v>516</v>
      </c>
    </row>
    <row r="472" spans="1:9">
      <c r="A472" s="1" t="s">
        <v>479</v>
      </c>
      <c r="B472">
        <f>HYPERLINK("https://www.suredividend.com/sure-analysis-CIM/","Chimera Investment Corp.")</f>
        <v>0</v>
      </c>
      <c r="C472" t="s">
        <v>613</v>
      </c>
      <c r="D472">
        <v>0.266311584553928</v>
      </c>
      <c r="E472">
        <v>0.1775023888527207</v>
      </c>
      <c r="F472">
        <v>0.026</v>
      </c>
      <c r="G472">
        <v>0.315850660874988</v>
      </c>
      <c r="H472" t="s">
        <v>516</v>
      </c>
      <c r="I472" t="s">
        <v>618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0.150626423690205</v>
      </c>
      <c r="E473">
        <v>0.1905426433671475</v>
      </c>
      <c r="F473">
        <v>0.05</v>
      </c>
      <c r="G473">
        <v>0.3132805396499549</v>
      </c>
      <c r="H473" t="s">
        <v>516</v>
      </c>
      <c r="I473" t="s">
        <v>375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0.227930535455861</v>
      </c>
      <c r="E474">
        <v>-0.129701551012982</v>
      </c>
      <c r="F474">
        <v>0.38</v>
      </c>
      <c r="G474">
        <v>0.2965353995469284</v>
      </c>
      <c r="H474" t="s">
        <v>516</v>
      </c>
      <c r="I474" t="s">
        <v>375</v>
      </c>
    </row>
    <row r="475" spans="1:9">
      <c r="A475" s="1" t="s">
        <v>482</v>
      </c>
      <c r="B475">
        <f>HYPERLINK("https://www.suredividend.com/sure-analysis-ALARF/","Alaris Royalty Corp.")</f>
        <v>0</v>
      </c>
      <c r="C475" t="s">
        <v>613</v>
      </c>
      <c r="D475">
        <v>0.189000781154588</v>
      </c>
      <c r="E475">
        <v>0.1465893474578006</v>
      </c>
      <c r="F475">
        <v>0.02</v>
      </c>
      <c r="G475">
        <v>0.2587721392106423</v>
      </c>
      <c r="H475" t="s">
        <v>516</v>
      </c>
      <c r="I475" t="s">
        <v>618</v>
      </c>
    </row>
    <row r="476" spans="1:9">
      <c r="A476" s="1" t="s">
        <v>483</v>
      </c>
      <c r="B476">
        <f>HYPERLINK("https://www.suredividend.com/sure-analysis-LUV/","Southwest Airlines Co.")</f>
        <v>0</v>
      </c>
      <c r="C476" t="s">
        <v>613</v>
      </c>
      <c r="D476">
        <v>0.030163385002094</v>
      </c>
      <c r="E476">
        <v>0.1593738941907608</v>
      </c>
      <c r="F476">
        <v>0.08</v>
      </c>
      <c r="G476">
        <v>0.2583611768842982</v>
      </c>
      <c r="H476" t="s">
        <v>516</v>
      </c>
      <c r="I476" t="s">
        <v>516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614</v>
      </c>
      <c r="D477">
        <v>0.187866927592954</v>
      </c>
      <c r="E477">
        <v>0.1657202935832143</v>
      </c>
      <c r="F477">
        <v>0</v>
      </c>
      <c r="G477">
        <v>0.2505998707548533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HYPERLINK("https://www.suredividend.com/sure-analysis-SCM/","Stellus Capital Investment Corp.")</f>
        <v>0</v>
      </c>
      <c r="C478" t="s">
        <v>613</v>
      </c>
      <c r="D478">
        <v>0.186014925373134</v>
      </c>
      <c r="E478">
        <v>0.1236247289443668</v>
      </c>
      <c r="F478">
        <v>0.02</v>
      </c>
      <c r="G478">
        <v>0.2450977579624098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HYPERLINK("https://www.suredividend.com/sure-analysis-USAC/","USA Compression Partners LP")</f>
        <v>0</v>
      </c>
      <c r="C479" t="s">
        <v>615</v>
      </c>
      <c r="D479">
        <v>0.223166843783209</v>
      </c>
      <c r="E479">
        <v>0.1202209564041135</v>
      </c>
      <c r="F479">
        <v>0.01</v>
      </c>
      <c r="G479">
        <v>0.2432211493224612</v>
      </c>
      <c r="H479" t="s">
        <v>516</v>
      </c>
      <c r="I479" t="s">
        <v>618</v>
      </c>
    </row>
    <row r="480" spans="1:9">
      <c r="A480" s="1" t="s">
        <v>487</v>
      </c>
      <c r="B480">
        <f>HYPERLINK("https://www.suredividend.com/sure-analysis-LADR/","Ladder Capital Corp.")</f>
        <v>0</v>
      </c>
      <c r="C480" t="s">
        <v>614</v>
      </c>
      <c r="D480">
        <v>0.203288490284005</v>
      </c>
      <c r="E480">
        <v>0.104570177579687</v>
      </c>
      <c r="F480">
        <v>0.02</v>
      </c>
      <c r="G480">
        <v>0.2367820339290923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613</v>
      </c>
      <c r="D481">
        <v>0.44625</v>
      </c>
      <c r="E481">
        <v>-0.2316118715644671</v>
      </c>
      <c r="F481">
        <v>0.476</v>
      </c>
      <c r="G481">
        <v>0.232949607125404</v>
      </c>
      <c r="H481" t="s">
        <v>516</v>
      </c>
      <c r="I481" t="s">
        <v>375</v>
      </c>
    </row>
    <row r="482" spans="1:9">
      <c r="A482" s="1" t="s">
        <v>489</v>
      </c>
      <c r="B482">
        <f>HYPERLINK("https://www.suredividend.com/sure-analysis-SSREY/","Swiss Re AG")</f>
        <v>0</v>
      </c>
      <c r="C482" t="s">
        <v>613</v>
      </c>
      <c r="D482">
        <v>0.09885471204188401</v>
      </c>
      <c r="E482">
        <v>0.08522776480163596</v>
      </c>
      <c r="F482">
        <v>0.08</v>
      </c>
      <c r="G482">
        <v>0.2222010719993051</v>
      </c>
      <c r="H482" t="s">
        <v>516</v>
      </c>
      <c r="I482" t="s">
        <v>375</v>
      </c>
    </row>
    <row r="483" spans="1:9">
      <c r="A483" s="1" t="s">
        <v>490</v>
      </c>
      <c r="B483">
        <f>HYPERLINK("https://www.suredividend.com/sure-analysis-PACW/","PacWest Bancorp")</f>
        <v>0</v>
      </c>
      <c r="C483" t="s">
        <v>613</v>
      </c>
      <c r="D483">
        <v>0.154340836012861</v>
      </c>
      <c r="E483">
        <v>0.140455049064977</v>
      </c>
      <c r="F483">
        <v>0</v>
      </c>
      <c r="G483">
        <v>0.2219130682547306</v>
      </c>
      <c r="H483" t="s">
        <v>516</v>
      </c>
      <c r="I483" t="s">
        <v>375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0.08476027397260201</v>
      </c>
      <c r="E484">
        <v>0.1350002772331829</v>
      </c>
      <c r="F484">
        <v>0.03</v>
      </c>
      <c r="G484">
        <v>0.2161659539328316</v>
      </c>
      <c r="H484" t="s">
        <v>516</v>
      </c>
      <c r="I484" t="s">
        <v>316</v>
      </c>
    </row>
    <row r="485" spans="1:9">
      <c r="A485" s="1" t="s">
        <v>492</v>
      </c>
      <c r="B485">
        <f>HYPERLINK("https://www.suredividend.com/sure-analysis-TWO/","Two Harbors Investment Corp.")</f>
        <v>0</v>
      </c>
      <c r="C485" t="s">
        <v>614</v>
      </c>
      <c r="D485">
        <v>0.279720279720279</v>
      </c>
      <c r="E485">
        <v>0.1270092020979254</v>
      </c>
      <c r="F485">
        <v>0</v>
      </c>
      <c r="G485">
        <v>0.2155186503975213</v>
      </c>
      <c r="H485" t="s">
        <v>516</v>
      </c>
      <c r="I485" t="s">
        <v>375</v>
      </c>
    </row>
    <row r="486" spans="1:9">
      <c r="A486" s="1" t="s">
        <v>493</v>
      </c>
      <c r="B486">
        <f>HYPERLINK("https://www.suredividend.com/sure-analysis-KEY/","KeyCorp")</f>
        <v>0</v>
      </c>
      <c r="C486" t="s">
        <v>613</v>
      </c>
      <c r="D486">
        <v>0.07458847736625501</v>
      </c>
      <c r="E486">
        <v>0.1182953815029673</v>
      </c>
      <c r="F486">
        <v>0.04</v>
      </c>
      <c r="G486">
        <v>0.2065186872468825</v>
      </c>
      <c r="H486" t="s">
        <v>516</v>
      </c>
      <c r="I486" t="s">
        <v>316</v>
      </c>
    </row>
    <row r="487" spans="1:9">
      <c r="A487" s="1" t="s">
        <v>494</v>
      </c>
      <c r="B487">
        <f>HYPERLINK("https://www.suredividend.com/sure-analysis-SPH/","Suburban Propane Partners LP")</f>
        <v>0</v>
      </c>
      <c r="C487" t="s">
        <v>615</v>
      </c>
      <c r="D487">
        <v>0.180045011252813</v>
      </c>
      <c r="E487">
        <v>0.06191185969827528</v>
      </c>
      <c r="F487">
        <v>0.04</v>
      </c>
      <c r="G487">
        <v>0.2052392733687571</v>
      </c>
      <c r="H487" t="s">
        <v>516</v>
      </c>
      <c r="I487" t="s">
        <v>618</v>
      </c>
    </row>
    <row r="488" spans="1:9">
      <c r="A488" s="1" t="s">
        <v>495</v>
      </c>
      <c r="B488">
        <f>HYPERLINK("https://www.suredividend.com/sure-analysis-FCAU/","Fiat Chrysler Automobiles NV")</f>
        <v>0</v>
      </c>
      <c r="C488" t="s">
        <v>613</v>
      </c>
      <c r="D488">
        <v>0.166240409207161</v>
      </c>
      <c r="E488">
        <v>0.1235289219231113</v>
      </c>
      <c r="F488">
        <v>0.03</v>
      </c>
      <c r="G488">
        <v>0.2033261344292379</v>
      </c>
      <c r="H488" t="s">
        <v>516</v>
      </c>
      <c r="I488" t="s">
        <v>375</v>
      </c>
    </row>
    <row r="489" spans="1:9">
      <c r="A489" s="1" t="s">
        <v>496</v>
      </c>
      <c r="B489">
        <f>HYPERLINK("https://www.suredividend.com/sure-analysis-OLN/","Olin Corp.")</f>
        <v>0</v>
      </c>
      <c r="C489" t="s">
        <v>613</v>
      </c>
      <c r="D489">
        <v>0.072072072072072</v>
      </c>
      <c r="E489">
        <v>0.1360024373838433</v>
      </c>
      <c r="F489">
        <v>0.02</v>
      </c>
      <c r="G489">
        <v>0.1961991741590279</v>
      </c>
      <c r="H489" t="s">
        <v>516</v>
      </c>
      <c r="I489" t="s">
        <v>316</v>
      </c>
    </row>
    <row r="490" spans="1:9">
      <c r="A490" s="1" t="s">
        <v>497</v>
      </c>
      <c r="B490">
        <f>HYPERLINK("https://www.suredividend.com/sure-analysis-CAKE/","Cheesecake Factory, Inc.")</f>
        <v>0</v>
      </c>
      <c r="C490" t="s">
        <v>613</v>
      </c>
      <c r="D490">
        <v>0.07613390928725701</v>
      </c>
      <c r="E490">
        <v>-0.04128382345380288</v>
      </c>
      <c r="F490">
        <v>0.198</v>
      </c>
      <c r="G490">
        <v>0.1937241605057507</v>
      </c>
      <c r="H490" t="s">
        <v>516</v>
      </c>
      <c r="I490" t="s">
        <v>316</v>
      </c>
    </row>
    <row r="491" spans="1:9">
      <c r="A491" s="1" t="s">
        <v>498</v>
      </c>
      <c r="B491">
        <f>HYPERLINK("https://www.suredividend.com/sure-analysis-DDAIF/","Daimler AG")</f>
        <v>0</v>
      </c>
      <c r="C491" t="s">
        <v>613</v>
      </c>
      <c r="D491">
        <v>0.107438016528925</v>
      </c>
      <c r="E491">
        <v>0.1186908814511587</v>
      </c>
      <c r="F491">
        <v>0.05</v>
      </c>
      <c r="G491">
        <v>0.1913346700899283</v>
      </c>
      <c r="H491" t="s">
        <v>516</v>
      </c>
      <c r="I491" t="s">
        <v>316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613</v>
      </c>
      <c r="D492">
        <v>0.146596858638743</v>
      </c>
      <c r="E492">
        <v>0.06362367621973819</v>
      </c>
      <c r="F492">
        <v>0.036</v>
      </c>
      <c r="G492">
        <v>0.1902319425059629</v>
      </c>
      <c r="H492" t="s">
        <v>516</v>
      </c>
      <c r="I492" t="s">
        <v>375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613</v>
      </c>
      <c r="D493">
        <v>0.079754601226993</v>
      </c>
      <c r="E493">
        <v>0.08930746750915186</v>
      </c>
      <c r="F493">
        <v>0.09</v>
      </c>
      <c r="G493">
        <v>0.1873451395849755</v>
      </c>
      <c r="H493" t="s">
        <v>516</v>
      </c>
      <c r="I493" t="s">
        <v>316</v>
      </c>
    </row>
    <row r="494" spans="1:9">
      <c r="A494" s="1" t="s">
        <v>501</v>
      </c>
      <c r="B494">
        <f>HYPERLINK("https://www.suredividend.com/sure-analysis-TOT/","Total SA")</f>
        <v>0</v>
      </c>
      <c r="C494" t="s">
        <v>613</v>
      </c>
      <c r="D494">
        <v>0.088422646079321</v>
      </c>
      <c r="E494">
        <v>0.05903135987290642</v>
      </c>
      <c r="F494">
        <v>0.07000000000000001</v>
      </c>
      <c r="G494">
        <v>0.1852460462100944</v>
      </c>
      <c r="H494" t="s">
        <v>516</v>
      </c>
      <c r="I494" t="s">
        <v>316</v>
      </c>
    </row>
    <row r="495" spans="1:9">
      <c r="A495" s="1" t="s">
        <v>502</v>
      </c>
      <c r="B495">
        <f>HYPERLINK("https://www.suredividend.com/sure-analysis-MPC/","Marathon Petroleum Corp.")</f>
        <v>0</v>
      </c>
      <c r="C495" t="s">
        <v>613</v>
      </c>
      <c r="D495">
        <v>0.07161716171617101</v>
      </c>
      <c r="E495">
        <v>0.1009071448915317</v>
      </c>
      <c r="F495">
        <v>0.03</v>
      </c>
      <c r="G495">
        <v>0.1805900228656299</v>
      </c>
      <c r="H495" t="s">
        <v>516</v>
      </c>
      <c r="I495" t="s">
        <v>316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613</v>
      </c>
      <c r="D496">
        <v>0.112511457378551</v>
      </c>
      <c r="E496">
        <v>0.01922788992616731</v>
      </c>
      <c r="F496">
        <v>0.09</v>
      </c>
      <c r="G496">
        <v>0.1781413831905398</v>
      </c>
      <c r="H496" t="s">
        <v>516</v>
      </c>
      <c r="I496" t="s">
        <v>316</v>
      </c>
    </row>
    <row r="497" spans="1:9">
      <c r="A497" s="1" t="s">
        <v>504</v>
      </c>
      <c r="B497">
        <f>HYPERLINK("https://www.suredividend.com/sure-analysis-OZK/","Bank OZK")</f>
        <v>0</v>
      </c>
      <c r="C497" t="s">
        <v>613</v>
      </c>
      <c r="D497">
        <v>0.049822064056939</v>
      </c>
      <c r="E497">
        <v>0.08808639217309855</v>
      </c>
      <c r="F497">
        <v>0.05</v>
      </c>
      <c r="G497">
        <v>0.1776773908972165</v>
      </c>
      <c r="H497" t="s">
        <v>516</v>
      </c>
      <c r="I497" t="s">
        <v>316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613</v>
      </c>
      <c r="D498">
        <v>0.078561917443408</v>
      </c>
      <c r="E498">
        <v>0.07932080754530646</v>
      </c>
      <c r="F498">
        <v>0.04</v>
      </c>
      <c r="G498">
        <v>0.174995499467717</v>
      </c>
      <c r="H498" t="s">
        <v>516</v>
      </c>
      <c r="I498" t="s">
        <v>316</v>
      </c>
    </row>
    <row r="499" spans="1:9">
      <c r="A499" s="1" t="s">
        <v>506</v>
      </c>
      <c r="B499">
        <f>HYPERLINK("https://www.suredividend.com/sure-analysis-VER/","VEREIT, Inc.")</f>
        <v>0</v>
      </c>
      <c r="C499" t="s">
        <v>613</v>
      </c>
      <c r="D499">
        <v>0.121951219512195</v>
      </c>
      <c r="E499">
        <v>0.07912928578583145</v>
      </c>
      <c r="F499">
        <v>0.021</v>
      </c>
      <c r="G499">
        <v>0.1743405994155298</v>
      </c>
      <c r="H499" t="s">
        <v>516</v>
      </c>
      <c r="I499" t="s">
        <v>375</v>
      </c>
    </row>
    <row r="500" spans="1:9">
      <c r="A500" s="1" t="s">
        <v>507</v>
      </c>
      <c r="B500">
        <f>HYPERLINK("https://www.suredividend.com/sure-analysis-RDS.B/","Royal Dutch Shell Plc")</f>
        <v>0</v>
      </c>
      <c r="C500" t="s">
        <v>613</v>
      </c>
      <c r="D500">
        <v>0.131468531468531</v>
      </c>
      <c r="E500">
        <v>0.02903366107118788</v>
      </c>
      <c r="F500">
        <v>0.11</v>
      </c>
      <c r="G500">
        <v>0.1737483338850907</v>
      </c>
      <c r="H500" t="s">
        <v>516</v>
      </c>
      <c r="I500" t="s">
        <v>375</v>
      </c>
    </row>
    <row r="501" spans="1:9">
      <c r="A501" s="1" t="s">
        <v>508</v>
      </c>
      <c r="B501">
        <f>HYPERLINK("https://www.suredividend.com/sure-analysis-ALK/","Alaska Air Group, Inc.")</f>
        <v>0</v>
      </c>
      <c r="C501" t="s">
        <v>613</v>
      </c>
      <c r="D501">
        <v>0.055598907530238</v>
      </c>
      <c r="E501">
        <v>0.1141426871418374</v>
      </c>
      <c r="F501">
        <v>0.04</v>
      </c>
      <c r="G501">
        <v>0.171413613652714</v>
      </c>
      <c r="H501" t="s">
        <v>516</v>
      </c>
      <c r="I501" t="s">
        <v>516</v>
      </c>
    </row>
    <row r="502" spans="1:9">
      <c r="A502" s="1" t="s">
        <v>509</v>
      </c>
      <c r="B502">
        <f>HYPERLINK("https://www.suredividend.com/sure-analysis-SNP/","China Petroleum &amp; Chemical Corp.")</f>
        <v>0</v>
      </c>
      <c r="C502" t="s">
        <v>613</v>
      </c>
      <c r="D502">
        <v>0.110036849073256</v>
      </c>
      <c r="E502">
        <v>-0.06723548610227204</v>
      </c>
      <c r="F502">
        <v>0.2</v>
      </c>
      <c r="G502">
        <v>0.1705405612556814</v>
      </c>
      <c r="H502" t="s">
        <v>516</v>
      </c>
      <c r="I502" t="s">
        <v>375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613</v>
      </c>
      <c r="D503">
        <v>0.09405684754521901</v>
      </c>
      <c r="E503">
        <v>0.07670173381178103</v>
      </c>
      <c r="F503">
        <v>0.03</v>
      </c>
      <c r="G503">
        <v>0.1691378094461151</v>
      </c>
      <c r="H503" t="s">
        <v>516</v>
      </c>
      <c r="I503" t="s">
        <v>316</v>
      </c>
    </row>
    <row r="504" spans="1:9">
      <c r="A504" s="1" t="s">
        <v>511</v>
      </c>
      <c r="B504">
        <f>HYPERLINK("https://www.suredividend.com/sure-analysis-DIN/","Dine Brands Global, Inc.")</f>
        <v>0</v>
      </c>
      <c r="C504" t="s">
        <v>613</v>
      </c>
      <c r="D504">
        <v>0.07751301013420901</v>
      </c>
      <c r="E504">
        <v>0.1257097315982885</v>
      </c>
      <c r="F504">
        <v>0.035</v>
      </c>
      <c r="G504">
        <v>0.1651095722042286</v>
      </c>
      <c r="H504" t="s">
        <v>516</v>
      </c>
      <c r="I504" t="s">
        <v>375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613</v>
      </c>
      <c r="D505">
        <v>0.074247491638796</v>
      </c>
      <c r="E505">
        <v>0.05993140603614999</v>
      </c>
      <c r="F505">
        <v>0.05</v>
      </c>
      <c r="G505">
        <v>0.161238505708982</v>
      </c>
      <c r="H505" t="s">
        <v>516</v>
      </c>
      <c r="I505" t="s">
        <v>316</v>
      </c>
    </row>
    <row r="506" spans="1:9">
      <c r="A506" s="1" t="s">
        <v>513</v>
      </c>
      <c r="B506">
        <f>HYPERLINK("https://www.suredividend.com/sure-analysis-HAL/","Halliburton Co.")</f>
        <v>0</v>
      </c>
      <c r="C506" t="s">
        <v>613</v>
      </c>
      <c r="D506">
        <v>0.07331975560081401</v>
      </c>
      <c r="E506">
        <v>-0.03075502154749088</v>
      </c>
      <c r="F506">
        <v>0.149</v>
      </c>
      <c r="G506">
        <v>0.1577043189909473</v>
      </c>
      <c r="H506" t="s">
        <v>516</v>
      </c>
      <c r="I506" t="s">
        <v>316</v>
      </c>
    </row>
    <row r="507" spans="1:9">
      <c r="A507" s="1" t="s">
        <v>514</v>
      </c>
      <c r="B507">
        <f>HYPERLINK("https://www.suredividend.com/sure-analysis-AM/","Antero Midstream Corp.")</f>
        <v>0</v>
      </c>
      <c r="C507" t="s">
        <v>613</v>
      </c>
      <c r="D507">
        <v>0.340720221606648</v>
      </c>
      <c r="E507">
        <v>-0.02079137122862251</v>
      </c>
      <c r="F507">
        <v>0.067</v>
      </c>
      <c r="G507">
        <v>0.1573107303331478</v>
      </c>
      <c r="H507" t="s">
        <v>516</v>
      </c>
      <c r="I507" t="s">
        <v>618</v>
      </c>
    </row>
    <row r="508" spans="1:9">
      <c r="A508" s="1" t="s">
        <v>515</v>
      </c>
      <c r="B508">
        <f>HYPERLINK("https://www.suredividend.com/sure-analysis-HFC/","HollyFrontier Corp.")</f>
        <v>0</v>
      </c>
      <c r="C508" t="s">
        <v>613</v>
      </c>
      <c r="D508">
        <v>0.05061406773353101</v>
      </c>
      <c r="E508">
        <v>0.07735638065911576</v>
      </c>
      <c r="F508">
        <v>0.04</v>
      </c>
      <c r="G508">
        <v>0.1535871916463862</v>
      </c>
      <c r="H508" t="s">
        <v>516</v>
      </c>
      <c r="I508" t="s">
        <v>316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0.122448979591836</v>
      </c>
      <c r="E509">
        <v>0.09460878422315755</v>
      </c>
      <c r="F509">
        <v>0.02</v>
      </c>
      <c r="G509">
        <v>0.1499013139937848</v>
      </c>
      <c r="H509" t="s">
        <v>516</v>
      </c>
      <c r="I509" t="s">
        <v>316</v>
      </c>
    </row>
    <row r="510" spans="1:9">
      <c r="A510" s="1" t="s">
        <v>517</v>
      </c>
      <c r="B510">
        <f>HYPERLINK("https://www.suredividend.com/sure-analysis-INN/","Summit Hotel Properties, Inc.")</f>
        <v>0</v>
      </c>
      <c r="C510" t="s">
        <v>614</v>
      </c>
      <c r="D510">
        <v>0.154175588865096</v>
      </c>
      <c r="E510">
        <v>-0.4224881834293636</v>
      </c>
      <c r="F510">
        <v>0.904</v>
      </c>
      <c r="G510">
        <v>0.1461872395904185</v>
      </c>
      <c r="H510" t="s">
        <v>516</v>
      </c>
      <c r="I510" t="s">
        <v>316</v>
      </c>
    </row>
    <row r="511" spans="1:9">
      <c r="A511" s="1" t="s">
        <v>518</v>
      </c>
      <c r="B511">
        <f>HYPERLINK("https://www.suredividend.com/sure-analysis-GLAD/","Gladstone Capital Corp.")</f>
        <v>0</v>
      </c>
      <c r="C511" t="s">
        <v>613</v>
      </c>
      <c r="D511">
        <v>0.133814102564102</v>
      </c>
      <c r="E511">
        <v>0.0509476404473832</v>
      </c>
      <c r="F511">
        <v>0.01</v>
      </c>
      <c r="G511">
        <v>0.145515966755067</v>
      </c>
      <c r="H511" t="s">
        <v>516</v>
      </c>
      <c r="I511" t="s">
        <v>375</v>
      </c>
    </row>
    <row r="512" spans="1:9">
      <c r="A512" s="1" t="s">
        <v>519</v>
      </c>
      <c r="B512">
        <f>HYPERLINK("https://www.suredividend.com/sure-analysis-XOM/","Exxon Mobil Corp.")</f>
        <v>0</v>
      </c>
      <c r="C512" t="s">
        <v>613</v>
      </c>
      <c r="D512">
        <v>0.082857142857142</v>
      </c>
      <c r="E512">
        <v>0</v>
      </c>
      <c r="F512">
        <v>0.09</v>
      </c>
      <c r="G512">
        <v>0.144728722342905</v>
      </c>
      <c r="H512" t="s">
        <v>516</v>
      </c>
      <c r="I512" t="s">
        <v>316</v>
      </c>
    </row>
    <row r="513" spans="1:9">
      <c r="A513" s="1" t="s">
        <v>520</v>
      </c>
      <c r="B513">
        <f>HYPERLINK("https://www.suredividend.com/sure-analysis-APLE/","Apple Hospitality REIT, Inc.")</f>
        <v>0</v>
      </c>
      <c r="C513" t="s">
        <v>614</v>
      </c>
      <c r="D513">
        <v>0.147058823529411</v>
      </c>
      <c r="E513">
        <v>0.05668042233556547</v>
      </c>
      <c r="F513">
        <v>0.039</v>
      </c>
      <c r="G513">
        <v>0.1418403960755572</v>
      </c>
      <c r="H513" t="s">
        <v>516</v>
      </c>
      <c r="I513" t="s">
        <v>316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615</v>
      </c>
      <c r="D514">
        <v>0.162971175166297</v>
      </c>
      <c r="E514">
        <v>0.04048836820440749</v>
      </c>
      <c r="F514">
        <v>0.025</v>
      </c>
      <c r="G514">
        <v>0.1410254431322679</v>
      </c>
      <c r="H514" t="s">
        <v>516</v>
      </c>
      <c r="I514" t="s">
        <v>375</v>
      </c>
    </row>
    <row r="515" spans="1:9">
      <c r="A515" s="1" t="s">
        <v>522</v>
      </c>
      <c r="B515">
        <f>HYPERLINK("https://www.suredividend.com/sure-analysis-ARI/","Apollo Commercial Real Estate Finance, Inc.")</f>
        <v>0</v>
      </c>
      <c r="C515" t="s">
        <v>614</v>
      </c>
      <c r="D515">
        <v>0.253561253561253</v>
      </c>
      <c r="E515">
        <v>-0.00057045102738984</v>
      </c>
      <c r="F515">
        <v>0.037</v>
      </c>
      <c r="G515">
        <v>0.140456020275834</v>
      </c>
      <c r="H515" t="s">
        <v>516</v>
      </c>
      <c r="I515" t="s">
        <v>375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613</v>
      </c>
      <c r="D516">
        <v>0.08259480615157901</v>
      </c>
      <c r="E516">
        <v>-0.1303974885548499</v>
      </c>
      <c r="F516">
        <v>0.25</v>
      </c>
      <c r="G516">
        <v>0.1387019517781491</v>
      </c>
      <c r="H516" t="s">
        <v>516</v>
      </c>
      <c r="I516" t="s">
        <v>316</v>
      </c>
    </row>
    <row r="517" spans="1:9">
      <c r="A517" s="1" t="s">
        <v>524</v>
      </c>
      <c r="B517">
        <f>HYPERLINK("https://www.suredividend.com/sure-analysis-LVS/","Las Vegas Sands Corp.")</f>
        <v>0</v>
      </c>
      <c r="C517" t="s">
        <v>613</v>
      </c>
      <c r="D517">
        <v>0.06925826630920401</v>
      </c>
      <c r="E517">
        <v>0.0458263740347864</v>
      </c>
      <c r="F517">
        <v>0.04</v>
      </c>
      <c r="G517">
        <v>0.1379333046235989</v>
      </c>
      <c r="H517" t="s">
        <v>516</v>
      </c>
      <c r="I517" t="s">
        <v>316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613</v>
      </c>
      <c r="D518">
        <v>0.112055641421947</v>
      </c>
      <c r="E518">
        <v>-0.1368396496341957</v>
      </c>
      <c r="F518">
        <v>0.229</v>
      </c>
      <c r="G518">
        <v>0.1378799582393551</v>
      </c>
      <c r="H518" t="s">
        <v>516</v>
      </c>
      <c r="I518" t="s">
        <v>375</v>
      </c>
    </row>
    <row r="519" spans="1:9">
      <c r="A519" s="1" t="s">
        <v>526</v>
      </c>
      <c r="B519">
        <f>HYPERLINK("https://www.suredividend.com/sure-analysis-PSEC/","Prospect Capital Corp.")</f>
        <v>0</v>
      </c>
      <c r="C519" t="s">
        <v>616</v>
      </c>
      <c r="D519">
        <v>0.163265306122448</v>
      </c>
      <c r="E519">
        <v>0.01709268203414238</v>
      </c>
      <c r="F519">
        <v>0</v>
      </c>
      <c r="G519">
        <v>0.137543830351883</v>
      </c>
      <c r="H519" t="s">
        <v>516</v>
      </c>
      <c r="I519" t="s">
        <v>618</v>
      </c>
    </row>
    <row r="520" spans="1:9">
      <c r="A520" s="1" t="s">
        <v>527</v>
      </c>
      <c r="B520">
        <f>HYPERLINK("https://www.suredividend.com/sure-analysis-RRD/","R.R. Donnelley &amp; Sons Co.")</f>
        <v>0</v>
      </c>
      <c r="C520" t="s">
        <v>613</v>
      </c>
      <c r="D520">
        <v>0.08571428571428501</v>
      </c>
      <c r="E520">
        <v>0.137543830351883</v>
      </c>
      <c r="F520">
        <v>0</v>
      </c>
      <c r="G520">
        <v>0.137543830351883</v>
      </c>
      <c r="H520" t="s">
        <v>516</v>
      </c>
      <c r="I520" t="s">
        <v>316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613</v>
      </c>
      <c r="D521">
        <v>0.073694050991501</v>
      </c>
      <c r="E521">
        <v>-0.1463712070275484</v>
      </c>
      <c r="F521">
        <v>0.285</v>
      </c>
      <c r="G521">
        <v>0.1343929530267782</v>
      </c>
      <c r="H521" t="s">
        <v>516</v>
      </c>
      <c r="I521" t="s">
        <v>316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613</v>
      </c>
      <c r="D522">
        <v>0.04627366920920301</v>
      </c>
      <c r="E522">
        <v>0.06954621065177657</v>
      </c>
      <c r="F522">
        <v>0.03</v>
      </c>
      <c r="G522">
        <v>0.1329993625974784</v>
      </c>
      <c r="H522" t="s">
        <v>516</v>
      </c>
      <c r="I522" t="s">
        <v>516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613</v>
      </c>
      <c r="D523">
        <v>0.05232558139534801</v>
      </c>
      <c r="E523">
        <v>-0.01129897662544732</v>
      </c>
      <c r="F523">
        <v>0.11</v>
      </c>
      <c r="G523">
        <v>0.1313681630062002</v>
      </c>
      <c r="H523" t="s">
        <v>516</v>
      </c>
      <c r="I523" t="s">
        <v>516</v>
      </c>
    </row>
    <row r="524" spans="1:9">
      <c r="A524" s="1" t="s">
        <v>531</v>
      </c>
      <c r="B524">
        <f>HYPERLINK("https://www.suredividend.com/sure-analysis-BA/","The Boeing Co.")</f>
        <v>0</v>
      </c>
      <c r="C524" t="s">
        <v>613</v>
      </c>
      <c r="D524">
        <v>0.06850000000000001</v>
      </c>
      <c r="E524">
        <v>0.07214502590085092</v>
      </c>
      <c r="F524">
        <v>0.054</v>
      </c>
      <c r="G524">
        <v>0.1300408572994969</v>
      </c>
      <c r="H524" t="s">
        <v>516</v>
      </c>
      <c r="I524" t="s">
        <v>316</v>
      </c>
    </row>
    <row r="525" spans="1:9">
      <c r="A525" s="1" t="s">
        <v>532</v>
      </c>
      <c r="B525">
        <f>HYPERLINK("https://www.suredividend.com/sure-analysis-PSX/","Phillips 66")</f>
        <v>0</v>
      </c>
      <c r="C525" t="s">
        <v>613</v>
      </c>
      <c r="D525">
        <v>0.050754264768081</v>
      </c>
      <c r="E525">
        <v>0.03440322345438762</v>
      </c>
      <c r="F525">
        <v>0.05</v>
      </c>
      <c r="G525">
        <v>0.1254632491012548</v>
      </c>
      <c r="H525" t="s">
        <v>516</v>
      </c>
      <c r="I525" t="s">
        <v>316</v>
      </c>
    </row>
    <row r="526" spans="1:9">
      <c r="A526" s="1" t="s">
        <v>533</v>
      </c>
      <c r="B526">
        <f>HYPERLINK("https://www.suredividend.com/sure-analysis-DOW/","Dow, Inc.")</f>
        <v>0</v>
      </c>
      <c r="C526" t="s">
        <v>613</v>
      </c>
      <c r="D526">
        <v>0.08343265792610201</v>
      </c>
      <c r="E526">
        <v>0.03050126912104445</v>
      </c>
      <c r="F526">
        <v>0.03</v>
      </c>
      <c r="G526">
        <v>0.1234855996995856</v>
      </c>
      <c r="H526" t="s">
        <v>516</v>
      </c>
      <c r="I526" t="s">
        <v>316</v>
      </c>
    </row>
    <row r="527" spans="1:9">
      <c r="A527" s="1" t="s">
        <v>534</v>
      </c>
      <c r="B527">
        <f>HYPERLINK("https://www.suredividend.com/sure-analysis-ABR/","Arbor Realty Trust, Inc.")</f>
        <v>0</v>
      </c>
      <c r="C527" t="s">
        <v>614</v>
      </c>
      <c r="D527">
        <v>0.181114551083591</v>
      </c>
      <c r="E527">
        <v>-0.0406317156318311</v>
      </c>
      <c r="F527">
        <v>0.095</v>
      </c>
      <c r="G527">
        <v>0.1217572957769357</v>
      </c>
      <c r="H527" t="s">
        <v>516</v>
      </c>
      <c r="I527" t="s">
        <v>375</v>
      </c>
    </row>
    <row r="528" spans="1:9">
      <c r="A528" s="1" t="s">
        <v>535</v>
      </c>
      <c r="B528">
        <f>HYPERLINK("https://www.suredividend.com/sure-analysis-SLB/","Schlumberger NV")</f>
        <v>0</v>
      </c>
      <c r="C528" t="s">
        <v>613</v>
      </c>
      <c r="D528">
        <v>0.12539184952978</v>
      </c>
      <c r="E528">
        <v>0.04629430548564639</v>
      </c>
      <c r="F528">
        <v>0.05</v>
      </c>
      <c r="G528">
        <v>0.1216605067701364</v>
      </c>
      <c r="H528" t="s">
        <v>516</v>
      </c>
      <c r="I528" t="s">
        <v>316</v>
      </c>
    </row>
    <row r="529" spans="1:9">
      <c r="A529" s="1" t="s">
        <v>536</v>
      </c>
      <c r="B529">
        <f>HYPERLINK("https://www.suredividend.com/sure-analysis-DAL/","Delta Air Lines, Inc.")</f>
        <v>0</v>
      </c>
      <c r="C529" t="s">
        <v>613</v>
      </c>
      <c r="D529">
        <v>0.08116206357477801</v>
      </c>
      <c r="E529">
        <v>0.0543213638863369</v>
      </c>
      <c r="F529">
        <v>0.06</v>
      </c>
      <c r="G529">
        <v>0.120571036214532</v>
      </c>
      <c r="H529" t="s">
        <v>516</v>
      </c>
      <c r="I529" t="s">
        <v>316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613</v>
      </c>
      <c r="D530">
        <v>0.118946873530794</v>
      </c>
      <c r="E530">
        <v>-0.01223757545020054</v>
      </c>
      <c r="F530">
        <v>0.05</v>
      </c>
      <c r="G530">
        <v>0.1199715784618305</v>
      </c>
      <c r="H530" t="s">
        <v>516</v>
      </c>
      <c r="I530" t="s">
        <v>375</v>
      </c>
    </row>
    <row r="531" spans="1:9">
      <c r="A531" s="1" t="s">
        <v>538</v>
      </c>
      <c r="B531">
        <f>HYPERLINK("https://www.suredividend.com/sure-analysis-VGR/","Vector Group Ltd.")</f>
        <v>0</v>
      </c>
      <c r="C531" t="s">
        <v>613</v>
      </c>
      <c r="D531">
        <v>0.125405595687016</v>
      </c>
      <c r="E531">
        <v>0.03662745141568746</v>
      </c>
      <c r="F531">
        <v>0.03</v>
      </c>
      <c r="G531">
        <v>0.1191975162400203</v>
      </c>
      <c r="H531" t="s">
        <v>516</v>
      </c>
      <c r="I531" t="s">
        <v>375</v>
      </c>
    </row>
    <row r="532" spans="1:9">
      <c r="A532" s="1" t="s">
        <v>539</v>
      </c>
      <c r="B532">
        <f>HYPERLINK("https://www.suredividend.com/sure-analysis-ARR/","ARMOUR Residential REIT, Inc.")</f>
        <v>0</v>
      </c>
      <c r="C532" t="s">
        <v>614</v>
      </c>
      <c r="D532">
        <v>0.290858725761772</v>
      </c>
      <c r="E532">
        <v>-0.03634226754333469</v>
      </c>
      <c r="F532">
        <v>0.046</v>
      </c>
      <c r="G532">
        <v>0.1189037970059748</v>
      </c>
      <c r="H532" t="s">
        <v>516</v>
      </c>
      <c r="I532" t="s">
        <v>375</v>
      </c>
    </row>
    <row r="533" spans="1:9">
      <c r="A533" s="1" t="s">
        <v>540</v>
      </c>
      <c r="B533">
        <f>HYPERLINK("https://www.suredividend.com/sure-analysis-MGP/","MGM Growth Properties LLC")</f>
        <v>0</v>
      </c>
      <c r="C533" t="s">
        <v>614</v>
      </c>
      <c r="D533">
        <v>0.082277097902097</v>
      </c>
      <c r="E533">
        <v>0.05568183052118192</v>
      </c>
      <c r="F533">
        <v>0.003</v>
      </c>
      <c r="G533">
        <v>0.1170342527999315</v>
      </c>
      <c r="H533" t="s">
        <v>516</v>
      </c>
      <c r="I533" t="s">
        <v>375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613</v>
      </c>
      <c r="D534">
        <v>0.09257185516983901</v>
      </c>
      <c r="E534">
        <v>0.01597976161335013</v>
      </c>
      <c r="F534">
        <v>0.03</v>
      </c>
      <c r="G534">
        <v>0.1168800941128865</v>
      </c>
      <c r="H534" t="s">
        <v>516</v>
      </c>
      <c r="I534" t="s">
        <v>375</v>
      </c>
    </row>
    <row r="535" spans="1:9">
      <c r="A535" s="1" t="s">
        <v>542</v>
      </c>
      <c r="B535">
        <f>HYPERLINK("https://www.suredividend.com/sure-analysis-CVX/","Chevron Corp.")</f>
        <v>0</v>
      </c>
      <c r="C535" t="s">
        <v>613</v>
      </c>
      <c r="D535">
        <v>0.05450874831763101</v>
      </c>
      <c r="E535">
        <v>-0.04997331070180711</v>
      </c>
      <c r="F535">
        <v>0.13</v>
      </c>
      <c r="G535">
        <v>0.115070711744101</v>
      </c>
      <c r="H535" t="s">
        <v>516</v>
      </c>
      <c r="I535" t="s">
        <v>516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616</v>
      </c>
      <c r="D536">
        <v>0.100485908649173</v>
      </c>
      <c r="E536">
        <v>0.01343398040961041</v>
      </c>
      <c r="F536">
        <v>0.036</v>
      </c>
      <c r="G536">
        <v>0.1147106105915012</v>
      </c>
      <c r="H536" t="s">
        <v>516</v>
      </c>
      <c r="I536" t="s">
        <v>375</v>
      </c>
    </row>
    <row r="537" spans="1:9">
      <c r="A537" s="1" t="s">
        <v>544</v>
      </c>
      <c r="B537">
        <f>HYPERLINK("https://www.suredividend.com/sure-analysis-KIM/","Kimco Realty Corp.")</f>
        <v>0</v>
      </c>
      <c r="C537" t="s">
        <v>614</v>
      </c>
      <c r="D537">
        <v>0.122404371584699</v>
      </c>
      <c r="E537">
        <v>-0.04417066928673652</v>
      </c>
      <c r="F537">
        <v>0.105</v>
      </c>
      <c r="G537">
        <v>0.1130727417789423</v>
      </c>
      <c r="H537" t="s">
        <v>516</v>
      </c>
      <c r="I537" t="s">
        <v>375</v>
      </c>
    </row>
    <row r="538" spans="1:9">
      <c r="A538" s="1" t="s">
        <v>545</v>
      </c>
      <c r="B538">
        <f>HYPERLINK("https://www.suredividend.com/sure-analysis-HTA/","Healthcare Trust of America, Inc.")</f>
        <v>0</v>
      </c>
      <c r="C538" t="s">
        <v>614</v>
      </c>
      <c r="D538">
        <v>0.052117940199335</v>
      </c>
      <c r="E538">
        <v>0.03788277195792022</v>
      </c>
      <c r="F538">
        <v>0.03</v>
      </c>
      <c r="G538">
        <v>0.1080216543484704</v>
      </c>
      <c r="H538" t="s">
        <v>516</v>
      </c>
      <c r="I538" t="s">
        <v>316</v>
      </c>
    </row>
    <row r="539" spans="1:9">
      <c r="A539" s="1" t="s">
        <v>546</v>
      </c>
      <c r="B539">
        <f>HYPERLINK("https://www.suredividend.com/sure-analysis-NRZ/","New Residential Investment Corp.")</f>
        <v>0</v>
      </c>
      <c r="C539" t="s">
        <v>614</v>
      </c>
      <c r="D539">
        <v>0.262267343485617</v>
      </c>
      <c r="E539">
        <v>0.04027701568479003</v>
      </c>
      <c r="F539">
        <v>0.04</v>
      </c>
      <c r="G539">
        <v>0.1055326809228119</v>
      </c>
      <c r="H539" t="s">
        <v>516</v>
      </c>
      <c r="I539" t="s">
        <v>375</v>
      </c>
    </row>
    <row r="540" spans="1:9">
      <c r="A540" s="1" t="s">
        <v>547</v>
      </c>
      <c r="B540">
        <f>HYPERLINK("https://www.suredividend.com/sure-analysis-VLO/","Valero Energy Corp.")</f>
        <v>0</v>
      </c>
      <c r="C540" t="s">
        <v>613</v>
      </c>
      <c r="D540">
        <v>0.06260632868322501</v>
      </c>
      <c r="E540">
        <v>0.01072363520515696</v>
      </c>
      <c r="F540">
        <v>0.04</v>
      </c>
      <c r="G540">
        <v>0.1050437174998649</v>
      </c>
      <c r="H540" t="s">
        <v>516</v>
      </c>
      <c r="I540" t="s">
        <v>316</v>
      </c>
    </row>
    <row r="541" spans="1:9">
      <c r="A541" s="1" t="s">
        <v>548</v>
      </c>
      <c r="B541">
        <f>HYPERLINK("https://www.suredividend.com/sure-analysis-SIX/","Six Flags Entertainment Corp.")</f>
        <v>0</v>
      </c>
      <c r="C541" t="s">
        <v>613</v>
      </c>
      <c r="D541">
        <v>0.14233385661957</v>
      </c>
      <c r="E541">
        <v>0.07157017013823097</v>
      </c>
      <c r="F541">
        <v>0.03</v>
      </c>
      <c r="G541">
        <v>0.1037172752423781</v>
      </c>
      <c r="H541" t="s">
        <v>516</v>
      </c>
      <c r="I541" t="s">
        <v>316</v>
      </c>
    </row>
    <row r="542" spans="1:9">
      <c r="A542" s="1" t="s">
        <v>549</v>
      </c>
      <c r="B542">
        <f>HYPERLINK("https://www.suredividend.com/sure-analysis-PTR/","PetroChina Co., Ltd.")</f>
        <v>0</v>
      </c>
      <c r="C542" t="s">
        <v>613</v>
      </c>
      <c r="D542">
        <v>0.071103593179049</v>
      </c>
      <c r="E542">
        <v>-0.2882137071182015</v>
      </c>
      <c r="F542">
        <v>0.5</v>
      </c>
      <c r="G542">
        <v>0.1026705997912742</v>
      </c>
      <c r="H542" t="s">
        <v>516</v>
      </c>
      <c r="I542" t="s">
        <v>316</v>
      </c>
    </row>
    <row r="543" spans="1:9">
      <c r="A543" s="1" t="s">
        <v>550</v>
      </c>
      <c r="B543">
        <f>HYPERLINK("https://www.suredividend.com/sure-analysis-BCE/","BCE, Inc.")</f>
        <v>0</v>
      </c>
      <c r="C543" t="s">
        <v>613</v>
      </c>
      <c r="D543">
        <v>0.06199856700354101</v>
      </c>
      <c r="E543">
        <v>0.01057104605809434</v>
      </c>
      <c r="F543">
        <v>0.035</v>
      </c>
      <c r="G543">
        <v>0.09973273706687591</v>
      </c>
      <c r="H543" t="s">
        <v>516</v>
      </c>
      <c r="I543" t="s">
        <v>316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0.113057175748273</v>
      </c>
      <c r="E544">
        <v>-0.0422570216161714</v>
      </c>
      <c r="F544">
        <v>0.05</v>
      </c>
      <c r="G544">
        <v>0.09958921674300747</v>
      </c>
      <c r="H544" t="s">
        <v>516</v>
      </c>
      <c r="I544" t="s">
        <v>375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613</v>
      </c>
      <c r="D545">
        <v>0.078476630121177</v>
      </c>
      <c r="E545">
        <v>-0.02846480226754999</v>
      </c>
      <c r="F545">
        <v>0.07000000000000001</v>
      </c>
      <c r="G545">
        <v>0.09943296510013844</v>
      </c>
      <c r="H545" t="s">
        <v>516</v>
      </c>
      <c r="I545" t="s">
        <v>316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613</v>
      </c>
      <c r="D546">
        <v>0.085684430512016</v>
      </c>
      <c r="E546">
        <v>-0.0122066130520283</v>
      </c>
      <c r="F546">
        <v>0.02</v>
      </c>
      <c r="G546">
        <v>0.09906981020320749</v>
      </c>
      <c r="H546" t="s">
        <v>516</v>
      </c>
      <c r="I546" t="s">
        <v>375</v>
      </c>
    </row>
    <row r="547" spans="1:9">
      <c r="A547" s="1" t="s">
        <v>554</v>
      </c>
      <c r="B547">
        <f>HYPERLINK("https://www.suredividend.com/sure-analysis-ABB/","ABB Ltd.")</f>
        <v>0</v>
      </c>
      <c r="C547" t="s">
        <v>613</v>
      </c>
      <c r="D547">
        <v>0.03584133635334</v>
      </c>
      <c r="E547">
        <v>0.01473486010510228</v>
      </c>
      <c r="F547">
        <v>0.05</v>
      </c>
      <c r="G547">
        <v>0.09826910395367472</v>
      </c>
      <c r="H547" t="s">
        <v>516</v>
      </c>
      <c r="I547" t="s">
        <v>516</v>
      </c>
    </row>
    <row r="548" spans="1:9">
      <c r="A548" s="1" t="s">
        <v>555</v>
      </c>
      <c r="B548">
        <f>HYPERLINK("https://www.suredividend.com/sure-analysis-GOOD/","Gladstone Commercial Corp.")</f>
        <v>0</v>
      </c>
      <c r="C548" t="s">
        <v>614</v>
      </c>
      <c r="D548">
        <v>0.101873727087576</v>
      </c>
      <c r="E548">
        <v>0.0166780497389265</v>
      </c>
      <c r="F548">
        <v>0</v>
      </c>
      <c r="G548">
        <v>0.09792588206414998</v>
      </c>
      <c r="H548" t="s">
        <v>516</v>
      </c>
      <c r="I548" t="s">
        <v>375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613</v>
      </c>
      <c r="D549">
        <v>0.160055698234349</v>
      </c>
      <c r="E549">
        <v>-0.02819049461784451</v>
      </c>
      <c r="F549">
        <v>0</v>
      </c>
      <c r="G549">
        <v>0.09705759793396762</v>
      </c>
      <c r="H549" t="s">
        <v>516</v>
      </c>
      <c r="I549" t="s">
        <v>375</v>
      </c>
    </row>
    <row r="550" spans="1:9">
      <c r="A550" s="1" t="s">
        <v>557</v>
      </c>
      <c r="B550">
        <f>HYPERLINK("https://www.suredividend.com/sure-analysis-AQN/","Algonquin Power &amp; Utilities Corp.")</f>
        <v>0</v>
      </c>
      <c r="C550" t="s">
        <v>613</v>
      </c>
      <c r="D550">
        <v>0.04263553561585701</v>
      </c>
      <c r="E550">
        <v>-0.02050857541273543</v>
      </c>
      <c r="F550">
        <v>0.075</v>
      </c>
      <c r="G550">
        <v>0.09330311412380676</v>
      </c>
      <c r="H550" t="s">
        <v>516</v>
      </c>
      <c r="I550" t="s">
        <v>516</v>
      </c>
    </row>
    <row r="551" spans="1:9">
      <c r="A551" s="1" t="s">
        <v>558</v>
      </c>
      <c r="B551">
        <f>HYPERLINK("https://www.suredividend.com/sure-analysis-HOG/","Harley-Davidson, Inc.")</f>
        <v>0</v>
      </c>
      <c r="C551" t="s">
        <v>613</v>
      </c>
      <c r="D551">
        <v>0.076551373346897</v>
      </c>
      <c r="E551">
        <v>-0.08513417165967829</v>
      </c>
      <c r="F551">
        <v>0.147</v>
      </c>
      <c r="G551">
        <v>0.09251316186936132</v>
      </c>
      <c r="H551" t="s">
        <v>516</v>
      </c>
      <c r="I551" t="s">
        <v>316</v>
      </c>
    </row>
    <row r="552" spans="1:9">
      <c r="A552" s="1" t="s">
        <v>559</v>
      </c>
      <c r="B552">
        <f>HYPERLINK("https://www.suredividend.com/sure-analysis-AAL/","American Airlines Group, Inc.")</f>
        <v>0</v>
      </c>
      <c r="C552" t="s">
        <v>613</v>
      </c>
      <c r="D552">
        <v>0.044247787610619</v>
      </c>
      <c r="E552">
        <v>0.09142003312797908</v>
      </c>
      <c r="F552">
        <v>0</v>
      </c>
      <c r="G552">
        <v>0.09142003312797908</v>
      </c>
      <c r="H552" t="s">
        <v>516</v>
      </c>
      <c r="I552" t="s">
        <v>516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613</v>
      </c>
      <c r="D553">
        <v>0.148207171314741</v>
      </c>
      <c r="E553">
        <v>0.007070617988807371</v>
      </c>
      <c r="F553">
        <v>0.05</v>
      </c>
      <c r="G553">
        <v>0.0899452351454697</v>
      </c>
      <c r="H553" t="s">
        <v>516</v>
      </c>
      <c r="I553" t="s">
        <v>375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613</v>
      </c>
      <c r="D554">
        <v>0.05633084117128501</v>
      </c>
      <c r="E554">
        <v>-0.01519990549743733</v>
      </c>
      <c r="F554">
        <v>0.06</v>
      </c>
      <c r="G554">
        <v>0.08905289808186168</v>
      </c>
      <c r="H554" t="s">
        <v>516</v>
      </c>
      <c r="I554" t="s">
        <v>316</v>
      </c>
    </row>
    <row r="555" spans="1:9">
      <c r="A555" s="1" t="s">
        <v>562</v>
      </c>
      <c r="B555">
        <f>HYPERLINK("https://www.suredividend.com/sure-analysis-COP/","ConocoPhillips")</f>
        <v>0</v>
      </c>
      <c r="C555" t="s">
        <v>613</v>
      </c>
      <c r="D555">
        <v>0.035478345975042</v>
      </c>
      <c r="E555">
        <v>-0.03053377962043347</v>
      </c>
      <c r="F555">
        <v>0.09</v>
      </c>
      <c r="G555">
        <v>0.08904486035054249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HYPERLINK("https://www.suredividend.com/sure-analysis-QSR/","Restaurant Brands International, Inc.")</f>
        <v>0</v>
      </c>
      <c r="C556" t="s">
        <v>613</v>
      </c>
      <c r="D556">
        <v>0.03969801824972</v>
      </c>
      <c r="E556">
        <v>-0.06881904347044665</v>
      </c>
      <c r="F556">
        <v>0.13</v>
      </c>
      <c r="G556">
        <v>0.08694607916156794</v>
      </c>
      <c r="H556" t="s">
        <v>516</v>
      </c>
      <c r="I556" t="s">
        <v>516</v>
      </c>
    </row>
    <row r="557" spans="1:9">
      <c r="A557" s="1" t="s">
        <v>564</v>
      </c>
      <c r="B557">
        <f>HYPERLINK("https://www.suredividend.com/sure-analysis-FCX/","Freeport-McMoRan, Inc.")</f>
        <v>0</v>
      </c>
      <c r="C557" t="s">
        <v>613</v>
      </c>
      <c r="D557">
        <v>0.017688679245283</v>
      </c>
      <c r="E557">
        <v>-0.01158613932954511</v>
      </c>
      <c r="F557">
        <v>0.08500000000000001</v>
      </c>
      <c r="G557">
        <v>0.08325370437132928</v>
      </c>
      <c r="H557" t="s">
        <v>516</v>
      </c>
      <c r="I557" t="s">
        <v>516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0.119581464872944</v>
      </c>
      <c r="E558">
        <v>-0.0384158097079037</v>
      </c>
      <c r="F558">
        <v>0.01</v>
      </c>
      <c r="G558">
        <v>0.08001648969361264</v>
      </c>
      <c r="H558" t="s">
        <v>516</v>
      </c>
      <c r="I558" t="s">
        <v>375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0.102373887240356</v>
      </c>
      <c r="E559">
        <v>-0.08810295852258077</v>
      </c>
      <c r="F559">
        <v>0.129</v>
      </c>
      <c r="G559">
        <v>0.07955825670254035</v>
      </c>
      <c r="H559" t="s">
        <v>516</v>
      </c>
      <c r="I559" t="s">
        <v>375</v>
      </c>
    </row>
    <row r="560" spans="1:9">
      <c r="A560" s="1" t="s">
        <v>567</v>
      </c>
      <c r="B560">
        <f>HYPERLINK("https://www.suredividend.com/sure-analysis-IP/","International Paper Co.")</f>
        <v>0</v>
      </c>
      <c r="C560" t="s">
        <v>613</v>
      </c>
      <c r="D560">
        <v>0.06521739130434701</v>
      </c>
      <c r="E560">
        <v>-0.07523467293853481</v>
      </c>
      <c r="F560">
        <v>0.1</v>
      </c>
      <c r="G560">
        <v>0.07423938459904855</v>
      </c>
      <c r="H560" t="s">
        <v>516</v>
      </c>
      <c r="I560" t="s">
        <v>316</v>
      </c>
    </row>
    <row r="561" spans="1:9">
      <c r="A561" s="1" t="s">
        <v>568</v>
      </c>
      <c r="B561">
        <f>HYPERLINK("https://www.suredividend.com/sure-analysis-PRT/","PermRock Royalty Trust")</f>
        <v>0</v>
      </c>
      <c r="C561" t="s">
        <v>613</v>
      </c>
      <c r="D561">
        <v>0.344482052631579</v>
      </c>
      <c r="E561">
        <v>0.01531324576182613</v>
      </c>
      <c r="F561">
        <v>-0.1</v>
      </c>
      <c r="G561">
        <v>0.07393960474264905</v>
      </c>
      <c r="H561" t="s">
        <v>516</v>
      </c>
      <c r="I561" t="s">
        <v>618</v>
      </c>
    </row>
    <row r="562" spans="1:9">
      <c r="A562" s="1" t="s">
        <v>569</v>
      </c>
      <c r="B562">
        <f>HYPERLINK("https://www.suredividend.com/sure-analysis-HA/","Hawaiian Holdings, Inc.")</f>
        <v>0</v>
      </c>
      <c r="C562" t="s">
        <v>613</v>
      </c>
      <c r="D562">
        <v>0.043010752688172</v>
      </c>
      <c r="E562">
        <v>0.06092678206548197</v>
      </c>
      <c r="F562">
        <v>0</v>
      </c>
      <c r="G562">
        <v>0.07336291434221742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613</v>
      </c>
      <c r="D563">
        <v>0.161823361823361</v>
      </c>
      <c r="E563">
        <v>-0.1250301711341005</v>
      </c>
      <c r="F563">
        <v>0.17</v>
      </c>
      <c r="G563">
        <v>0.0710174255938798</v>
      </c>
      <c r="H563" t="s">
        <v>516</v>
      </c>
      <c r="I563" t="s">
        <v>375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0.07919966652771901</v>
      </c>
      <c r="E564">
        <v>-0.01716981417453567</v>
      </c>
      <c r="F564">
        <v>0.02</v>
      </c>
      <c r="G564">
        <v>0.06917710282656953</v>
      </c>
      <c r="H564" t="s">
        <v>516</v>
      </c>
      <c r="I564" t="s">
        <v>375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614</v>
      </c>
      <c r="D565">
        <v>0.153722978382706</v>
      </c>
      <c r="E565">
        <v>-0.08524348824543948</v>
      </c>
      <c r="F565">
        <v>0.08500000000000001</v>
      </c>
      <c r="G565">
        <v>0.0684920763086867</v>
      </c>
      <c r="H565" t="s">
        <v>516</v>
      </c>
      <c r="I565" t="s">
        <v>375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613</v>
      </c>
      <c r="D566">
        <v>0.072743790849673</v>
      </c>
      <c r="E566">
        <v>-0.03961865288340116</v>
      </c>
      <c r="F566">
        <v>0.06</v>
      </c>
      <c r="G566">
        <v>0.06739501111480251</v>
      </c>
      <c r="H566" t="s">
        <v>516</v>
      </c>
      <c r="I566" t="s">
        <v>316</v>
      </c>
    </row>
    <row r="567" spans="1:9">
      <c r="A567" s="1" t="s">
        <v>574</v>
      </c>
      <c r="B567">
        <f>HYPERLINK("https://www.suredividend.com/sure-analysis-APTV/","Aptiv Plc")</f>
        <v>0</v>
      </c>
      <c r="C567" t="s">
        <v>613</v>
      </c>
      <c r="D567">
        <v>0.013734977368503</v>
      </c>
      <c r="E567">
        <v>-0.003362635486991228</v>
      </c>
      <c r="F567">
        <v>0.07000000000000001</v>
      </c>
      <c r="G567">
        <v>0.06640198002891951</v>
      </c>
      <c r="H567" t="s">
        <v>516</v>
      </c>
      <c r="I567" t="s">
        <v>516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614</v>
      </c>
      <c r="D568">
        <v>0.116596144804889</v>
      </c>
      <c r="E568">
        <v>-0.08024510224658321</v>
      </c>
      <c r="F568">
        <v>0.082</v>
      </c>
      <c r="G568">
        <v>0.06048714670619937</v>
      </c>
      <c r="H568" t="s">
        <v>516</v>
      </c>
      <c r="I568" t="s">
        <v>375</v>
      </c>
    </row>
    <row r="569" spans="1:9">
      <c r="A569" s="1" t="s">
        <v>576</v>
      </c>
      <c r="B569">
        <f>HYPERLINK("https://www.suredividend.com/sure-analysis-AGNC/","AGNC Investment Corp.")</f>
        <v>0</v>
      </c>
      <c r="C569" t="s">
        <v>614</v>
      </c>
      <c r="D569">
        <v>0.155948553054662</v>
      </c>
      <c r="E569">
        <v>-0.1356966943858927</v>
      </c>
      <c r="F569">
        <v>0.118</v>
      </c>
      <c r="G569">
        <v>0.06013243588475392</v>
      </c>
      <c r="H569" t="s">
        <v>516</v>
      </c>
      <c r="I569" t="s">
        <v>375</v>
      </c>
    </row>
    <row r="570" spans="1:9">
      <c r="A570" s="1" t="s">
        <v>577</v>
      </c>
      <c r="B570">
        <f>HYPERLINK("https://www.suredividend.com/sure-analysis-BBBY/","Bed Bath &amp; Beyond, Inc.")</f>
        <v>0</v>
      </c>
      <c r="C570" t="s">
        <v>613</v>
      </c>
      <c r="D570">
        <v>0.117443868739205</v>
      </c>
      <c r="E570">
        <v>0.03868508462692688</v>
      </c>
      <c r="F570">
        <v>0.02</v>
      </c>
      <c r="G570">
        <v>0.05945878631946555</v>
      </c>
      <c r="H570" t="s">
        <v>516</v>
      </c>
      <c r="I570" t="s">
        <v>316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0.077868989942018</v>
      </c>
      <c r="E571">
        <v>-0.06150404028651357</v>
      </c>
      <c r="F571">
        <v>0.05</v>
      </c>
      <c r="G571">
        <v>0.05931536686454897</v>
      </c>
      <c r="H571" t="s">
        <v>516</v>
      </c>
      <c r="I571" t="s">
        <v>316</v>
      </c>
    </row>
    <row r="572" spans="1:9">
      <c r="A572" s="1" t="s">
        <v>579</v>
      </c>
      <c r="B572">
        <f>HYPERLINK("https://www.suredividend.com/sure-analysis-VET/","Vermilion Energy, Inc.")</f>
        <v>0</v>
      </c>
      <c r="C572" t="s">
        <v>613</v>
      </c>
      <c r="D572">
        <v>0.451914494360922</v>
      </c>
      <c r="E572">
        <v>-0.1033612562610045</v>
      </c>
      <c r="F572">
        <v>0.05</v>
      </c>
      <c r="G572">
        <v>0.05697008769888234</v>
      </c>
      <c r="H572" t="s">
        <v>516</v>
      </c>
      <c r="I572" t="s">
        <v>375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614</v>
      </c>
      <c r="D573">
        <v>0.123671497584541</v>
      </c>
      <c r="E573">
        <v>0.01225625034648092</v>
      </c>
      <c r="F573">
        <v>-0.038</v>
      </c>
      <c r="G573">
        <v>0.05489188829582536</v>
      </c>
      <c r="H573" t="s">
        <v>516</v>
      </c>
      <c r="I573" t="s">
        <v>375</v>
      </c>
    </row>
    <row r="574" spans="1:9">
      <c r="A574" s="1" t="s">
        <v>581</v>
      </c>
      <c r="B574">
        <f>HYPERLINK("https://www.suredividend.com/sure-analysis-EQM/","EQM Midstream Partners LP")</f>
        <v>0</v>
      </c>
      <c r="C574" t="s">
        <v>615</v>
      </c>
      <c r="D574">
        <v>0.207039614561027</v>
      </c>
      <c r="E574">
        <v>-0.03049819460778258</v>
      </c>
      <c r="F574">
        <v>0</v>
      </c>
      <c r="G574">
        <v>0.04519135716182787</v>
      </c>
      <c r="H574" t="s">
        <v>516</v>
      </c>
      <c r="I574" t="s">
        <v>618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613</v>
      </c>
      <c r="D575">
        <v>0.048929663608562</v>
      </c>
      <c r="E575">
        <v>0.1774345989350237</v>
      </c>
      <c r="F575">
        <v>-0.14</v>
      </c>
      <c r="G575">
        <v>0.03689276069419378</v>
      </c>
      <c r="H575" t="s">
        <v>516</v>
      </c>
      <c r="I575" t="s">
        <v>516</v>
      </c>
    </row>
    <row r="576" spans="1:9">
      <c r="A576" s="1" t="s">
        <v>583</v>
      </c>
      <c r="B576">
        <f>HYPERLINK("https://www.suredividend.com/sure-analysis-LAND/","Gladstone Land Corp.")</f>
        <v>0</v>
      </c>
      <c r="C576" t="s">
        <v>614</v>
      </c>
      <c r="D576">
        <v>0.041161538461538</v>
      </c>
      <c r="E576">
        <v>-0.03285883999939365</v>
      </c>
      <c r="F576">
        <v>0.03</v>
      </c>
      <c r="G576">
        <v>0.03635648042022188</v>
      </c>
      <c r="H576" t="s">
        <v>516</v>
      </c>
      <c r="I576" t="s">
        <v>516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614</v>
      </c>
      <c r="D577">
        <v>0.065649912448022</v>
      </c>
      <c r="E577">
        <v>-0.0827328174886276</v>
      </c>
      <c r="F577">
        <v>0.049</v>
      </c>
      <c r="G577">
        <v>0.03179859665395912</v>
      </c>
      <c r="H577" t="s">
        <v>516</v>
      </c>
      <c r="I577" t="s">
        <v>316</v>
      </c>
    </row>
    <row r="578" spans="1:9">
      <c r="A578" s="1" t="s">
        <v>585</v>
      </c>
      <c r="B578">
        <f>HYPERLINK("https://www.suredividend.com/sure-analysis-BX/","The Blackstone Group, Inc.")</f>
        <v>0</v>
      </c>
      <c r="C578" t="s">
        <v>613</v>
      </c>
      <c r="D578">
        <v>0.038182886234579</v>
      </c>
      <c r="E578">
        <v>-0.09501961290464089</v>
      </c>
      <c r="F578">
        <v>0.09</v>
      </c>
      <c r="G578">
        <v>0.02988596841234847</v>
      </c>
      <c r="H578" t="s">
        <v>516</v>
      </c>
      <c r="I578" t="s">
        <v>516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613</v>
      </c>
      <c r="D579">
        <v>0.07471764117941</v>
      </c>
      <c r="E579">
        <v>-0.06894317197241295</v>
      </c>
      <c r="F579">
        <v>0.02</v>
      </c>
      <c r="G579">
        <v>0.02651361660699703</v>
      </c>
      <c r="H579" t="s">
        <v>516</v>
      </c>
      <c r="I579" t="s">
        <v>316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0.03898916967509</v>
      </c>
      <c r="E580">
        <v>-0.02826847018696077</v>
      </c>
      <c r="F580">
        <v>0.05</v>
      </c>
      <c r="G580">
        <v>0.02497091018882958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614</v>
      </c>
      <c r="D581">
        <v>0.165090283748925</v>
      </c>
      <c r="E581">
        <v>-0.172959914332258</v>
      </c>
      <c r="F581">
        <v>0.148</v>
      </c>
      <c r="G581">
        <v>0.01991622185774</v>
      </c>
      <c r="H581" t="s">
        <v>516</v>
      </c>
      <c r="I581" t="s">
        <v>375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613</v>
      </c>
      <c r="D582">
        <v>0.05775374784959401</v>
      </c>
      <c r="E582">
        <v>-0.1157257100568043</v>
      </c>
      <c r="F582">
        <v>0.1</v>
      </c>
      <c r="G582">
        <v>0.01730493440449243</v>
      </c>
      <c r="H582" t="s">
        <v>516</v>
      </c>
      <c r="I582" t="s">
        <v>316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613</v>
      </c>
      <c r="D583">
        <v>0.063679293957909</v>
      </c>
      <c r="E583">
        <v>-0.09383360478765357</v>
      </c>
      <c r="F583">
        <v>0.02</v>
      </c>
      <c r="G583">
        <v>9.13238316304632e-05</v>
      </c>
      <c r="H583" t="s">
        <v>516</v>
      </c>
      <c r="I583" t="s">
        <v>316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613</v>
      </c>
      <c r="D584">
        <v>0.073044297832233</v>
      </c>
      <c r="E584">
        <v>-0.1772480477291859</v>
      </c>
      <c r="F584">
        <v>0.2</v>
      </c>
      <c r="G584">
        <v>-0.002971804992500382</v>
      </c>
      <c r="H584" t="s">
        <v>516</v>
      </c>
      <c r="I584" t="s">
        <v>316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0.071813285457809</v>
      </c>
      <c r="E585">
        <v>-0.1164050768135169</v>
      </c>
      <c r="F585">
        <v>0.02</v>
      </c>
      <c r="G585">
        <v>-0.03003403750533307</v>
      </c>
      <c r="H585" t="s">
        <v>516</v>
      </c>
      <c r="I585" t="s">
        <v>316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614</v>
      </c>
      <c r="D586">
        <v>0.172117039586919</v>
      </c>
      <c r="E586">
        <v>-0.23724857912187</v>
      </c>
      <c r="F586">
        <v>0.149</v>
      </c>
      <c r="G586">
        <v>-0.04811239495358943</v>
      </c>
      <c r="H586" t="s">
        <v>516</v>
      </c>
      <c r="I586" t="s">
        <v>375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0.048699899439735</v>
      </c>
      <c r="E587">
        <v>-0.08766106642167981</v>
      </c>
      <c r="F587">
        <v>0.04</v>
      </c>
      <c r="G587">
        <v>-0.05116750907854706</v>
      </c>
      <c r="H587" t="s">
        <v>516</v>
      </c>
      <c r="I587" t="s">
        <v>516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0.051480051480051</v>
      </c>
      <c r="E588">
        <v>-0.1625752507107816</v>
      </c>
      <c r="F588">
        <v>0.04</v>
      </c>
      <c r="G588">
        <v>-0.1061064161814267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0.117647058823529</v>
      </c>
      <c r="E589">
        <v>-0.3239910215796484</v>
      </c>
      <c r="F589">
        <v>-0.03</v>
      </c>
      <c r="G589">
        <v>-0.3320117005898389</v>
      </c>
      <c r="H589" t="s">
        <v>516</v>
      </c>
      <c r="I589" t="s">
        <v>316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0.2398965968423794</v>
      </c>
      <c r="F590">
        <v>0.08</v>
      </c>
      <c r="G590">
        <v>0.33908832458977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0.1810658941179792</v>
      </c>
      <c r="F591">
        <v>0.02</v>
      </c>
      <c r="G591">
        <v>0.2232488385864766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613</v>
      </c>
      <c r="E592">
        <v>0.1608924621423444</v>
      </c>
      <c r="F592">
        <v>0.05</v>
      </c>
      <c r="G592">
        <v>0.2189370852494616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0.089547270306258</v>
      </c>
      <c r="E593">
        <v>0.128580526304126</v>
      </c>
      <c r="F593">
        <v>0.03</v>
      </c>
      <c r="G593">
        <v>0.2121935480488943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0.07501746322659963</v>
      </c>
      <c r="F594">
        <v>0.05</v>
      </c>
      <c r="G594">
        <v>0.1287683363879295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-0.2255491776484571</v>
      </c>
      <c r="F595">
        <v>0.38</v>
      </c>
      <c r="G595">
        <v>0.100512931251949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-0.0830933785994874</v>
      </c>
      <c r="F596">
        <v>0.2</v>
      </c>
      <c r="G596">
        <v>0.1002879456806152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0.05721772088359112</v>
      </c>
      <c r="F597">
        <v>0.04</v>
      </c>
      <c r="G597">
        <v>0.09950642971893475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HYPERLINK("https://www.suredividend.com/sure-analysis-CARR/","Carrier Global Corp.")</f>
        <v>0</v>
      </c>
      <c r="C598" t="s">
        <v>613</v>
      </c>
      <c r="E598">
        <v>0.003447128017048495</v>
      </c>
      <c r="F598">
        <v>0.05</v>
      </c>
      <c r="G598">
        <v>0.08332330801532062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-0.01252534081794965</v>
      </c>
      <c r="F599">
        <v>0.09</v>
      </c>
      <c r="G599">
        <v>0.07634737850843498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0.245524296675191</v>
      </c>
      <c r="E600">
        <v>-0.02756533520359794</v>
      </c>
      <c r="F600">
        <v>0.015</v>
      </c>
      <c r="G600">
        <v>0.07322559959129937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HYPERLINK("https://www.suredividend.com/sure-analysis-NFLX/","Netflix, Inc.")</f>
        <v>0</v>
      </c>
      <c r="C601" t="s">
        <v>613</v>
      </c>
      <c r="E601">
        <v>-0.07057447130181638</v>
      </c>
      <c r="F601">
        <v>0.15</v>
      </c>
      <c r="G601">
        <v>0.06883935800291097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-0.06334228961394728</v>
      </c>
      <c r="F602">
        <v>0.12</v>
      </c>
      <c r="G602">
        <v>0.04905663563237916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-0.0619799301897781</v>
      </c>
      <c r="F603">
        <v>0.11</v>
      </c>
      <c r="G603">
        <v>0.04120227748934635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-0.08127403997643001</v>
      </c>
      <c r="F604">
        <v>0.07000000000000001</v>
      </c>
      <c r="G604">
        <v>0.003689875862056491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-0.1779534397475525</v>
      </c>
      <c r="F605">
        <v>0.18</v>
      </c>
      <c r="G605">
        <v>-0.02998505890211189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13.98</v>
      </c>
      <c r="D2">
        <v>2843.8116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0.08154506437768201</v>
      </c>
      <c r="M2">
        <v>0.1801264965508222</v>
      </c>
      <c r="N2">
        <v>0.03</v>
      </c>
      <c r="O2">
        <v>0.2538590633975351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0.436875</v>
      </c>
      <c r="V2">
        <v>4.7257</v>
      </c>
      <c r="W2">
        <v>4.62</v>
      </c>
      <c r="X2">
        <v>1.14</v>
      </c>
      <c r="Y2">
        <v>-0.5986</v>
      </c>
      <c r="Z2">
        <v>0.7847457627118644</v>
      </c>
      <c r="AA2">
        <v>0.08623548922056384</v>
      </c>
      <c r="AB2">
        <v>0.2144039735099338</v>
      </c>
      <c r="AC2">
        <v>0.9701986754966887</v>
      </c>
      <c r="AD2">
        <v>0.9437086092715232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121.98</v>
      </c>
      <c r="D3">
        <v>14922.66726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43957</v>
      </c>
      <c r="L3">
        <v>0.031808493195605</v>
      </c>
      <c r="M3">
        <v>0.0723868869297859</v>
      </c>
      <c r="N3">
        <v>0.08</v>
      </c>
      <c r="O3">
        <v>0.1812523408908406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0.7050867052023122</v>
      </c>
      <c r="V3">
        <v>27.3987</v>
      </c>
      <c r="W3">
        <v>15.01</v>
      </c>
      <c r="X3">
        <v>3.88</v>
      </c>
      <c r="Y3">
        <v>-0.1425</v>
      </c>
      <c r="Z3">
        <v>0.3745762711864407</v>
      </c>
      <c r="AA3">
        <v>0.6185737976782754</v>
      </c>
      <c r="AB3">
        <v>0.8038079470198676</v>
      </c>
      <c r="AC3">
        <v>0.7682119205298014</v>
      </c>
      <c r="AD3">
        <v>0.8460264900662251</v>
      </c>
    </row>
    <row r="4" spans="1:30">
      <c r="A4" s="1" t="s">
        <v>11</v>
      </c>
      <c r="B4">
        <f>HYPERLINK("https://www.suredividend.com/sure-analysis-TNC/","Tennant Co.")</f>
        <v>0</v>
      </c>
      <c r="C4">
        <v>51.92</v>
      </c>
      <c r="D4">
        <v>957.5346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1278</v>
      </c>
      <c r="K4">
        <v>43884</v>
      </c>
      <c r="L4">
        <v>0.016949152542372</v>
      </c>
      <c r="M4">
        <v>0.07052702479558115</v>
      </c>
      <c r="N4">
        <v>0.08</v>
      </c>
      <c r="O4">
        <v>0.1669539681895138</v>
      </c>
      <c r="P4" t="s">
        <v>617</v>
      </c>
      <c r="Q4" t="s">
        <v>618</v>
      </c>
      <c r="R4">
        <v>47</v>
      </c>
      <c r="S4">
        <v>0.2156862745098039</v>
      </c>
      <c r="T4">
        <v>73</v>
      </c>
      <c r="U4">
        <v>0.7112328767123288</v>
      </c>
      <c r="V4">
        <v>2.5064</v>
      </c>
      <c r="W4">
        <v>4.08</v>
      </c>
      <c r="X4">
        <v>0.88</v>
      </c>
      <c r="Y4">
        <v>-0.1949</v>
      </c>
      <c r="Z4">
        <v>0.1440677966101695</v>
      </c>
      <c r="AA4">
        <v>0.5323383084577115</v>
      </c>
      <c r="AB4">
        <v>0.8038079470198676</v>
      </c>
      <c r="AC4">
        <v>0.7533112582781457</v>
      </c>
      <c r="AD4">
        <v>0.8029801324503312</v>
      </c>
    </row>
    <row r="5" spans="1:30">
      <c r="A5" s="1" t="s">
        <v>12</v>
      </c>
      <c r="B5">
        <f>HYPERLINK("https://www.suredividend.com/sure-analysis-CTBI/","Community Trust Bancorp, Inc. (Kentucky)")</f>
        <v>0</v>
      </c>
      <c r="C5">
        <v>28.82</v>
      </c>
      <c r="D5">
        <v>512.840372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1277</v>
      </c>
      <c r="K5">
        <v>43854</v>
      </c>
      <c r="L5">
        <v>0.052047189451769</v>
      </c>
      <c r="M5">
        <v>0.08830779546585799</v>
      </c>
      <c r="N5">
        <v>0.04</v>
      </c>
      <c r="O5">
        <v>0.1662063183186513</v>
      </c>
      <c r="P5" t="s">
        <v>617</v>
      </c>
      <c r="Q5" t="s">
        <v>617</v>
      </c>
      <c r="R5">
        <v>39</v>
      </c>
      <c r="S5">
        <v>0.4109589041095891</v>
      </c>
      <c r="T5">
        <v>44</v>
      </c>
      <c r="U5">
        <v>0.655</v>
      </c>
      <c r="V5">
        <v>3.1686</v>
      </c>
      <c r="W5">
        <v>3.65</v>
      </c>
      <c r="X5">
        <v>1.5</v>
      </c>
      <c r="Y5">
        <v>-0.3017</v>
      </c>
      <c r="Z5">
        <v>0.5966101694915253</v>
      </c>
      <c r="AA5">
        <v>0.3797678275290216</v>
      </c>
      <c r="AB5">
        <v>0.3493377483443709</v>
      </c>
      <c r="AC5">
        <v>0.8245033112582781</v>
      </c>
      <c r="AD5">
        <v>0.7980132450331127</v>
      </c>
    </row>
    <row r="6" spans="1:30">
      <c r="A6" s="1" t="s">
        <v>13</v>
      </c>
      <c r="B6">
        <f>HYPERLINK("https://www.suredividend.com/sure-analysis-WEYS/","Weyco Group, Inc.")</f>
        <v>0</v>
      </c>
      <c r="C6">
        <v>18.14</v>
      </c>
      <c r="D6">
        <v>178.014532</v>
      </c>
      <c r="E6" t="s">
        <v>645</v>
      </c>
      <c r="F6" t="s">
        <v>613</v>
      </c>
      <c r="G6" t="s">
        <v>653</v>
      </c>
      <c r="H6" t="s">
        <v>683</v>
      </c>
      <c r="I6" t="s">
        <v>691</v>
      </c>
      <c r="J6" t="s">
        <v>1279</v>
      </c>
      <c r="K6">
        <v>43909</v>
      </c>
      <c r="L6">
        <v>0.05292171995589801</v>
      </c>
      <c r="M6">
        <v>0.1202179802828913</v>
      </c>
      <c r="N6">
        <v>0.01</v>
      </c>
      <c r="O6">
        <v>0.1657011383333271</v>
      </c>
      <c r="P6" t="s">
        <v>617</v>
      </c>
      <c r="Q6" t="s">
        <v>617</v>
      </c>
      <c r="R6">
        <v>38</v>
      </c>
      <c r="S6">
        <v>0.4528301886792452</v>
      </c>
      <c r="T6">
        <v>32</v>
      </c>
      <c r="U6">
        <v>0.566875</v>
      </c>
      <c r="V6">
        <v>1.8332</v>
      </c>
      <c r="W6">
        <v>2.12</v>
      </c>
      <c r="X6">
        <v>0.96</v>
      </c>
      <c r="Y6">
        <v>-0.3813</v>
      </c>
      <c r="Z6">
        <v>0.6033898305084746</v>
      </c>
      <c r="AA6">
        <v>0.2885572139303483</v>
      </c>
      <c r="AB6">
        <v>0.05960264900662252</v>
      </c>
      <c r="AC6">
        <v>0.8841059602649007</v>
      </c>
      <c r="AD6">
        <v>0.7913907284768211</v>
      </c>
    </row>
    <row r="7" spans="1:30">
      <c r="A7" s="1" t="s">
        <v>14</v>
      </c>
      <c r="B7">
        <f>HYPERLINK("https://www.suredividend.com/sure-analysis-TYCB/","Calvin B. Taylor Bankshares, Inc.")</f>
        <v>0</v>
      </c>
      <c r="C7">
        <v>29.35</v>
      </c>
      <c r="D7">
        <v>81.44419600000001</v>
      </c>
      <c r="E7" t="s">
        <v>643</v>
      </c>
      <c r="F7" t="s">
        <v>613</v>
      </c>
      <c r="G7" t="s">
        <v>653</v>
      </c>
      <c r="H7" t="s">
        <v>684</v>
      </c>
      <c r="I7" t="s">
        <v>692</v>
      </c>
      <c r="J7" t="s">
        <v>1277</v>
      </c>
      <c r="K7">
        <v>43891</v>
      </c>
      <c r="L7">
        <v>0.036115843270868</v>
      </c>
      <c r="M7">
        <v>0.06914140816607572</v>
      </c>
      <c r="N7">
        <v>0.06</v>
      </c>
      <c r="O7">
        <v>0.1615363182638272</v>
      </c>
      <c r="P7" t="s">
        <v>617</v>
      </c>
      <c r="Q7" t="s">
        <v>617</v>
      </c>
      <c r="R7">
        <v>29</v>
      </c>
      <c r="S7">
        <v>0.3212121212121212</v>
      </c>
      <c r="T7">
        <v>41</v>
      </c>
      <c r="U7">
        <v>0.7158536585365854</v>
      </c>
      <c r="V7">
        <v>2.9865</v>
      </c>
      <c r="W7">
        <v>3.3</v>
      </c>
      <c r="X7">
        <v>1.06</v>
      </c>
      <c r="Y7">
        <v>-0.1559</v>
      </c>
      <c r="Z7">
        <v>0.4169491525423729</v>
      </c>
      <c r="AA7">
        <v>0.5920398009950248</v>
      </c>
      <c r="AB7">
        <v>0.6341059602649007</v>
      </c>
      <c r="AC7">
        <v>0.7450331125827815</v>
      </c>
      <c r="AD7">
        <v>0.7847682119205298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38.4</v>
      </c>
      <c r="D8">
        <v>33685.248</v>
      </c>
      <c r="E8" t="s">
        <v>641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43930</v>
      </c>
      <c r="L8">
        <v>0.047200520833333</v>
      </c>
      <c r="M8">
        <v>0.0744996862754117</v>
      </c>
      <c r="N8">
        <v>0.05</v>
      </c>
      <c r="O8">
        <v>0.1613777770951934</v>
      </c>
      <c r="P8" t="s">
        <v>617</v>
      </c>
      <c r="Q8" t="s">
        <v>617</v>
      </c>
      <c r="R8">
        <v>44</v>
      </c>
      <c r="S8">
        <v>0.3295454545454545</v>
      </c>
      <c r="T8">
        <v>55</v>
      </c>
      <c r="U8">
        <v>0.6981818181818181</v>
      </c>
      <c r="V8">
        <v>3.9</v>
      </c>
      <c r="W8">
        <v>5.5</v>
      </c>
      <c r="X8">
        <v>1.8125</v>
      </c>
      <c r="Y8">
        <v>-0.2719</v>
      </c>
      <c r="Z8">
        <v>0.5508474576271186</v>
      </c>
      <c r="AA8">
        <v>0.4278606965174129</v>
      </c>
      <c r="AB8">
        <v>0.4991721854304636</v>
      </c>
      <c r="AC8">
        <v>0.7798013245033113</v>
      </c>
      <c r="AD8">
        <v>0.783112582781457</v>
      </c>
    </row>
    <row r="9" spans="1:30">
      <c r="A9" s="1" t="s">
        <v>16</v>
      </c>
      <c r="B9">
        <f>HYPERLINK("https://www.suredividend.com/sure-analysis-FRT/","Federal Realty Investment Trust")</f>
        <v>0</v>
      </c>
      <c r="C9">
        <v>72.02</v>
      </c>
      <c r="D9">
        <v>5500.715976</v>
      </c>
      <c r="E9" t="s">
        <v>646</v>
      </c>
      <c r="F9" t="s">
        <v>614</v>
      </c>
      <c r="G9" t="s">
        <v>653</v>
      </c>
      <c r="H9" t="s">
        <v>682</v>
      </c>
      <c r="I9" t="s">
        <v>694</v>
      </c>
      <c r="J9" t="s">
        <v>1281</v>
      </c>
      <c r="K9">
        <v>43908</v>
      </c>
      <c r="L9">
        <v>0.057900583171341</v>
      </c>
      <c r="M9">
        <v>0.06136246175308657</v>
      </c>
      <c r="N9">
        <v>0.055</v>
      </c>
      <c r="O9">
        <v>0.1603685916054718</v>
      </c>
      <c r="P9" t="s">
        <v>617</v>
      </c>
      <c r="Q9" t="s">
        <v>617</v>
      </c>
      <c r="R9">
        <v>51</v>
      </c>
      <c r="S9">
        <v>0.6425269645608628</v>
      </c>
      <c r="T9">
        <v>97</v>
      </c>
      <c r="U9">
        <v>0.7424742268041237</v>
      </c>
      <c r="V9">
        <v>4.5201</v>
      </c>
      <c r="W9">
        <v>6.49</v>
      </c>
      <c r="X9">
        <v>4.17</v>
      </c>
      <c r="Y9">
        <v>-0.4464</v>
      </c>
      <c r="Z9">
        <v>0.6406779661016949</v>
      </c>
      <c r="AA9">
        <v>0.2205638474295191</v>
      </c>
      <c r="AB9">
        <v>0.5786423841059603</v>
      </c>
      <c r="AC9">
        <v>0.7185430463576159</v>
      </c>
      <c r="AD9">
        <v>0.7764900662251655</v>
      </c>
    </row>
    <row r="10" spans="1:30">
      <c r="A10" s="1" t="s">
        <v>17</v>
      </c>
      <c r="B10">
        <f>HYPERLINK("https://www.suredividend.com/sure-analysis-AIZ/","Assurant, Inc.")</f>
        <v>0</v>
      </c>
      <c r="C10">
        <v>91.11</v>
      </c>
      <c r="D10">
        <v>5434.921053</v>
      </c>
      <c r="E10" t="s">
        <v>644</v>
      </c>
      <c r="F10" t="s">
        <v>613</v>
      </c>
      <c r="G10" t="s">
        <v>653</v>
      </c>
      <c r="H10" t="s">
        <v>682</v>
      </c>
      <c r="I10" t="s">
        <v>695</v>
      </c>
      <c r="J10" t="s">
        <v>1277</v>
      </c>
      <c r="K10">
        <v>43873</v>
      </c>
      <c r="L10">
        <v>0.027000329272308</v>
      </c>
      <c r="M10">
        <v>0.08500291282534267</v>
      </c>
      <c r="N10">
        <v>0.05</v>
      </c>
      <c r="O10">
        <v>0.1583809599778088</v>
      </c>
      <c r="P10" t="s">
        <v>617</v>
      </c>
      <c r="Q10" t="s">
        <v>618</v>
      </c>
      <c r="R10">
        <v>15</v>
      </c>
      <c r="S10">
        <v>0.2510204081632653</v>
      </c>
      <c r="T10">
        <v>137</v>
      </c>
      <c r="U10">
        <v>0.665036496350365</v>
      </c>
      <c r="V10">
        <v>5.7636</v>
      </c>
      <c r="W10">
        <v>9.800000000000001</v>
      </c>
      <c r="X10">
        <v>2.46</v>
      </c>
      <c r="Y10">
        <v>-0.0475</v>
      </c>
      <c r="Z10">
        <v>0.3152542372881356</v>
      </c>
      <c r="AA10">
        <v>0.7164179104477612</v>
      </c>
      <c r="AB10">
        <v>0.4991721854304636</v>
      </c>
      <c r="AC10">
        <v>0.8145695364238411</v>
      </c>
      <c r="AD10">
        <v>0.7682119205298014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21.29</v>
      </c>
      <c r="D11">
        <v>253.289259</v>
      </c>
      <c r="E11" t="s">
        <v>644</v>
      </c>
      <c r="F11" t="s">
        <v>613</v>
      </c>
      <c r="G11" t="s">
        <v>653</v>
      </c>
      <c r="H11" t="s">
        <v>683</v>
      </c>
      <c r="I11" t="s">
        <v>696</v>
      </c>
      <c r="J11" t="s">
        <v>1277</v>
      </c>
      <c r="K11">
        <v>43951</v>
      </c>
      <c r="L11">
        <v>0.030765617660873</v>
      </c>
      <c r="M11">
        <v>0.04078143604778584</v>
      </c>
      <c r="N11">
        <v>0.09</v>
      </c>
      <c r="O11">
        <v>0.1565538571179379</v>
      </c>
      <c r="P11" t="s">
        <v>617</v>
      </c>
      <c r="Q11" t="s">
        <v>618</v>
      </c>
      <c r="R11">
        <v>26</v>
      </c>
      <c r="S11">
        <v>0.2977272727272727</v>
      </c>
      <c r="T11">
        <v>26</v>
      </c>
      <c r="U11">
        <v>0.8188461538461538</v>
      </c>
      <c r="V11">
        <v>2.4989</v>
      </c>
      <c r="W11">
        <v>2.2</v>
      </c>
      <c r="X11">
        <v>0.655</v>
      </c>
      <c r="Y11">
        <v>-0.2915</v>
      </c>
      <c r="Z11">
        <v>0.359322033898305</v>
      </c>
      <c r="AA11">
        <v>0.406301824212272</v>
      </c>
      <c r="AB11">
        <v>0.8600993377483444</v>
      </c>
      <c r="AC11">
        <v>0.6390728476821192</v>
      </c>
      <c r="AD11">
        <v>0.7582781456953643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26.45</v>
      </c>
      <c r="D12">
        <v>90.186301</v>
      </c>
      <c r="E12" t="s">
        <v>643</v>
      </c>
      <c r="F12" t="s">
        <v>613</v>
      </c>
      <c r="G12" t="s">
        <v>653</v>
      </c>
      <c r="H12" t="s">
        <v>684</v>
      </c>
      <c r="I12" t="s">
        <v>697</v>
      </c>
      <c r="J12" t="s">
        <v>1277</v>
      </c>
      <c r="K12">
        <v>43959</v>
      </c>
      <c r="L12">
        <v>0.038941398865784</v>
      </c>
      <c r="M12">
        <v>0.06943700972497235</v>
      </c>
      <c r="N12">
        <v>0.055</v>
      </c>
      <c r="O12">
        <v>0.1547760162141294</v>
      </c>
      <c r="P12" t="s">
        <v>617</v>
      </c>
      <c r="Q12" t="s">
        <v>617</v>
      </c>
      <c r="R12">
        <v>33</v>
      </c>
      <c r="S12">
        <v>0.412</v>
      </c>
      <c r="T12">
        <v>37</v>
      </c>
      <c r="U12">
        <v>0.7148648648648649</v>
      </c>
      <c r="V12">
        <v>2.8045</v>
      </c>
      <c r="W12">
        <v>2.5</v>
      </c>
      <c r="X12">
        <v>1.03</v>
      </c>
      <c r="Y12">
        <v>-0.1798</v>
      </c>
      <c r="Z12">
        <v>0.4542372881355932</v>
      </c>
      <c r="AA12">
        <v>0.5538971807628524</v>
      </c>
      <c r="AB12">
        <v>0.5786423841059603</v>
      </c>
      <c r="AC12">
        <v>0.7483443708609272</v>
      </c>
      <c r="AD12">
        <v>0.7533112582781457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17.76</v>
      </c>
      <c r="D13">
        <v>8796.63456</v>
      </c>
      <c r="E13" t="s">
        <v>641</v>
      </c>
      <c r="F13" t="s">
        <v>613</v>
      </c>
      <c r="G13" t="s">
        <v>653</v>
      </c>
      <c r="H13" t="s">
        <v>682</v>
      </c>
      <c r="I13" t="s">
        <v>698</v>
      </c>
      <c r="J13" t="s">
        <v>1277</v>
      </c>
      <c r="K13">
        <v>43958</v>
      </c>
      <c r="L13">
        <v>0.05968468468468401</v>
      </c>
      <c r="M13">
        <v>0.07077792546792283</v>
      </c>
      <c r="N13">
        <v>0.04</v>
      </c>
      <c r="O13">
        <v>0.1541696466264031</v>
      </c>
      <c r="P13" t="s">
        <v>617</v>
      </c>
      <c r="Q13" t="s">
        <v>617</v>
      </c>
      <c r="R13">
        <v>40</v>
      </c>
      <c r="S13">
        <v>0.53</v>
      </c>
      <c r="T13">
        <v>25</v>
      </c>
      <c r="U13">
        <v>0.7104</v>
      </c>
      <c r="V13">
        <v>1.9535</v>
      </c>
      <c r="W13">
        <v>2</v>
      </c>
      <c r="X13">
        <v>1.06</v>
      </c>
      <c r="Y13">
        <v>-0.4673</v>
      </c>
      <c r="Z13">
        <v>0.652542372881356</v>
      </c>
      <c r="AA13">
        <v>0.2056384742951907</v>
      </c>
      <c r="AB13">
        <v>0.3493377483443709</v>
      </c>
      <c r="AC13">
        <v>0.7549668874172185</v>
      </c>
      <c r="AD13">
        <v>0.7483443708609272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33.49</v>
      </c>
      <c r="D14">
        <v>5550.13025</v>
      </c>
      <c r="E14" t="s">
        <v>643</v>
      </c>
      <c r="F14" t="s">
        <v>613</v>
      </c>
      <c r="G14" t="s">
        <v>654</v>
      </c>
      <c r="H14" t="s">
        <v>682</v>
      </c>
      <c r="I14" t="s">
        <v>699</v>
      </c>
      <c r="J14" t="s">
        <v>1278</v>
      </c>
      <c r="K14">
        <v>43859</v>
      </c>
      <c r="L14">
        <v>0.021797551507912</v>
      </c>
      <c r="M14">
        <v>0.06553700479702873</v>
      </c>
      <c r="N14">
        <v>0.065</v>
      </c>
      <c r="O14">
        <v>0.1507266341116984</v>
      </c>
      <c r="P14" t="s">
        <v>617</v>
      </c>
      <c r="Q14" t="s">
        <v>618</v>
      </c>
      <c r="R14">
        <v>43</v>
      </c>
      <c r="S14">
        <v>0.2885375494071146</v>
      </c>
      <c r="T14">
        <v>46</v>
      </c>
      <c r="U14">
        <v>0.7280434782608696</v>
      </c>
      <c r="V14">
        <v>2.2369</v>
      </c>
      <c r="W14">
        <v>2.53</v>
      </c>
      <c r="X14">
        <v>0.73</v>
      </c>
      <c r="Y14">
        <v>-0.0887</v>
      </c>
      <c r="Z14">
        <v>0.2169491525423729</v>
      </c>
      <c r="AA14">
        <v>0.6898839137645107</v>
      </c>
      <c r="AB14">
        <v>0.6837748344370861</v>
      </c>
      <c r="AC14">
        <v>0.7317880794701986</v>
      </c>
      <c r="AD14">
        <v>0.7301324503311258</v>
      </c>
    </row>
    <row r="15" spans="1:30">
      <c r="A15" s="1" t="s">
        <v>22</v>
      </c>
      <c r="B15">
        <f>HYPERLINK("https://www.suredividend.com/sure-analysis-TXT/","Textron, Inc.")</f>
        <v>0</v>
      </c>
      <c r="C15">
        <v>24.2</v>
      </c>
      <c r="D15">
        <v>5509.009</v>
      </c>
      <c r="E15" t="s">
        <v>645</v>
      </c>
      <c r="F15" t="s">
        <v>613</v>
      </c>
      <c r="G15" t="s">
        <v>653</v>
      </c>
      <c r="H15" t="s">
        <v>682</v>
      </c>
      <c r="I15" t="s">
        <v>700</v>
      </c>
      <c r="J15" t="s">
        <v>1278</v>
      </c>
      <c r="K15">
        <v>43958</v>
      </c>
      <c r="L15">
        <v>0.003305785123966</v>
      </c>
      <c r="M15">
        <v>-0.001658383922112594</v>
      </c>
      <c r="N15">
        <v>0.15</v>
      </c>
      <c r="O15">
        <v>0.1499892667272287</v>
      </c>
      <c r="P15" t="s">
        <v>617</v>
      </c>
      <c r="Q15" t="s">
        <v>316</v>
      </c>
      <c r="R15">
        <v>0</v>
      </c>
      <c r="S15">
        <v>0.05228758169934641</v>
      </c>
      <c r="T15">
        <v>24</v>
      </c>
      <c r="U15">
        <v>1.008333333333333</v>
      </c>
      <c r="V15">
        <v>2.9821</v>
      </c>
      <c r="W15">
        <v>1.53</v>
      </c>
      <c r="X15">
        <v>0.08</v>
      </c>
      <c r="Y15">
        <v>-0.5169</v>
      </c>
      <c r="Z15">
        <v>0.01186440677966102</v>
      </c>
      <c r="AA15">
        <v>0.1442786069651741</v>
      </c>
      <c r="AB15">
        <v>0.9660596026490066</v>
      </c>
      <c r="AC15">
        <v>0.4172185430463576</v>
      </c>
      <c r="AD15">
        <v>0.7268211920529801</v>
      </c>
    </row>
    <row r="16" spans="1:30">
      <c r="A16" s="1" t="s">
        <v>23</v>
      </c>
      <c r="B16">
        <f>HYPERLINK("https://www.suredividend.com/sure-analysis-GD/","General Dynamics Corp.")</f>
        <v>0</v>
      </c>
      <c r="C16">
        <v>130.92</v>
      </c>
      <c r="D16">
        <v>37556.3658</v>
      </c>
      <c r="E16" t="s">
        <v>645</v>
      </c>
      <c r="F16" t="s">
        <v>613</v>
      </c>
      <c r="G16" t="s">
        <v>653</v>
      </c>
      <c r="H16" t="s">
        <v>682</v>
      </c>
      <c r="I16" t="s">
        <v>701</v>
      </c>
      <c r="J16" t="s">
        <v>1278</v>
      </c>
      <c r="K16">
        <v>43909</v>
      </c>
      <c r="L16">
        <v>0.03177512985029</v>
      </c>
      <c r="M16">
        <v>0.06096567662078201</v>
      </c>
      <c r="N16">
        <v>0.06</v>
      </c>
      <c r="O16">
        <v>0.1496319053794417</v>
      </c>
      <c r="P16" t="s">
        <v>617</v>
      </c>
      <c r="Q16" t="s">
        <v>618</v>
      </c>
      <c r="R16">
        <v>28</v>
      </c>
      <c r="S16">
        <v>0.3306836248012719</v>
      </c>
      <c r="T16">
        <v>176</v>
      </c>
      <c r="U16">
        <v>0.7438636363636363</v>
      </c>
      <c r="V16">
        <v>11.9444</v>
      </c>
      <c r="W16">
        <v>12.58</v>
      </c>
      <c r="X16">
        <v>4.16</v>
      </c>
      <c r="Y16">
        <v>-0.2194</v>
      </c>
      <c r="Z16">
        <v>0.3728813559322034</v>
      </c>
      <c r="AA16">
        <v>0.4875621890547264</v>
      </c>
      <c r="AB16">
        <v>0.6341059602649007</v>
      </c>
      <c r="AC16">
        <v>0.716887417218543</v>
      </c>
      <c r="AD16">
        <v>0.7235099337748345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17.56</v>
      </c>
      <c r="D17">
        <v>2010.992272</v>
      </c>
      <c r="E17" t="s">
        <v>647</v>
      </c>
      <c r="F17" t="s">
        <v>613</v>
      </c>
      <c r="G17" t="s">
        <v>653</v>
      </c>
      <c r="H17" t="s">
        <v>682</v>
      </c>
      <c r="I17" t="s">
        <v>702</v>
      </c>
      <c r="J17" t="s">
        <v>1282</v>
      </c>
      <c r="K17">
        <v>43901</v>
      </c>
      <c r="L17">
        <v>0.037870159453302</v>
      </c>
      <c r="M17">
        <v>0.1055406024889134</v>
      </c>
      <c r="N17">
        <v>0.015</v>
      </c>
      <c r="O17">
        <v>0.1476802634006955</v>
      </c>
      <c r="P17" t="s">
        <v>617</v>
      </c>
      <c r="Q17" t="s">
        <v>617</v>
      </c>
      <c r="R17">
        <v>45</v>
      </c>
      <c r="S17">
        <v>0.5541666666666667</v>
      </c>
      <c r="T17">
        <v>29</v>
      </c>
      <c r="U17">
        <v>0.6055172413793103</v>
      </c>
      <c r="V17">
        <v>1.1416</v>
      </c>
      <c r="W17">
        <v>1.2</v>
      </c>
      <c r="X17">
        <v>0.665</v>
      </c>
      <c r="Y17">
        <v>-0.4299</v>
      </c>
      <c r="Z17">
        <v>0.4372881355932203</v>
      </c>
      <c r="AA17">
        <v>0.2321724709784411</v>
      </c>
      <c r="AB17">
        <v>0.07781456953642384</v>
      </c>
      <c r="AC17">
        <v>0.8625827814569537</v>
      </c>
      <c r="AD17">
        <v>0.716887417218543</v>
      </c>
    </row>
    <row r="18" spans="1:30">
      <c r="A18" s="1" t="s">
        <v>25</v>
      </c>
      <c r="B18">
        <f>HYPERLINK("https://www.suredividend.com/sure-analysis-FUL/","H.B. Fuller Co.")</f>
        <v>0</v>
      </c>
      <c r="C18">
        <v>32.89</v>
      </c>
      <c r="D18">
        <v>1690.90779</v>
      </c>
      <c r="E18" t="s">
        <v>644</v>
      </c>
      <c r="F18" t="s">
        <v>613</v>
      </c>
      <c r="G18" t="s">
        <v>653</v>
      </c>
      <c r="H18" t="s">
        <v>682</v>
      </c>
      <c r="I18" t="s">
        <v>703</v>
      </c>
      <c r="J18" t="s">
        <v>1283</v>
      </c>
      <c r="K18">
        <v>43963</v>
      </c>
      <c r="L18">
        <v>0.019534813013073</v>
      </c>
      <c r="M18">
        <v>0.01251352735273592</v>
      </c>
      <c r="N18">
        <v>0.12</v>
      </c>
      <c r="O18">
        <v>0.1475588413230797</v>
      </c>
      <c r="P18" t="s">
        <v>617</v>
      </c>
      <c r="Q18" t="s">
        <v>618</v>
      </c>
      <c r="R18">
        <v>51</v>
      </c>
      <c r="S18">
        <v>0.273404255319149</v>
      </c>
      <c r="T18">
        <v>35</v>
      </c>
      <c r="U18">
        <v>0.9397142857142857</v>
      </c>
      <c r="V18">
        <v>2.5193</v>
      </c>
      <c r="W18">
        <v>2.35</v>
      </c>
      <c r="X18">
        <v>0.6425000000000001</v>
      </c>
      <c r="Y18">
        <v>-0.2663</v>
      </c>
      <c r="Z18">
        <v>0.1813559322033898</v>
      </c>
      <c r="AA18">
        <v>0.4361525704809287</v>
      </c>
      <c r="AB18">
        <v>0.9321192052980132</v>
      </c>
      <c r="AC18">
        <v>0.4966887417218543</v>
      </c>
      <c r="AD18">
        <v>0.7152317880794702</v>
      </c>
    </row>
    <row r="19" spans="1:30">
      <c r="A19" s="1" t="s">
        <v>26</v>
      </c>
      <c r="B19">
        <f>HYPERLINK("https://www.suredividend.com/sure-analysis-CB/","Chubb Ltd.")</f>
        <v>0</v>
      </c>
      <c r="C19">
        <v>99.48999999999999</v>
      </c>
      <c r="D19">
        <v>44905.50793</v>
      </c>
      <c r="E19" t="s">
        <v>643</v>
      </c>
      <c r="F19" t="s">
        <v>613</v>
      </c>
      <c r="G19" t="s">
        <v>655</v>
      </c>
      <c r="H19" t="s">
        <v>682</v>
      </c>
      <c r="I19" t="s">
        <v>704</v>
      </c>
      <c r="J19" t="s">
        <v>1277</v>
      </c>
      <c r="K19">
        <v>43946</v>
      </c>
      <c r="L19">
        <v>0.030153784299929</v>
      </c>
      <c r="M19">
        <v>0.06607614934015338</v>
      </c>
      <c r="N19">
        <v>0.05</v>
      </c>
      <c r="O19">
        <v>0.1411317628193425</v>
      </c>
      <c r="P19" t="s">
        <v>617</v>
      </c>
      <c r="Q19" t="s">
        <v>618</v>
      </c>
      <c r="R19">
        <v>26</v>
      </c>
      <c r="S19">
        <v>0.2857142857142857</v>
      </c>
      <c r="T19">
        <v>137</v>
      </c>
      <c r="U19">
        <v>0.7262043795620438</v>
      </c>
      <c r="V19">
        <v>8.066599999999999</v>
      </c>
      <c r="W19">
        <v>10.5</v>
      </c>
      <c r="X19">
        <v>3</v>
      </c>
      <c r="Y19">
        <v>-0.3075</v>
      </c>
      <c r="Z19">
        <v>0.3525423728813559</v>
      </c>
      <c r="AA19">
        <v>0.373134328358209</v>
      </c>
      <c r="AB19">
        <v>0.4991721854304636</v>
      </c>
      <c r="AC19">
        <v>0.7350993377483444</v>
      </c>
      <c r="AD19">
        <v>0.6854304635761589</v>
      </c>
    </row>
    <row r="20" spans="1:30">
      <c r="A20" s="1" t="s">
        <v>27</v>
      </c>
      <c r="B20">
        <f>HYPERLINK("https://www.suredividend.com/sure-analysis-FMS/","Fresenius Medical Care AG &amp; Co. KGaA")</f>
        <v>0</v>
      </c>
      <c r="C20">
        <v>39.29</v>
      </c>
      <c r="D20">
        <v>23050.94881</v>
      </c>
      <c r="E20" t="s">
        <v>642</v>
      </c>
      <c r="F20" t="s">
        <v>613</v>
      </c>
      <c r="G20" t="s">
        <v>656</v>
      </c>
      <c r="H20" t="s">
        <v>682</v>
      </c>
      <c r="I20" t="s">
        <v>705</v>
      </c>
      <c r="J20" t="s">
        <v>1280</v>
      </c>
      <c r="K20">
        <v>43963</v>
      </c>
      <c r="L20">
        <v>0.016599643675235</v>
      </c>
      <c r="M20">
        <v>0.06169254578689642</v>
      </c>
      <c r="N20">
        <v>0.06</v>
      </c>
      <c r="O20">
        <v>0.1374594400068683</v>
      </c>
      <c r="P20" t="s">
        <v>617</v>
      </c>
      <c r="Q20" t="s">
        <v>375</v>
      </c>
      <c r="R20">
        <v>23</v>
      </c>
      <c r="S20">
        <v>0.1970392749244713</v>
      </c>
      <c r="T20">
        <v>53</v>
      </c>
      <c r="U20">
        <v>0.7413207547169811</v>
      </c>
      <c r="V20">
        <v>2.2189</v>
      </c>
      <c r="W20">
        <v>3.31</v>
      </c>
      <c r="X20">
        <v>0.6522</v>
      </c>
      <c r="Y20">
        <v>-0.0131</v>
      </c>
      <c r="Z20">
        <v>0.1338983050847458</v>
      </c>
      <c r="AA20">
        <v>0.75787728026534</v>
      </c>
      <c r="AB20">
        <v>0.6341059602649007</v>
      </c>
      <c r="AC20">
        <v>0.7218543046357615</v>
      </c>
      <c r="AD20">
        <v>0.6655629139072847</v>
      </c>
    </row>
    <row r="21" spans="1:30">
      <c r="A21" s="1" t="s">
        <v>28</v>
      </c>
      <c r="B21">
        <f>HYPERLINK("https://www.suredividend.com/sure-analysis-VFC/","VF Corp.")</f>
        <v>0</v>
      </c>
      <c r="C21">
        <v>51.96</v>
      </c>
      <c r="D21">
        <v>20509.6512</v>
      </c>
      <c r="E21" t="s">
        <v>641</v>
      </c>
      <c r="F21" t="s">
        <v>613</v>
      </c>
      <c r="G21" t="s">
        <v>653</v>
      </c>
      <c r="H21" t="s">
        <v>682</v>
      </c>
      <c r="I21" t="s">
        <v>706</v>
      </c>
      <c r="J21" t="s">
        <v>1279</v>
      </c>
      <c r="K21">
        <v>43853</v>
      </c>
      <c r="L21">
        <v>0.036566589684372</v>
      </c>
      <c r="M21">
        <v>0.02573830454775416</v>
      </c>
      <c r="N21">
        <v>0.08</v>
      </c>
      <c r="O21">
        <v>0.134890560877722</v>
      </c>
      <c r="P21" t="s">
        <v>617</v>
      </c>
      <c r="Q21" t="s">
        <v>618</v>
      </c>
      <c r="R21">
        <v>46</v>
      </c>
      <c r="S21">
        <v>0.5757575757575758</v>
      </c>
      <c r="T21">
        <v>59</v>
      </c>
      <c r="U21">
        <v>0.8806779661016949</v>
      </c>
      <c r="V21">
        <v>1.6936</v>
      </c>
      <c r="W21">
        <v>3.3</v>
      </c>
      <c r="X21">
        <v>1.9</v>
      </c>
      <c r="Y21">
        <v>-0.3914</v>
      </c>
      <c r="Z21">
        <v>0.423728813559322</v>
      </c>
      <c r="AA21">
        <v>0.2769485903814262</v>
      </c>
      <c r="AB21">
        <v>0.8038079470198676</v>
      </c>
      <c r="AC21">
        <v>0.5695364238410596</v>
      </c>
      <c r="AD21">
        <v>0.6572847682119205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32.24</v>
      </c>
      <c r="D22">
        <v>1052.53928</v>
      </c>
      <c r="E22" t="s">
        <v>648</v>
      </c>
      <c r="F22" t="s">
        <v>613</v>
      </c>
      <c r="G22" t="s">
        <v>653</v>
      </c>
      <c r="H22" t="s">
        <v>683</v>
      </c>
      <c r="I22" t="s">
        <v>707</v>
      </c>
      <c r="J22" t="s">
        <v>1277</v>
      </c>
      <c r="K22">
        <v>43958</v>
      </c>
      <c r="L22">
        <v>0.039081885856079</v>
      </c>
      <c r="M22">
        <v>0.06896502544007488</v>
      </c>
      <c r="N22">
        <v>0.03</v>
      </c>
      <c r="O22">
        <v>0.1324866426264399</v>
      </c>
      <c r="P22" t="s">
        <v>617</v>
      </c>
      <c r="Q22" t="s">
        <v>618</v>
      </c>
      <c r="R22">
        <v>26</v>
      </c>
      <c r="S22">
        <v>0.4214046822742475</v>
      </c>
      <c r="T22">
        <v>45</v>
      </c>
      <c r="U22">
        <v>0.7164444444444444</v>
      </c>
      <c r="V22">
        <v>3.8479</v>
      </c>
      <c r="W22">
        <v>2.99</v>
      </c>
      <c r="X22">
        <v>1.26</v>
      </c>
      <c r="Y22">
        <v>-0.4133</v>
      </c>
      <c r="Z22">
        <v>0.4576271186440678</v>
      </c>
      <c r="AA22">
        <v>0.2570480928689884</v>
      </c>
      <c r="AB22">
        <v>0.2144039735099338</v>
      </c>
      <c r="AC22">
        <v>0.7417218543046357</v>
      </c>
      <c r="AD22">
        <v>0.6456953642384106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33.81</v>
      </c>
      <c r="D23">
        <v>3879.21209</v>
      </c>
      <c r="E23" t="s">
        <v>643</v>
      </c>
      <c r="F23" t="s">
        <v>613</v>
      </c>
      <c r="G23" t="s">
        <v>653</v>
      </c>
      <c r="H23" t="s">
        <v>682</v>
      </c>
      <c r="I23" t="s">
        <v>708</v>
      </c>
      <c r="J23" t="s">
        <v>1277</v>
      </c>
      <c r="K23">
        <v>43893</v>
      </c>
      <c r="L23">
        <v>0.04362614611061801</v>
      </c>
      <c r="M23">
        <v>0.02897278231189815</v>
      </c>
      <c r="N23">
        <v>0.065</v>
      </c>
      <c r="O23">
        <v>0.1322897141219361</v>
      </c>
      <c r="P23" t="s">
        <v>617</v>
      </c>
      <c r="Q23" t="s">
        <v>617</v>
      </c>
      <c r="R23">
        <v>38</v>
      </c>
      <c r="S23">
        <v>0.4154929577464789</v>
      </c>
      <c r="T23">
        <v>39</v>
      </c>
      <c r="U23">
        <v>0.866923076923077</v>
      </c>
      <c r="V23">
        <v>3.8146</v>
      </c>
      <c r="W23">
        <v>3.55</v>
      </c>
      <c r="X23">
        <v>1.475</v>
      </c>
      <c r="Y23">
        <v>-0.1172</v>
      </c>
      <c r="Z23">
        <v>0.5101694915254238</v>
      </c>
      <c r="AA23">
        <v>0.6575456053067994</v>
      </c>
      <c r="AB23">
        <v>0.6837748344370861</v>
      </c>
      <c r="AC23">
        <v>0.5877483443708609</v>
      </c>
      <c r="AD23">
        <v>0.6440397350993378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39.96</v>
      </c>
      <c r="D24">
        <v>3459.485052</v>
      </c>
      <c r="E24" t="s">
        <v>644</v>
      </c>
      <c r="F24" t="s">
        <v>613</v>
      </c>
      <c r="G24" t="s">
        <v>653</v>
      </c>
      <c r="H24" t="s">
        <v>682</v>
      </c>
      <c r="I24" t="s">
        <v>709</v>
      </c>
      <c r="J24" t="s">
        <v>1284</v>
      </c>
      <c r="K24">
        <v>43874</v>
      </c>
      <c r="L24">
        <v>0.04354354354354301</v>
      </c>
      <c r="M24">
        <v>0.05810819504414266</v>
      </c>
      <c r="N24">
        <v>0.04</v>
      </c>
      <c r="O24">
        <v>0.1307672491124923</v>
      </c>
      <c r="P24" t="s">
        <v>617</v>
      </c>
      <c r="Q24" t="s">
        <v>617</v>
      </c>
      <c r="R24">
        <v>49</v>
      </c>
      <c r="S24">
        <v>0.5704918032786885</v>
      </c>
      <c r="T24">
        <v>53</v>
      </c>
      <c r="U24">
        <v>0.7539622641509434</v>
      </c>
      <c r="V24">
        <v>1.0636</v>
      </c>
      <c r="W24">
        <v>3.05</v>
      </c>
      <c r="X24">
        <v>1.74</v>
      </c>
      <c r="Y24">
        <v>-0.2981</v>
      </c>
      <c r="Z24">
        <v>0.5067796610169492</v>
      </c>
      <c r="AA24">
        <v>0.3872305140961858</v>
      </c>
      <c r="AB24">
        <v>0.3493377483443709</v>
      </c>
      <c r="AC24">
        <v>0.7036423841059603</v>
      </c>
      <c r="AD24">
        <v>0.6357615894039735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34.12</v>
      </c>
      <c r="D25">
        <v>18953.52352</v>
      </c>
      <c r="E25" t="s">
        <v>648</v>
      </c>
      <c r="F25" t="s">
        <v>613</v>
      </c>
      <c r="G25" t="s">
        <v>653</v>
      </c>
      <c r="H25" t="s">
        <v>682</v>
      </c>
      <c r="I25" t="s">
        <v>710</v>
      </c>
      <c r="J25" t="s">
        <v>1285</v>
      </c>
      <c r="K25">
        <v>43958</v>
      </c>
      <c r="L25">
        <v>0.04132473622508701</v>
      </c>
      <c r="M25">
        <v>0.05691654948851665</v>
      </c>
      <c r="N25">
        <v>0.04</v>
      </c>
      <c r="O25">
        <v>0.130377435291275</v>
      </c>
      <c r="P25" t="s">
        <v>617</v>
      </c>
      <c r="Q25" t="s">
        <v>617</v>
      </c>
      <c r="R25">
        <v>45</v>
      </c>
      <c r="S25">
        <v>0.47</v>
      </c>
      <c r="T25">
        <v>45</v>
      </c>
      <c r="U25">
        <v>0.7582222222222221</v>
      </c>
      <c r="V25">
        <v>2.7395</v>
      </c>
      <c r="W25">
        <v>3</v>
      </c>
      <c r="X25">
        <v>1.41</v>
      </c>
      <c r="Y25">
        <v>-0.1674</v>
      </c>
      <c r="Z25">
        <v>0.4813559322033898</v>
      </c>
      <c r="AA25">
        <v>0.5729684908789386</v>
      </c>
      <c r="AB25">
        <v>0.3493377483443709</v>
      </c>
      <c r="AC25">
        <v>0.6970198675496688</v>
      </c>
      <c r="AD25">
        <v>0.6324503311258278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105.07</v>
      </c>
      <c r="D26">
        <v>5769.698403</v>
      </c>
      <c r="E26" t="s">
        <v>643</v>
      </c>
      <c r="F26" t="s">
        <v>613</v>
      </c>
      <c r="G26" t="s">
        <v>653</v>
      </c>
      <c r="H26" t="s">
        <v>682</v>
      </c>
      <c r="I26" t="s">
        <v>711</v>
      </c>
      <c r="J26" t="s">
        <v>1278</v>
      </c>
      <c r="K26">
        <v>43946</v>
      </c>
      <c r="L26">
        <v>0.018083182640144</v>
      </c>
      <c r="M26">
        <v>0.04027041506795048</v>
      </c>
      <c r="N26">
        <v>0.07000000000000001</v>
      </c>
      <c r="O26">
        <v>0.1288254752196394</v>
      </c>
      <c r="P26" t="s">
        <v>617</v>
      </c>
      <c r="Q26" t="s">
        <v>618</v>
      </c>
      <c r="R26">
        <v>43</v>
      </c>
      <c r="S26">
        <v>0.2533333333333333</v>
      </c>
      <c r="T26">
        <v>128</v>
      </c>
      <c r="U26">
        <v>0.8208593749999999</v>
      </c>
      <c r="V26">
        <v>8.026300000000001</v>
      </c>
      <c r="W26">
        <v>7.5</v>
      </c>
      <c r="X26">
        <v>1.9</v>
      </c>
      <c r="Y26">
        <v>-0.2295</v>
      </c>
      <c r="Z26">
        <v>0.1593220338983051</v>
      </c>
      <c r="AA26">
        <v>0.4792703150912107</v>
      </c>
      <c r="AB26">
        <v>0.7259933774834437</v>
      </c>
      <c r="AC26">
        <v>0.6341059602649007</v>
      </c>
      <c r="AD26">
        <v>0.6208609271523179</v>
      </c>
    </row>
    <row r="27" spans="1:30">
      <c r="A27" s="1" t="s">
        <v>34</v>
      </c>
      <c r="B27">
        <f>HYPERLINK("https://www.suredividend.com/sure-analysis-PNGAY/","Ping An Insurance (Group) Co. of China Ltd.")</f>
        <v>0</v>
      </c>
      <c r="C27">
        <v>19.75</v>
      </c>
      <c r="D27">
        <v>73544.85249999999</v>
      </c>
      <c r="E27" t="s">
        <v>643</v>
      </c>
      <c r="F27" t="s">
        <v>613</v>
      </c>
      <c r="G27" t="s">
        <v>657</v>
      </c>
      <c r="H27" t="s">
        <v>684</v>
      </c>
      <c r="I27" t="s">
        <v>712</v>
      </c>
      <c r="J27" t="s">
        <v>1277</v>
      </c>
      <c r="K27">
        <v>43955</v>
      </c>
      <c r="L27">
        <v>0.024474632911392</v>
      </c>
      <c r="M27">
        <v>0.03093704893982907</v>
      </c>
      <c r="N27">
        <v>0.07000000000000001</v>
      </c>
      <c r="O27">
        <v>0.126191342217816</v>
      </c>
      <c r="P27" t="s">
        <v>617</v>
      </c>
      <c r="Q27" t="s">
        <v>618</v>
      </c>
      <c r="R27">
        <v>9</v>
      </c>
      <c r="S27">
        <v>0.2101626086956522</v>
      </c>
      <c r="T27">
        <v>23</v>
      </c>
      <c r="U27">
        <v>0.8586956521739131</v>
      </c>
      <c r="V27">
        <v>2.3842</v>
      </c>
      <c r="W27">
        <v>2.3</v>
      </c>
      <c r="X27">
        <v>0.483374</v>
      </c>
      <c r="Y27">
        <v>-0.136</v>
      </c>
      <c r="Z27">
        <v>0.2813559322033898</v>
      </c>
      <c r="AA27">
        <v>0.6260364842454395</v>
      </c>
      <c r="AB27">
        <v>0.7259933774834437</v>
      </c>
      <c r="AC27">
        <v>0.5960264900662251</v>
      </c>
      <c r="AD27">
        <v>0.6076158940397351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136.45</v>
      </c>
      <c r="D28">
        <v>24162.70245</v>
      </c>
      <c r="E28" t="s">
        <v>649</v>
      </c>
      <c r="F28" t="s">
        <v>613</v>
      </c>
      <c r="G28" t="s">
        <v>653</v>
      </c>
      <c r="H28" t="s">
        <v>682</v>
      </c>
      <c r="I28" t="s">
        <v>713</v>
      </c>
      <c r="J28" t="s">
        <v>1280</v>
      </c>
      <c r="K28">
        <v>43876</v>
      </c>
      <c r="L28">
        <v>0.011725906925613</v>
      </c>
      <c r="M28">
        <v>0.05341608450503554</v>
      </c>
      <c r="N28">
        <v>0.06</v>
      </c>
      <c r="O28">
        <v>0.1259769374862425</v>
      </c>
      <c r="P28" t="s">
        <v>617</v>
      </c>
      <c r="Q28" t="s">
        <v>375</v>
      </c>
      <c r="R28">
        <v>12</v>
      </c>
      <c r="S28">
        <v>0.1084745762711865</v>
      </c>
      <c r="T28">
        <v>177</v>
      </c>
      <c r="U28">
        <v>0.7709039548022598</v>
      </c>
      <c r="V28">
        <v>-4.8675</v>
      </c>
      <c r="W28">
        <v>14.75</v>
      </c>
      <c r="X28">
        <v>1.6</v>
      </c>
      <c r="Y28">
        <v>0.08030000000000001</v>
      </c>
      <c r="Z28">
        <v>0.0711864406779661</v>
      </c>
      <c r="AA28">
        <v>0.8374792703150912</v>
      </c>
      <c r="AB28">
        <v>0.6341059602649007</v>
      </c>
      <c r="AC28">
        <v>0.6837748344370861</v>
      </c>
      <c r="AD28">
        <v>0.6043046357615894</v>
      </c>
    </row>
    <row r="29" spans="1:30">
      <c r="A29" s="1" t="s">
        <v>36</v>
      </c>
      <c r="B29">
        <f>HYPERLINK("https://www.suredividend.com/sure-analysis-LHX/","L3Harris Technologies, Inc.")</f>
        <v>0</v>
      </c>
      <c r="C29">
        <v>176.78</v>
      </c>
      <c r="D29">
        <v>38161.4986</v>
      </c>
      <c r="E29" t="s">
        <v>645</v>
      </c>
      <c r="F29" t="s">
        <v>613</v>
      </c>
      <c r="G29" t="s">
        <v>653</v>
      </c>
      <c r="H29" t="s">
        <v>682</v>
      </c>
      <c r="I29" t="s">
        <v>714</v>
      </c>
      <c r="J29" t="s">
        <v>1278</v>
      </c>
      <c r="K29">
        <v>43878</v>
      </c>
      <c r="L29">
        <v>0.015867179545197</v>
      </c>
      <c r="M29">
        <v>0.009131399846704857</v>
      </c>
      <c r="N29">
        <v>0.1</v>
      </c>
      <c r="O29">
        <v>0.1246634672254088</v>
      </c>
      <c r="P29" t="s">
        <v>617</v>
      </c>
      <c r="Q29" t="s">
        <v>375</v>
      </c>
      <c r="R29">
        <v>18</v>
      </c>
      <c r="S29">
        <v>0.2428571428571429</v>
      </c>
      <c r="T29">
        <v>185</v>
      </c>
      <c r="U29">
        <v>0.9555675675675676</v>
      </c>
      <c r="V29">
        <v>7.234</v>
      </c>
      <c r="W29">
        <v>11.55</v>
      </c>
      <c r="X29">
        <v>2.805</v>
      </c>
      <c r="Y29">
        <v>-0.0368</v>
      </c>
      <c r="Z29">
        <v>0.1169491525423729</v>
      </c>
      <c r="AA29">
        <v>0.7288557213930348</v>
      </c>
      <c r="AB29">
        <v>0.8981788079470199</v>
      </c>
      <c r="AC29">
        <v>0.4784768211920529</v>
      </c>
      <c r="AD29">
        <v>0.597682119205298</v>
      </c>
    </row>
    <row r="30" spans="1:30">
      <c r="A30" s="1" t="s">
        <v>37</v>
      </c>
      <c r="B30">
        <f>HYPERLINK("https://www.suredividend.com/sure-analysis-SYY/","Sysco Corp.")</f>
        <v>0</v>
      </c>
      <c r="C30">
        <v>47.62</v>
      </c>
      <c r="D30">
        <v>24172.76916</v>
      </c>
      <c r="E30" t="s">
        <v>646</v>
      </c>
      <c r="F30" t="s">
        <v>613</v>
      </c>
      <c r="G30" t="s">
        <v>653</v>
      </c>
      <c r="H30" t="s">
        <v>682</v>
      </c>
      <c r="I30" t="s">
        <v>715</v>
      </c>
      <c r="J30" t="s">
        <v>1285</v>
      </c>
      <c r="K30">
        <v>43910</v>
      </c>
      <c r="L30">
        <v>0.03527929441411101</v>
      </c>
      <c r="M30">
        <v>0.02163860572918508</v>
      </c>
      <c r="N30">
        <v>0.07000000000000001</v>
      </c>
      <c r="O30">
        <v>0.1239117151436648</v>
      </c>
      <c r="P30" t="s">
        <v>617</v>
      </c>
      <c r="Q30" t="s">
        <v>617</v>
      </c>
      <c r="R30">
        <v>51</v>
      </c>
      <c r="S30">
        <v>0.48</v>
      </c>
      <c r="T30">
        <v>53</v>
      </c>
      <c r="U30">
        <v>0.8984905660377358</v>
      </c>
      <c r="V30">
        <v>2.669</v>
      </c>
      <c r="W30">
        <v>3.5</v>
      </c>
      <c r="X30">
        <v>1.68</v>
      </c>
      <c r="Y30">
        <v>-0.3556</v>
      </c>
      <c r="Z30">
        <v>0.4084745762711864</v>
      </c>
      <c r="AA30">
        <v>0.3134328358208955</v>
      </c>
      <c r="AB30">
        <v>0.7259933774834437</v>
      </c>
      <c r="AC30">
        <v>0.5496688741721855</v>
      </c>
      <c r="AD30">
        <v>0.5910596026490066</v>
      </c>
    </row>
    <row r="31" spans="1:30">
      <c r="A31" s="1" t="s">
        <v>38</v>
      </c>
      <c r="B31">
        <f>HYPERLINK("https://www.suredividend.com/sure-analysis-SRCE/","1st Source Corp.")</f>
        <v>0</v>
      </c>
      <c r="C31">
        <v>28.79</v>
      </c>
      <c r="D31">
        <v>735.169924</v>
      </c>
      <c r="E31" t="s">
        <v>649</v>
      </c>
      <c r="F31" t="s">
        <v>613</v>
      </c>
      <c r="G31" t="s">
        <v>653</v>
      </c>
      <c r="H31" t="s">
        <v>683</v>
      </c>
      <c r="I31" t="s">
        <v>716</v>
      </c>
      <c r="J31" t="s">
        <v>1277</v>
      </c>
      <c r="K31">
        <v>43949</v>
      </c>
      <c r="L31">
        <v>0.038902396665508</v>
      </c>
      <c r="M31">
        <v>0.07326863638981496</v>
      </c>
      <c r="N31">
        <v>0.02</v>
      </c>
      <c r="O31">
        <v>0.1223505244577641</v>
      </c>
      <c r="P31" t="s">
        <v>617</v>
      </c>
      <c r="Q31" t="s">
        <v>617</v>
      </c>
      <c r="R31">
        <v>32</v>
      </c>
      <c r="S31">
        <v>0.4480000000000001</v>
      </c>
      <c r="T31">
        <v>41</v>
      </c>
      <c r="U31">
        <v>0.7021951219512195</v>
      </c>
      <c r="V31">
        <v>3.3556</v>
      </c>
      <c r="W31">
        <v>2.5</v>
      </c>
      <c r="X31">
        <v>1.12</v>
      </c>
      <c r="Y31">
        <v>-0.3708</v>
      </c>
      <c r="Z31">
        <v>0.4525423728813559</v>
      </c>
      <c r="AA31">
        <v>0.3018242122719734</v>
      </c>
      <c r="AB31">
        <v>0.1274834437086093</v>
      </c>
      <c r="AC31">
        <v>0.7731788079470199</v>
      </c>
      <c r="AD31">
        <v>0.5844370860927153</v>
      </c>
    </row>
    <row r="32" spans="1:30">
      <c r="A32" s="1" t="s">
        <v>39</v>
      </c>
      <c r="B32">
        <f>HYPERLINK("https://www.suredividend.com/sure-analysis-CINF/","Cincinnati Financial Corp.")</f>
        <v>0</v>
      </c>
      <c r="C32">
        <v>49.25</v>
      </c>
      <c r="D32">
        <v>7990.6155</v>
      </c>
      <c r="E32" t="s">
        <v>648</v>
      </c>
      <c r="F32" t="s">
        <v>613</v>
      </c>
      <c r="G32" t="s">
        <v>653</v>
      </c>
      <c r="H32" t="s">
        <v>683</v>
      </c>
      <c r="I32" t="s">
        <v>717</v>
      </c>
      <c r="J32" t="s">
        <v>1277</v>
      </c>
      <c r="K32">
        <v>43958</v>
      </c>
      <c r="L32">
        <v>0.046294416243654</v>
      </c>
      <c r="M32">
        <v>0.07284840786742675</v>
      </c>
      <c r="N32">
        <v>0.01</v>
      </c>
      <c r="O32">
        <v>0.1217784476896937</v>
      </c>
      <c r="P32" t="s">
        <v>617</v>
      </c>
      <c r="Q32" t="s">
        <v>617</v>
      </c>
      <c r="R32">
        <v>59</v>
      </c>
      <c r="S32">
        <v>0.6514285714285715</v>
      </c>
      <c r="T32">
        <v>70</v>
      </c>
      <c r="U32">
        <v>0.7035714285714286</v>
      </c>
      <c r="V32">
        <v>0.4239</v>
      </c>
      <c r="W32">
        <v>3.5</v>
      </c>
      <c r="X32">
        <v>2.28</v>
      </c>
      <c r="Y32">
        <v>-0.4892</v>
      </c>
      <c r="Z32">
        <v>0.5457627118644068</v>
      </c>
      <c r="AA32">
        <v>0.1741293532338309</v>
      </c>
      <c r="AB32">
        <v>0.05960264900662252</v>
      </c>
      <c r="AC32">
        <v>0.771523178807947</v>
      </c>
      <c r="AD32">
        <v>0.5827814569536424</v>
      </c>
    </row>
    <row r="33" spans="1:30">
      <c r="A33" s="1" t="s">
        <v>40</v>
      </c>
      <c r="B33">
        <f>HYPERLINK("https://www.suredividend.com/sure-analysis-ABBV/","AbbVie, Inc.")</f>
        <v>0</v>
      </c>
      <c r="C33">
        <v>90.70999999999999</v>
      </c>
      <c r="D33">
        <v>159861.8614</v>
      </c>
      <c r="E33" t="s">
        <v>643</v>
      </c>
      <c r="F33" t="s">
        <v>613</v>
      </c>
      <c r="G33" t="s">
        <v>653</v>
      </c>
      <c r="H33" t="s">
        <v>682</v>
      </c>
      <c r="I33" t="s">
        <v>718</v>
      </c>
      <c r="J33" t="s">
        <v>1280</v>
      </c>
      <c r="K33">
        <v>43961</v>
      </c>
      <c r="L33">
        <v>0.049608642928012</v>
      </c>
      <c r="M33">
        <v>0.02172316815577768</v>
      </c>
      <c r="N33">
        <v>0.055</v>
      </c>
      <c r="O33">
        <v>0.1210776521224335</v>
      </c>
      <c r="P33" t="s">
        <v>617</v>
      </c>
      <c r="Q33" t="s">
        <v>617</v>
      </c>
      <c r="R33">
        <v>48</v>
      </c>
      <c r="S33">
        <v>0.4658385093167702</v>
      </c>
      <c r="T33">
        <v>101</v>
      </c>
      <c r="U33">
        <v>0.898118811881188</v>
      </c>
      <c r="V33">
        <v>5.6688</v>
      </c>
      <c r="W33">
        <v>9.66</v>
      </c>
      <c r="X33">
        <v>4.5</v>
      </c>
      <c r="Y33">
        <v>0.1514</v>
      </c>
      <c r="Z33">
        <v>0.5728813559322034</v>
      </c>
      <c r="AA33">
        <v>0.8822553897180763</v>
      </c>
      <c r="AB33">
        <v>0.5786423841059603</v>
      </c>
      <c r="AC33">
        <v>0.5513245033112583</v>
      </c>
      <c r="AD33">
        <v>0.5728476821192053</v>
      </c>
    </row>
    <row r="34" spans="1:30">
      <c r="A34" s="1" t="s">
        <v>41</v>
      </c>
      <c r="B34">
        <f>HYPERLINK("https://www.suredividend.com/sure-analysis-PSBQ/","PSB Holdings, Inc. (Wisconsin)")</f>
        <v>0</v>
      </c>
      <c r="C34">
        <v>19.4</v>
      </c>
      <c r="D34">
        <v>87.6686</v>
      </c>
      <c r="E34" t="s">
        <v>649</v>
      </c>
      <c r="F34" t="s">
        <v>613</v>
      </c>
      <c r="G34" t="s">
        <v>653</v>
      </c>
      <c r="H34" t="s">
        <v>684</v>
      </c>
      <c r="I34" t="s">
        <v>719</v>
      </c>
      <c r="J34" t="s">
        <v>1277</v>
      </c>
      <c r="K34">
        <v>43949</v>
      </c>
      <c r="L34">
        <v>0.010309278350515</v>
      </c>
      <c r="M34">
        <v>0.06031357981646734</v>
      </c>
      <c r="N34">
        <v>0.04</v>
      </c>
      <c r="O34">
        <v>0.1200733807514736</v>
      </c>
      <c r="P34" t="s">
        <v>617</v>
      </c>
      <c r="Q34" t="s">
        <v>375</v>
      </c>
      <c r="R34">
        <v>26</v>
      </c>
      <c r="S34">
        <v>0.08888888888888889</v>
      </c>
      <c r="T34">
        <v>26</v>
      </c>
      <c r="U34">
        <v>0.7461538461538461</v>
      </c>
      <c r="V34">
        <v>2.265</v>
      </c>
      <c r="W34">
        <v>2.25</v>
      </c>
      <c r="X34">
        <v>0.2</v>
      </c>
      <c r="Y34">
        <v>-0.1565</v>
      </c>
      <c r="Z34">
        <v>0.05932203389830509</v>
      </c>
      <c r="AA34">
        <v>0.5903814262023217</v>
      </c>
      <c r="AB34">
        <v>0.3493377483443709</v>
      </c>
      <c r="AC34">
        <v>0.7119205298013245</v>
      </c>
      <c r="AD34">
        <v>0.5695364238410596</v>
      </c>
    </row>
    <row r="35" spans="1:30">
      <c r="A35" s="1" t="s">
        <v>42</v>
      </c>
      <c r="B35">
        <f>HYPERLINK("https://www.suredividend.com/sure-analysis-NOC/","Northrop Grumman Corp.")</f>
        <v>0</v>
      </c>
      <c r="C35">
        <v>321.63</v>
      </c>
      <c r="D35">
        <v>53616.68589</v>
      </c>
      <c r="E35" t="s">
        <v>645</v>
      </c>
      <c r="F35" t="s">
        <v>613</v>
      </c>
      <c r="G35" t="s">
        <v>653</v>
      </c>
      <c r="H35" t="s">
        <v>682</v>
      </c>
      <c r="I35" t="s">
        <v>720</v>
      </c>
      <c r="J35" t="s">
        <v>1278</v>
      </c>
      <c r="K35">
        <v>43964</v>
      </c>
      <c r="L35">
        <v>0.016416379069116</v>
      </c>
      <c r="M35">
        <v>0.005151390605583561</v>
      </c>
      <c r="N35">
        <v>0.1</v>
      </c>
      <c r="O35">
        <v>0.119250256837979</v>
      </c>
      <c r="P35" t="s">
        <v>617</v>
      </c>
      <c r="Q35" t="s">
        <v>375</v>
      </c>
      <c r="R35">
        <v>16</v>
      </c>
      <c r="S35">
        <v>0.24</v>
      </c>
      <c r="T35">
        <v>330</v>
      </c>
      <c r="U35">
        <v>0.9746363636363636</v>
      </c>
      <c r="V35">
        <v>13.3266</v>
      </c>
      <c r="W35">
        <v>22</v>
      </c>
      <c r="X35">
        <v>5.28</v>
      </c>
      <c r="Y35">
        <v>0.0922</v>
      </c>
      <c r="Z35">
        <v>0.1305084745762712</v>
      </c>
      <c r="AA35">
        <v>0.8457711442786069</v>
      </c>
      <c r="AB35">
        <v>0.8981788079470199</v>
      </c>
      <c r="AC35">
        <v>0.456953642384106</v>
      </c>
      <c r="AD35">
        <v>0.5612582781456954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45.33</v>
      </c>
      <c r="D36">
        <v>4547.91357</v>
      </c>
      <c r="E36" t="s">
        <v>642</v>
      </c>
      <c r="F36" t="s">
        <v>613</v>
      </c>
      <c r="G36" t="s">
        <v>653</v>
      </c>
      <c r="H36" t="s">
        <v>682</v>
      </c>
      <c r="I36" t="s">
        <v>721</v>
      </c>
      <c r="J36" t="s">
        <v>1279</v>
      </c>
      <c r="K36">
        <v>43937</v>
      </c>
      <c r="L36">
        <v>0.037943966468122</v>
      </c>
      <c r="M36">
        <v>0.03562281185470328</v>
      </c>
      <c r="N36">
        <v>0.05</v>
      </c>
      <c r="O36">
        <v>0.117252827212688</v>
      </c>
      <c r="P36" t="s">
        <v>617</v>
      </c>
      <c r="Q36" t="s">
        <v>618</v>
      </c>
      <c r="R36">
        <v>37</v>
      </c>
      <c r="S36">
        <v>0.5</v>
      </c>
      <c r="T36">
        <v>54</v>
      </c>
      <c r="U36">
        <v>0.8394444444444444</v>
      </c>
      <c r="V36">
        <v>2.9647</v>
      </c>
      <c r="W36">
        <v>3.44</v>
      </c>
      <c r="X36">
        <v>1.72</v>
      </c>
      <c r="Y36">
        <v>-0.2813</v>
      </c>
      <c r="Z36">
        <v>0.4389830508474576</v>
      </c>
      <c r="AA36">
        <v>0.4145936981757877</v>
      </c>
      <c r="AB36">
        <v>0.4991721854304636</v>
      </c>
      <c r="AC36">
        <v>0.6026490066225165</v>
      </c>
      <c r="AD36">
        <v>0.5496688741721855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86.92</v>
      </c>
      <c r="D37">
        <v>20506.42716</v>
      </c>
      <c r="E37" t="s">
        <v>642</v>
      </c>
      <c r="F37" t="s">
        <v>613</v>
      </c>
      <c r="G37" t="s">
        <v>653</v>
      </c>
      <c r="H37" t="s">
        <v>682</v>
      </c>
      <c r="I37" t="s">
        <v>722</v>
      </c>
      <c r="J37" t="s">
        <v>1283</v>
      </c>
      <c r="K37">
        <v>43949</v>
      </c>
      <c r="L37">
        <v>0.023124712379199</v>
      </c>
      <c r="M37">
        <v>0.01361410690476328</v>
      </c>
      <c r="N37">
        <v>0.08</v>
      </c>
      <c r="O37">
        <v>0.1146811179250167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0.9346236559139786</v>
      </c>
      <c r="V37">
        <v>4.9556</v>
      </c>
      <c r="W37">
        <v>5.46</v>
      </c>
      <c r="X37">
        <v>2.01</v>
      </c>
      <c r="Y37">
        <v>-0.2235</v>
      </c>
      <c r="Z37">
        <v>0.2525423728813559</v>
      </c>
      <c r="AA37">
        <v>0.48424543946932</v>
      </c>
      <c r="AB37">
        <v>0.8038079470198676</v>
      </c>
      <c r="AC37">
        <v>0.5049668874172185</v>
      </c>
      <c r="AD37">
        <v>0.5364238410596027</v>
      </c>
    </row>
    <row r="38" spans="1:30">
      <c r="A38" s="1" t="s">
        <v>45</v>
      </c>
      <c r="B38">
        <f>HYPERLINK("https://www.suredividend.com/sure-analysis-TJX/","The TJX Cos., Inc.")</f>
        <v>0</v>
      </c>
      <c r="C38">
        <v>47.17</v>
      </c>
      <c r="D38">
        <v>57201.6439</v>
      </c>
      <c r="E38" t="s">
        <v>650</v>
      </c>
      <c r="F38" t="s">
        <v>613</v>
      </c>
      <c r="G38" t="s">
        <v>653</v>
      </c>
      <c r="H38" t="s">
        <v>682</v>
      </c>
      <c r="I38" t="s">
        <v>723</v>
      </c>
      <c r="J38" t="s">
        <v>1279</v>
      </c>
      <c r="K38">
        <v>43909</v>
      </c>
      <c r="L38">
        <v>0.019503921984312</v>
      </c>
      <c r="M38">
        <v>0.01172114211713549</v>
      </c>
      <c r="N38">
        <v>0.08</v>
      </c>
      <c r="O38">
        <v>0.1126499594552057</v>
      </c>
      <c r="P38" t="s">
        <v>617</v>
      </c>
      <c r="Q38" t="s">
        <v>375</v>
      </c>
      <c r="R38">
        <v>23</v>
      </c>
      <c r="S38">
        <v>0.3285714285714286</v>
      </c>
      <c r="T38">
        <v>50</v>
      </c>
      <c r="U38">
        <v>0.9434</v>
      </c>
      <c r="V38">
        <v>2.7136</v>
      </c>
      <c r="W38">
        <v>2.8</v>
      </c>
      <c r="X38">
        <v>0.92</v>
      </c>
      <c r="Y38">
        <v>-0.0988</v>
      </c>
      <c r="Z38">
        <v>0.1796610169491525</v>
      </c>
      <c r="AA38">
        <v>0.6807628524046434</v>
      </c>
      <c r="AB38">
        <v>0.8038079470198676</v>
      </c>
      <c r="AC38">
        <v>0.4900662251655629</v>
      </c>
      <c r="AD38">
        <v>0.5264900662251656</v>
      </c>
    </row>
    <row r="39" spans="1:30">
      <c r="A39" s="1" t="s">
        <v>46</v>
      </c>
      <c r="B39">
        <f>HYPERLINK("https://www.suredividend.com/sure-analysis-SAP/","SAP SE")</f>
        <v>0</v>
      </c>
      <c r="C39">
        <v>113.21</v>
      </c>
      <c r="D39">
        <v>135132.623584</v>
      </c>
      <c r="E39" t="s">
        <v>643</v>
      </c>
      <c r="F39" t="s">
        <v>613</v>
      </c>
      <c r="G39" t="s">
        <v>656</v>
      </c>
      <c r="H39" t="s">
        <v>682</v>
      </c>
      <c r="I39" t="s">
        <v>724</v>
      </c>
      <c r="J39" t="s">
        <v>1286</v>
      </c>
      <c r="K39">
        <v>43946</v>
      </c>
      <c r="L39">
        <v>0.010868297853546</v>
      </c>
      <c r="M39">
        <v>0.008322465434505766</v>
      </c>
      <c r="N39">
        <v>0.09</v>
      </c>
      <c r="O39">
        <v>0.112066579998338</v>
      </c>
      <c r="P39" t="s">
        <v>617</v>
      </c>
      <c r="Q39" t="s">
        <v>316</v>
      </c>
      <c r="R39">
        <v>5</v>
      </c>
      <c r="S39">
        <v>0.2085423728813559</v>
      </c>
      <c r="T39">
        <v>118</v>
      </c>
      <c r="U39">
        <v>0.959406779661017</v>
      </c>
      <c r="V39">
        <v>3.1045</v>
      </c>
      <c r="W39">
        <v>5.9</v>
      </c>
      <c r="X39">
        <v>1.2304</v>
      </c>
      <c r="Y39">
        <v>-0.1027</v>
      </c>
      <c r="Z39">
        <v>0.06610169491525424</v>
      </c>
      <c r="AA39">
        <v>0.6749585406301825</v>
      </c>
      <c r="AB39">
        <v>0.8600993377483444</v>
      </c>
      <c r="AC39">
        <v>0.4735099337748344</v>
      </c>
      <c r="AD39">
        <v>0.5248344370860927</v>
      </c>
    </row>
    <row r="40" spans="1:30">
      <c r="A40" s="1" t="s">
        <v>47</v>
      </c>
      <c r="B40">
        <f>HYPERLINK("https://www.suredividend.com/sure-analysis-AFL/","Aflac, Inc.")</f>
        <v>0</v>
      </c>
      <c r="C40">
        <v>32.99</v>
      </c>
      <c r="D40">
        <v>23670.58892</v>
      </c>
      <c r="E40" t="s">
        <v>641</v>
      </c>
      <c r="F40" t="s">
        <v>613</v>
      </c>
      <c r="G40" t="s">
        <v>653</v>
      </c>
      <c r="H40" t="s">
        <v>682</v>
      </c>
      <c r="I40" t="s">
        <v>725</v>
      </c>
      <c r="J40" t="s">
        <v>1277</v>
      </c>
      <c r="K40">
        <v>43958</v>
      </c>
      <c r="L40">
        <v>0.033040315247044</v>
      </c>
      <c r="M40">
        <v>0.03928709630013993</v>
      </c>
      <c r="N40">
        <v>0.04</v>
      </c>
      <c r="O40">
        <v>0.1075025044266673</v>
      </c>
      <c r="P40" t="s">
        <v>617</v>
      </c>
      <c r="Q40" t="s">
        <v>617</v>
      </c>
      <c r="R40">
        <v>37</v>
      </c>
      <c r="S40">
        <v>0.2725</v>
      </c>
      <c r="T40">
        <v>40</v>
      </c>
      <c r="U40">
        <v>0.8247500000000001</v>
      </c>
      <c r="V40">
        <v>3.9964</v>
      </c>
      <c r="W40">
        <v>4</v>
      </c>
      <c r="X40">
        <v>1.09</v>
      </c>
      <c r="Y40">
        <v>-0.357</v>
      </c>
      <c r="Z40">
        <v>0.3898305084745763</v>
      </c>
      <c r="AA40">
        <v>0.3101160862354893</v>
      </c>
      <c r="AB40">
        <v>0.3493377483443709</v>
      </c>
      <c r="AC40">
        <v>0.6225165562913907</v>
      </c>
      <c r="AD40">
        <v>0.5115894039735099</v>
      </c>
    </row>
    <row r="41" spans="1:30">
      <c r="A41" s="1" t="s">
        <v>48</v>
      </c>
      <c r="B41">
        <f>HYPERLINK("https://www.suredividend.com/sure-analysis-FMCB/","Farmers &amp; Merchants Bancorp (California)")</f>
        <v>0</v>
      </c>
      <c r="C41">
        <v>710</v>
      </c>
      <c r="D41">
        <v>563.74</v>
      </c>
      <c r="E41" t="s">
        <v>644</v>
      </c>
      <c r="F41" t="s">
        <v>613</v>
      </c>
      <c r="G41" t="s">
        <v>653</v>
      </c>
      <c r="H41" t="s">
        <v>684</v>
      </c>
      <c r="I41" t="s">
        <v>726</v>
      </c>
      <c r="J41" t="s">
        <v>1277</v>
      </c>
      <c r="K41">
        <v>43950</v>
      </c>
      <c r="L41">
        <v>0.02</v>
      </c>
      <c r="M41">
        <v>0.03713728933664817</v>
      </c>
      <c r="N41">
        <v>0.05</v>
      </c>
      <c r="O41">
        <v>0.1053693310149393</v>
      </c>
      <c r="P41" t="s">
        <v>617</v>
      </c>
      <c r="Q41" t="s">
        <v>618</v>
      </c>
      <c r="R41">
        <v>55</v>
      </c>
      <c r="S41">
        <v>0.2</v>
      </c>
      <c r="T41">
        <v>852</v>
      </c>
      <c r="U41">
        <v>0.8333333333333334</v>
      </c>
      <c r="V41">
        <v>71.70189999999999</v>
      </c>
      <c r="W41">
        <v>71</v>
      </c>
      <c r="X41">
        <v>14.2</v>
      </c>
      <c r="Y41">
        <v>-0.0897</v>
      </c>
      <c r="Z41">
        <v>0.188135593220339</v>
      </c>
      <c r="AA41">
        <v>0.6882255389718077</v>
      </c>
      <c r="AB41">
        <v>0.4991721854304636</v>
      </c>
      <c r="AC41">
        <v>0.6109271523178808</v>
      </c>
      <c r="AD41">
        <v>0.5</v>
      </c>
    </row>
    <row r="42" spans="1:30">
      <c r="A42" s="1" t="s">
        <v>49</v>
      </c>
      <c r="B42">
        <f>HYPERLINK("https://www.suredividend.com/sure-analysis-ROST/","Ross Stores, Inc.")</f>
        <v>0</v>
      </c>
      <c r="C42">
        <v>85.31</v>
      </c>
      <c r="D42">
        <v>30318.06497</v>
      </c>
      <c r="E42" t="s">
        <v>644</v>
      </c>
      <c r="F42" t="s">
        <v>613</v>
      </c>
      <c r="G42" t="s">
        <v>653</v>
      </c>
      <c r="H42" t="s">
        <v>683</v>
      </c>
      <c r="I42" t="s">
        <v>727</v>
      </c>
      <c r="J42" t="s">
        <v>1279</v>
      </c>
      <c r="K42">
        <v>43895</v>
      </c>
      <c r="L42">
        <v>0.011956394326573</v>
      </c>
      <c r="M42">
        <v>-0.007883249643987678</v>
      </c>
      <c r="N42">
        <v>0.1</v>
      </c>
      <c r="O42">
        <v>0.104420529160274</v>
      </c>
      <c r="P42" t="s">
        <v>617</v>
      </c>
      <c r="Q42" t="s">
        <v>375</v>
      </c>
      <c r="R42">
        <v>26</v>
      </c>
      <c r="S42">
        <v>0.2103092783505155</v>
      </c>
      <c r="T42">
        <v>82</v>
      </c>
      <c r="U42">
        <v>1.040365853658537</v>
      </c>
      <c r="V42">
        <v>4.6346</v>
      </c>
      <c r="W42">
        <v>4.85</v>
      </c>
      <c r="X42">
        <v>1.02</v>
      </c>
      <c r="Y42">
        <v>-0.09720000000000001</v>
      </c>
      <c r="Z42">
        <v>0.07627118644067797</v>
      </c>
      <c r="AA42">
        <v>0.6832504145936982</v>
      </c>
      <c r="AB42">
        <v>0.8981788079470199</v>
      </c>
      <c r="AC42">
        <v>0.3940397350993378</v>
      </c>
      <c r="AD42">
        <v>0.4884105960264901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50.28</v>
      </c>
      <c r="D43">
        <v>1214.23686</v>
      </c>
      <c r="E43" t="s">
        <v>642</v>
      </c>
      <c r="F43" t="s">
        <v>613</v>
      </c>
      <c r="G43" t="s">
        <v>653</v>
      </c>
      <c r="H43" t="s">
        <v>683</v>
      </c>
      <c r="I43" t="s">
        <v>728</v>
      </c>
      <c r="J43" t="s">
        <v>1278</v>
      </c>
      <c r="K43">
        <v>43950</v>
      </c>
      <c r="L43">
        <v>0.030727923627684</v>
      </c>
      <c r="M43">
        <v>0.04613818875152553</v>
      </c>
      <c r="N43">
        <v>0.03</v>
      </c>
      <c r="O43">
        <v>0.1033799263791655</v>
      </c>
      <c r="P43" t="s">
        <v>617</v>
      </c>
      <c r="Q43" t="s">
        <v>618</v>
      </c>
      <c r="R43">
        <v>29</v>
      </c>
      <c r="S43">
        <v>0.4339887640449438</v>
      </c>
      <c r="T43">
        <v>63</v>
      </c>
      <c r="U43">
        <v>0.7980952380952381</v>
      </c>
      <c r="V43">
        <v>4.0584</v>
      </c>
      <c r="W43">
        <v>3.56</v>
      </c>
      <c r="X43">
        <v>1.545</v>
      </c>
      <c r="Y43">
        <v>-0.1662</v>
      </c>
      <c r="Z43">
        <v>0.3576271186440678</v>
      </c>
      <c r="AA43">
        <v>0.5779436152570481</v>
      </c>
      <c r="AB43">
        <v>0.2144039735099338</v>
      </c>
      <c r="AC43">
        <v>0.6572847682119205</v>
      </c>
      <c r="AD43">
        <v>0.4817880794701987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73.12</v>
      </c>
      <c r="D44">
        <v>10548.2912</v>
      </c>
      <c r="E44" t="s">
        <v>649</v>
      </c>
      <c r="F44" t="s">
        <v>613</v>
      </c>
      <c r="G44" t="s">
        <v>653</v>
      </c>
      <c r="H44" t="s">
        <v>682</v>
      </c>
      <c r="I44" t="s">
        <v>729</v>
      </c>
      <c r="J44" t="s">
        <v>1279</v>
      </c>
      <c r="K44">
        <v>43960</v>
      </c>
      <c r="L44">
        <v>0.042088347921225</v>
      </c>
      <c r="M44">
        <v>0.03774177017229285</v>
      </c>
      <c r="N44">
        <v>0.03</v>
      </c>
      <c r="O44">
        <v>0.102836688842141</v>
      </c>
      <c r="P44" t="s">
        <v>617</v>
      </c>
      <c r="Q44" t="s">
        <v>617</v>
      </c>
      <c r="R44">
        <v>64</v>
      </c>
      <c r="S44">
        <v>0.779113924050633</v>
      </c>
      <c r="T44">
        <v>88</v>
      </c>
      <c r="U44">
        <v>0.8309090909090909</v>
      </c>
      <c r="V44">
        <v>4.1018</v>
      </c>
      <c r="W44">
        <v>3.95</v>
      </c>
      <c r="X44">
        <v>3.0775</v>
      </c>
      <c r="Y44">
        <v>-0.2417</v>
      </c>
      <c r="Z44">
        <v>0.4915254237288136</v>
      </c>
      <c r="AA44">
        <v>0.4610281923714759</v>
      </c>
      <c r="AB44">
        <v>0.2144039735099338</v>
      </c>
      <c r="AC44">
        <v>0.6125827814569537</v>
      </c>
      <c r="AD44">
        <v>0.4801324503311258</v>
      </c>
    </row>
    <row r="45" spans="1:30">
      <c r="A45" s="1" t="s">
        <v>52</v>
      </c>
      <c r="B45">
        <f>HYPERLINK("https://www.suredividend.com/sure-analysis-AOS/","A. O. Smith Corp.")</f>
        <v>0</v>
      </c>
      <c r="C45">
        <v>40.41</v>
      </c>
      <c r="D45">
        <v>5459.22936</v>
      </c>
      <c r="E45" t="s">
        <v>643</v>
      </c>
      <c r="F45" t="s">
        <v>613</v>
      </c>
      <c r="G45" t="s">
        <v>653</v>
      </c>
      <c r="H45" t="s">
        <v>682</v>
      </c>
      <c r="I45" t="s">
        <v>730</v>
      </c>
      <c r="J45" t="s">
        <v>1278</v>
      </c>
      <c r="K45">
        <v>43860</v>
      </c>
      <c r="L45">
        <v>0.022766641920316</v>
      </c>
      <c r="M45">
        <v>0.017168178819567</v>
      </c>
      <c r="N45">
        <v>0.06</v>
      </c>
      <c r="O45">
        <v>0.1014959190261857</v>
      </c>
      <c r="P45" t="s">
        <v>617</v>
      </c>
      <c r="Q45" t="s">
        <v>618</v>
      </c>
      <c r="R45">
        <v>26</v>
      </c>
      <c r="S45">
        <v>0.3755102040816327</v>
      </c>
      <c r="T45">
        <v>44</v>
      </c>
      <c r="U45">
        <v>0.9184090909090908</v>
      </c>
      <c r="V45">
        <v>2.0251</v>
      </c>
      <c r="W45">
        <v>2.45</v>
      </c>
      <c r="X45">
        <v>0.92</v>
      </c>
      <c r="Y45">
        <v>-0.1606</v>
      </c>
      <c r="Z45">
        <v>0.2389830508474576</v>
      </c>
      <c r="AA45">
        <v>0.5870646766169154</v>
      </c>
      <c r="AB45">
        <v>0.6341059602649007</v>
      </c>
      <c r="AC45">
        <v>0.5248344370860927</v>
      </c>
      <c r="AD45">
        <v>0.4701986754966888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153.29</v>
      </c>
      <c r="D46">
        <v>19676.76427</v>
      </c>
      <c r="E46" t="s">
        <v>644</v>
      </c>
      <c r="F46" t="s">
        <v>613</v>
      </c>
      <c r="G46" t="s">
        <v>653</v>
      </c>
      <c r="H46" t="s">
        <v>682</v>
      </c>
      <c r="I46" t="s">
        <v>731</v>
      </c>
      <c r="J46" t="s">
        <v>1278</v>
      </c>
      <c r="K46">
        <v>43963</v>
      </c>
      <c r="L46">
        <v>0.022963011285798</v>
      </c>
      <c r="M46">
        <v>-0.0165754229098577</v>
      </c>
      <c r="N46">
        <v>0.1</v>
      </c>
      <c r="O46">
        <v>0.1013230927044013</v>
      </c>
      <c r="P46" t="s">
        <v>617</v>
      </c>
      <c r="Q46" t="s">
        <v>618</v>
      </c>
      <c r="R46">
        <v>63</v>
      </c>
      <c r="S46">
        <v>0.374468085106383</v>
      </c>
      <c r="T46">
        <v>141</v>
      </c>
      <c r="U46">
        <v>1.087163120567376</v>
      </c>
      <c r="V46">
        <v>10.3109</v>
      </c>
      <c r="W46">
        <v>9.4</v>
      </c>
      <c r="X46">
        <v>3.52</v>
      </c>
      <c r="Y46">
        <v>-0.0936</v>
      </c>
      <c r="Z46">
        <v>0.2474576271186441</v>
      </c>
      <c r="AA46">
        <v>0.6865671641791045</v>
      </c>
      <c r="AB46">
        <v>0.8981788079470199</v>
      </c>
      <c r="AC46">
        <v>0.3443708609271524</v>
      </c>
      <c r="AD46">
        <v>0.4685430463576158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55.91</v>
      </c>
      <c r="D47">
        <v>3508.335727</v>
      </c>
      <c r="E47" t="s">
        <v>643</v>
      </c>
      <c r="F47" t="s">
        <v>613</v>
      </c>
      <c r="G47" t="s">
        <v>653</v>
      </c>
      <c r="H47" t="s">
        <v>682</v>
      </c>
      <c r="I47" t="s">
        <v>732</v>
      </c>
      <c r="J47" t="s">
        <v>1287</v>
      </c>
      <c r="K47">
        <v>43962</v>
      </c>
      <c r="L47">
        <v>0.037202647111429</v>
      </c>
      <c r="M47">
        <v>0.02739653418824051</v>
      </c>
      <c r="N47">
        <v>0.04</v>
      </c>
      <c r="O47">
        <v>0.1005729962929582</v>
      </c>
      <c r="P47" t="s">
        <v>617</v>
      </c>
      <c r="Q47" t="s">
        <v>618</v>
      </c>
      <c r="R47">
        <v>48</v>
      </c>
      <c r="S47">
        <v>0.5859154929577465</v>
      </c>
      <c r="T47">
        <v>64</v>
      </c>
      <c r="U47">
        <v>0.8735937499999999</v>
      </c>
      <c r="V47">
        <v>3.0711</v>
      </c>
      <c r="W47">
        <v>3.55</v>
      </c>
      <c r="X47">
        <v>2.08</v>
      </c>
      <c r="Y47">
        <v>-0.2624</v>
      </c>
      <c r="Z47">
        <v>0.4288135593220339</v>
      </c>
      <c r="AA47">
        <v>0.4411276948590381</v>
      </c>
      <c r="AB47">
        <v>0.3493377483443709</v>
      </c>
      <c r="AC47">
        <v>0.5778145695364238</v>
      </c>
      <c r="AD47">
        <v>0.4652317880794702</v>
      </c>
    </row>
    <row r="48" spans="1:30">
      <c r="A48" s="1" t="s">
        <v>55</v>
      </c>
      <c r="B48">
        <f>HYPERLINK("https://www.suredividend.com/sure-analysis-ORCL/","Oracle Corp.")</f>
        <v>0</v>
      </c>
      <c r="C48">
        <v>52.92</v>
      </c>
      <c r="D48">
        <v>166887.4536</v>
      </c>
      <c r="E48" t="s">
        <v>643</v>
      </c>
      <c r="F48" t="s">
        <v>613</v>
      </c>
      <c r="G48" t="s">
        <v>653</v>
      </c>
      <c r="H48" t="s">
        <v>682</v>
      </c>
      <c r="I48" t="s">
        <v>733</v>
      </c>
      <c r="J48" t="s">
        <v>1286</v>
      </c>
      <c r="K48">
        <v>43923</v>
      </c>
      <c r="L48">
        <v>0.01814058956916</v>
      </c>
      <c r="M48">
        <v>0.004048715456574481</v>
      </c>
      <c r="N48">
        <v>0.08</v>
      </c>
      <c r="O48">
        <v>0.1000837486837787</v>
      </c>
      <c r="P48" t="s">
        <v>617</v>
      </c>
      <c r="Q48" t="s">
        <v>375</v>
      </c>
      <c r="R48">
        <v>11</v>
      </c>
      <c r="S48">
        <v>0.2474226804123711</v>
      </c>
      <c r="T48">
        <v>54</v>
      </c>
      <c r="U48">
        <v>0.98</v>
      </c>
      <c r="V48">
        <v>3.2624</v>
      </c>
      <c r="W48">
        <v>3.88</v>
      </c>
      <c r="X48">
        <v>0.96</v>
      </c>
      <c r="Y48">
        <v>-0.0301</v>
      </c>
      <c r="Z48">
        <v>0.1610169491525424</v>
      </c>
      <c r="AA48">
        <v>0.7396351575456053</v>
      </c>
      <c r="AB48">
        <v>0.8038079470198676</v>
      </c>
      <c r="AC48">
        <v>0.4503311258278145</v>
      </c>
      <c r="AD48">
        <v>0.4586092715231788</v>
      </c>
    </row>
    <row r="49" spans="1:30">
      <c r="A49" s="1" t="s">
        <v>56</v>
      </c>
      <c r="B49">
        <f>HYPERLINK("https://www.suredividend.com/sure-analysis-BRC/","Brady Corp.")</f>
        <v>0</v>
      </c>
      <c r="C49">
        <v>41.22</v>
      </c>
      <c r="D49">
        <v>2199.071666</v>
      </c>
      <c r="E49" t="s">
        <v>642</v>
      </c>
      <c r="F49" t="s">
        <v>613</v>
      </c>
      <c r="G49" t="s">
        <v>653</v>
      </c>
      <c r="H49" t="s">
        <v>682</v>
      </c>
      <c r="I49" t="s">
        <v>734</v>
      </c>
      <c r="J49" t="s">
        <v>1278</v>
      </c>
      <c r="K49">
        <v>43882</v>
      </c>
      <c r="L49">
        <v>0.020863658418243</v>
      </c>
      <c r="M49">
        <v>0.03092399959930692</v>
      </c>
      <c r="N49">
        <v>0.05</v>
      </c>
      <c r="O49">
        <v>0.09792149664062633</v>
      </c>
      <c r="P49" t="s">
        <v>617</v>
      </c>
      <c r="Q49" t="s">
        <v>618</v>
      </c>
      <c r="R49">
        <v>34</v>
      </c>
      <c r="S49">
        <v>0.3307692307692308</v>
      </c>
      <c r="T49">
        <v>48</v>
      </c>
      <c r="U49">
        <v>0.85875</v>
      </c>
      <c r="V49">
        <v>2.6864</v>
      </c>
      <c r="W49">
        <v>2.6</v>
      </c>
      <c r="X49">
        <v>0.86</v>
      </c>
      <c r="Y49">
        <v>-0.1247</v>
      </c>
      <c r="Z49">
        <v>0.2016949152542373</v>
      </c>
      <c r="AA49">
        <v>0.6467661691542288</v>
      </c>
      <c r="AB49">
        <v>0.4991721854304636</v>
      </c>
      <c r="AC49">
        <v>0.5943708609271523</v>
      </c>
      <c r="AD49">
        <v>0.4387417218543046</v>
      </c>
    </row>
    <row r="50" spans="1:30">
      <c r="A50" s="1" t="s">
        <v>57</v>
      </c>
      <c r="B50">
        <f>HYPERLINK("https://www.suredividend.com/sure-analysis-SEIC/","SEI Investments Co.")</f>
        <v>0</v>
      </c>
      <c r="C50">
        <v>50.77</v>
      </c>
      <c r="D50">
        <v>7510.50764</v>
      </c>
      <c r="E50" t="s">
        <v>649</v>
      </c>
      <c r="F50" t="s">
        <v>613</v>
      </c>
      <c r="G50" t="s">
        <v>653</v>
      </c>
      <c r="H50" t="s">
        <v>683</v>
      </c>
      <c r="I50" t="s">
        <v>735</v>
      </c>
      <c r="J50" t="s">
        <v>1277</v>
      </c>
      <c r="K50">
        <v>43954</v>
      </c>
      <c r="L50">
        <v>0.013393736458538</v>
      </c>
      <c r="M50">
        <v>-0.01531314833704656</v>
      </c>
      <c r="N50">
        <v>0.1</v>
      </c>
      <c r="O50">
        <v>0.09557213094674966</v>
      </c>
      <c r="P50" t="s">
        <v>617</v>
      </c>
      <c r="Q50" t="s">
        <v>375</v>
      </c>
      <c r="R50">
        <v>29</v>
      </c>
      <c r="S50">
        <v>0.2472727272727273</v>
      </c>
      <c r="T50">
        <v>47</v>
      </c>
      <c r="U50">
        <v>1.080212765957447</v>
      </c>
      <c r="V50">
        <v>3.2978</v>
      </c>
      <c r="W50">
        <v>2.75</v>
      </c>
      <c r="X50">
        <v>0.68</v>
      </c>
      <c r="Y50">
        <v>-0.0092</v>
      </c>
      <c r="Z50">
        <v>0.09152542372881356</v>
      </c>
      <c r="AA50">
        <v>0.7628524046434494</v>
      </c>
      <c r="AB50">
        <v>0.8981788079470199</v>
      </c>
      <c r="AC50">
        <v>0.3543046357615894</v>
      </c>
      <c r="AD50">
        <v>0.4304635761589404</v>
      </c>
    </row>
    <row r="51" spans="1:30">
      <c r="A51" s="1" t="s">
        <v>58</v>
      </c>
      <c r="B51">
        <f>HYPERLINK("https://www.suredividend.com/sure-analysis-PRGO/","Perrigo Co. Plc")</f>
        <v>0</v>
      </c>
      <c r="C51">
        <v>52.76</v>
      </c>
      <c r="D51">
        <v>7191.87388</v>
      </c>
      <c r="E51" t="s">
        <v>642</v>
      </c>
      <c r="F51" t="s">
        <v>613</v>
      </c>
      <c r="G51" t="s">
        <v>658</v>
      </c>
      <c r="H51" t="s">
        <v>682</v>
      </c>
      <c r="I51" t="s">
        <v>736</v>
      </c>
      <c r="J51" t="s">
        <v>1280</v>
      </c>
      <c r="K51">
        <v>43953</v>
      </c>
      <c r="L51">
        <v>0.016205458680818</v>
      </c>
      <c r="M51">
        <v>0.02944941138559476</v>
      </c>
      <c r="N51">
        <v>0.05</v>
      </c>
      <c r="O51">
        <v>0.0950576137170811</v>
      </c>
      <c r="P51" t="s">
        <v>617</v>
      </c>
      <c r="Q51" t="s">
        <v>375</v>
      </c>
      <c r="R51">
        <v>18</v>
      </c>
      <c r="S51">
        <v>0.2111111111111111</v>
      </c>
      <c r="T51">
        <v>61</v>
      </c>
      <c r="U51">
        <v>0.8649180327868852</v>
      </c>
      <c r="V51">
        <v>1.3857</v>
      </c>
      <c r="W51">
        <v>4.05</v>
      </c>
      <c r="X51">
        <v>0.855</v>
      </c>
      <c r="Y51">
        <v>0.0648</v>
      </c>
      <c r="Z51">
        <v>0.123728813559322</v>
      </c>
      <c r="AA51">
        <v>0.8217247097844113</v>
      </c>
      <c r="AB51">
        <v>0.4991721854304636</v>
      </c>
      <c r="AC51">
        <v>0.5910596026490066</v>
      </c>
      <c r="AD51">
        <v>0.4238410596026491</v>
      </c>
    </row>
    <row r="52" spans="1:30">
      <c r="A52" s="1" t="s">
        <v>59</v>
      </c>
      <c r="B52">
        <f>HYPERLINK("https://www.suredividend.com/sure-analysis-ADP/","Automatic Data Processing, Inc.")</f>
        <v>0</v>
      </c>
      <c r="C52">
        <v>134.85</v>
      </c>
      <c r="D52">
        <v>57955.0239</v>
      </c>
      <c r="E52" t="s">
        <v>649</v>
      </c>
      <c r="F52" t="s">
        <v>613</v>
      </c>
      <c r="G52" t="s">
        <v>653</v>
      </c>
      <c r="H52" t="s">
        <v>683</v>
      </c>
      <c r="I52" t="s">
        <v>737</v>
      </c>
      <c r="J52" t="s">
        <v>1278</v>
      </c>
      <c r="K52">
        <v>43953</v>
      </c>
      <c r="L52">
        <v>0.025213199851687</v>
      </c>
      <c r="M52">
        <v>-0.01192353709582561</v>
      </c>
      <c r="N52">
        <v>0.08</v>
      </c>
      <c r="O52">
        <v>0.09228976854959625</v>
      </c>
      <c r="P52" t="s">
        <v>617</v>
      </c>
      <c r="Q52" t="s">
        <v>618</v>
      </c>
      <c r="R52">
        <v>44</v>
      </c>
      <c r="S52">
        <v>0.591304347826087</v>
      </c>
      <c r="T52">
        <v>127</v>
      </c>
      <c r="U52">
        <v>1.061811023622047</v>
      </c>
      <c r="V52">
        <v>5.8651</v>
      </c>
      <c r="W52">
        <v>5.75</v>
      </c>
      <c r="X52">
        <v>3.4</v>
      </c>
      <c r="Y52">
        <v>-0.1539</v>
      </c>
      <c r="Z52">
        <v>0.2898305084745763</v>
      </c>
      <c r="AA52">
        <v>0.6003316749585407</v>
      </c>
      <c r="AB52">
        <v>0.8038079470198676</v>
      </c>
      <c r="AC52">
        <v>0.3741721854304636</v>
      </c>
      <c r="AD52">
        <v>0.4122516556291391</v>
      </c>
    </row>
    <row r="53" spans="1:30">
      <c r="A53" s="1" t="s">
        <v>60</v>
      </c>
      <c r="B53">
        <f>HYPERLINK("https://www.suredividend.com/sure-analysis-CP/","Canadian Pacific Railway Ltd.")</f>
        <v>0</v>
      </c>
      <c r="C53">
        <v>220.23</v>
      </c>
      <c r="D53">
        <v>29870.23536</v>
      </c>
      <c r="E53" t="s">
        <v>650</v>
      </c>
      <c r="F53" t="s">
        <v>613</v>
      </c>
      <c r="G53" t="s">
        <v>659</v>
      </c>
      <c r="H53" t="s">
        <v>682</v>
      </c>
      <c r="I53" t="s">
        <v>738</v>
      </c>
      <c r="J53" t="s">
        <v>1278</v>
      </c>
      <c r="K53">
        <v>43951</v>
      </c>
      <c r="L53">
        <v>0.011327787651537</v>
      </c>
      <c r="M53">
        <v>0.002502990597575527</v>
      </c>
      <c r="N53">
        <v>0.075</v>
      </c>
      <c r="O53">
        <v>0.09213088760026933</v>
      </c>
      <c r="P53" t="s">
        <v>617</v>
      </c>
      <c r="Q53" t="s">
        <v>316</v>
      </c>
      <c r="R53">
        <v>4</v>
      </c>
      <c r="S53">
        <v>0.2013493684017918</v>
      </c>
      <c r="T53">
        <v>223</v>
      </c>
      <c r="U53">
        <v>0.9875784753363228</v>
      </c>
      <c r="V53">
        <v>13.1529</v>
      </c>
      <c r="W53">
        <v>12.39</v>
      </c>
      <c r="X53">
        <v>2.4947186744982</v>
      </c>
      <c r="Y53">
        <v>-0.0107</v>
      </c>
      <c r="Z53">
        <v>0.06779661016949153</v>
      </c>
      <c r="AA53">
        <v>0.7611940298507462</v>
      </c>
      <c r="AB53">
        <v>0.7665562913907285</v>
      </c>
      <c r="AC53">
        <v>0.4337748344370861</v>
      </c>
      <c r="AD53">
        <v>0.4105960264900662</v>
      </c>
    </row>
    <row r="54" spans="1:30">
      <c r="A54" s="1" t="s">
        <v>61</v>
      </c>
      <c r="B54">
        <f>HYPERLINK("https://www.suredividend.com/sure-analysis-SWK/","Stanley Black &amp; Decker, Inc.")</f>
        <v>0</v>
      </c>
      <c r="C54">
        <v>107.84</v>
      </c>
      <c r="D54">
        <v>16621.05568</v>
      </c>
      <c r="E54" t="s">
        <v>642</v>
      </c>
      <c r="F54" t="s">
        <v>613</v>
      </c>
      <c r="G54" t="s">
        <v>653</v>
      </c>
      <c r="H54" t="s">
        <v>682</v>
      </c>
      <c r="I54" t="s">
        <v>739</v>
      </c>
      <c r="J54" t="s">
        <v>1278</v>
      </c>
      <c r="K54">
        <v>43951</v>
      </c>
      <c r="L54">
        <v>0.025315281899109</v>
      </c>
      <c r="M54">
        <v>-0.01107340027904191</v>
      </c>
      <c r="N54">
        <v>0.08</v>
      </c>
      <c r="O54">
        <v>0.09189333303305158</v>
      </c>
      <c r="P54" t="s">
        <v>617</v>
      </c>
      <c r="Q54" t="s">
        <v>618</v>
      </c>
      <c r="R54">
        <v>52</v>
      </c>
      <c r="S54">
        <v>0.4193548387096774</v>
      </c>
      <c r="T54">
        <v>102</v>
      </c>
      <c r="U54">
        <v>1.057254901960784</v>
      </c>
      <c r="V54">
        <v>6.1817</v>
      </c>
      <c r="W54">
        <v>6.51</v>
      </c>
      <c r="X54">
        <v>2.73</v>
      </c>
      <c r="Y54">
        <v>-0.2017</v>
      </c>
      <c r="Z54">
        <v>0.2949152542372881</v>
      </c>
      <c r="AA54">
        <v>0.5207296849087893</v>
      </c>
      <c r="AB54">
        <v>0.8038079470198676</v>
      </c>
      <c r="AC54">
        <v>0.3824503311258278</v>
      </c>
      <c r="AD54">
        <v>0.4056291390728476</v>
      </c>
    </row>
    <row r="55" spans="1:30">
      <c r="A55" s="1" t="s">
        <v>62</v>
      </c>
      <c r="B55">
        <f>HYPERLINK("https://www.suredividend.com/sure-analysis-ABM/","ABM Industries, Inc.")</f>
        <v>0</v>
      </c>
      <c r="C55">
        <v>31.57</v>
      </c>
      <c r="D55">
        <v>2103.54067</v>
      </c>
      <c r="E55" t="s">
        <v>643</v>
      </c>
      <c r="F55" t="s">
        <v>613</v>
      </c>
      <c r="G55" t="s">
        <v>653</v>
      </c>
      <c r="H55" t="s">
        <v>682</v>
      </c>
      <c r="I55" t="s">
        <v>740</v>
      </c>
      <c r="J55" t="s">
        <v>1278</v>
      </c>
      <c r="K55">
        <v>43907</v>
      </c>
      <c r="L55">
        <v>0.02296484003801</v>
      </c>
      <c r="M55">
        <v>0.02084238263338367</v>
      </c>
      <c r="N55">
        <v>0.05</v>
      </c>
      <c r="O55">
        <v>0.09066468984703691</v>
      </c>
      <c r="P55" t="s">
        <v>617</v>
      </c>
      <c r="Q55" t="s">
        <v>618</v>
      </c>
      <c r="R55">
        <v>52</v>
      </c>
      <c r="S55">
        <v>0.3625</v>
      </c>
      <c r="T55">
        <v>35</v>
      </c>
      <c r="U55">
        <v>0.902</v>
      </c>
      <c r="V55">
        <v>2.1348</v>
      </c>
      <c r="W55">
        <v>2</v>
      </c>
      <c r="X55">
        <v>0.725</v>
      </c>
      <c r="Y55">
        <v>-0.1694</v>
      </c>
      <c r="Z55">
        <v>0.2491525423728813</v>
      </c>
      <c r="AA55">
        <v>0.5671641791044776</v>
      </c>
      <c r="AB55">
        <v>0.4991721854304636</v>
      </c>
      <c r="AC55">
        <v>0.5447019867549669</v>
      </c>
      <c r="AD55">
        <v>0.3973509933774835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48.95</v>
      </c>
      <c r="D56">
        <v>14292.7147</v>
      </c>
      <c r="E56" t="s">
        <v>641</v>
      </c>
      <c r="F56" t="s">
        <v>613</v>
      </c>
      <c r="G56" t="s">
        <v>653</v>
      </c>
      <c r="H56" t="s">
        <v>682</v>
      </c>
      <c r="I56" t="s">
        <v>741</v>
      </c>
      <c r="J56" t="s">
        <v>1280</v>
      </c>
      <c r="K56">
        <v>43964</v>
      </c>
      <c r="L56">
        <v>0.039313585291113</v>
      </c>
      <c r="M56">
        <v>0.01602556263654509</v>
      </c>
      <c r="N56">
        <v>0.04</v>
      </c>
      <c r="O56">
        <v>0.0894849535250033</v>
      </c>
      <c r="P56" t="s">
        <v>617</v>
      </c>
      <c r="Q56" t="s">
        <v>617</v>
      </c>
      <c r="R56">
        <v>33</v>
      </c>
      <c r="S56">
        <v>0.3630943396226415</v>
      </c>
      <c r="T56">
        <v>53</v>
      </c>
      <c r="U56">
        <v>0.9235849056603774</v>
      </c>
      <c r="V56">
        <v>-14.0253</v>
      </c>
      <c r="W56">
        <v>5.3</v>
      </c>
      <c r="X56">
        <v>1.9244</v>
      </c>
      <c r="Y56">
        <v>0.06</v>
      </c>
      <c r="Z56">
        <v>0.4627118644067796</v>
      </c>
      <c r="AA56">
        <v>0.8175787728026533</v>
      </c>
      <c r="AB56">
        <v>0.3493377483443709</v>
      </c>
      <c r="AC56">
        <v>0.5182119205298013</v>
      </c>
      <c r="AD56">
        <v>0.3923841059602649</v>
      </c>
    </row>
    <row r="57" spans="1:30">
      <c r="A57" s="1" t="s">
        <v>64</v>
      </c>
      <c r="B57">
        <f>HYPERLINK("https://www.suredividend.com/sure-analysis-NVS/","Novartis AG")</f>
        <v>0</v>
      </c>
      <c r="C57">
        <v>84.02</v>
      </c>
      <c r="D57">
        <v>190305.608185</v>
      </c>
      <c r="E57" t="s">
        <v>642</v>
      </c>
      <c r="F57" t="s">
        <v>613</v>
      </c>
      <c r="G57" t="s">
        <v>655</v>
      </c>
      <c r="H57" t="s">
        <v>682</v>
      </c>
      <c r="I57" t="s">
        <v>742</v>
      </c>
      <c r="J57" t="s">
        <v>1280</v>
      </c>
      <c r="K57">
        <v>43951</v>
      </c>
      <c r="L57">
        <v>0.023884670316591</v>
      </c>
      <c r="M57">
        <v>0.0160889841593288</v>
      </c>
      <c r="N57">
        <v>0.04</v>
      </c>
      <c r="O57">
        <v>0.08804983122966004</v>
      </c>
      <c r="P57" t="s">
        <v>617</v>
      </c>
      <c r="Q57" t="s">
        <v>618</v>
      </c>
      <c r="R57">
        <v>24</v>
      </c>
      <c r="S57">
        <v>0.3514518388791594</v>
      </c>
      <c r="T57">
        <v>91</v>
      </c>
      <c r="U57">
        <v>0.9232967032967032</v>
      </c>
      <c r="V57">
        <v>5.1085</v>
      </c>
      <c r="W57">
        <v>5.71</v>
      </c>
      <c r="X57">
        <v>2.00679</v>
      </c>
      <c r="Y57">
        <v>0.0303</v>
      </c>
      <c r="Z57">
        <v>0.2677966101694915</v>
      </c>
      <c r="AA57">
        <v>0.7960199004975124</v>
      </c>
      <c r="AB57">
        <v>0.3493377483443709</v>
      </c>
      <c r="AC57">
        <v>0.5198675496688742</v>
      </c>
      <c r="AD57">
        <v>0.3841059602649007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180.27</v>
      </c>
      <c r="D58">
        <v>67570.24356</v>
      </c>
      <c r="E58" t="s">
        <v>642</v>
      </c>
      <c r="F58" t="s">
        <v>613</v>
      </c>
      <c r="G58" t="s">
        <v>653</v>
      </c>
      <c r="H58" t="s">
        <v>682</v>
      </c>
      <c r="I58" t="s">
        <v>743</v>
      </c>
      <c r="J58" t="s">
        <v>1280</v>
      </c>
      <c r="K58">
        <v>43953</v>
      </c>
      <c r="L58">
        <v>0.012148444000665</v>
      </c>
      <c r="M58">
        <v>-0.04129304188539751</v>
      </c>
      <c r="N58">
        <v>0.12</v>
      </c>
      <c r="O58">
        <v>0.08706856778099947</v>
      </c>
      <c r="P58" t="s">
        <v>617</v>
      </c>
      <c r="Q58" t="s">
        <v>375</v>
      </c>
      <c r="R58">
        <v>26</v>
      </c>
      <c r="S58">
        <v>0.3459715639810426</v>
      </c>
      <c r="T58">
        <v>146</v>
      </c>
      <c r="U58">
        <v>1.23472602739726</v>
      </c>
      <c r="V58">
        <v>5.7809</v>
      </c>
      <c r="W58">
        <v>6.33</v>
      </c>
      <c r="X58">
        <v>2.19</v>
      </c>
      <c r="Y58">
        <v>-0.0291</v>
      </c>
      <c r="Z58">
        <v>0.08135593220338982</v>
      </c>
      <c r="AA58">
        <v>0.7429519071310117</v>
      </c>
      <c r="AB58">
        <v>0.9321192052980132</v>
      </c>
      <c r="AC58">
        <v>0.2185430463576159</v>
      </c>
      <c r="AD58">
        <v>0.3758278145695364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52.94</v>
      </c>
      <c r="D59">
        <v>31630.3265</v>
      </c>
      <c r="E59" t="s">
        <v>649</v>
      </c>
      <c r="F59" t="s">
        <v>613</v>
      </c>
      <c r="G59" t="s">
        <v>653</v>
      </c>
      <c r="H59" t="s">
        <v>682</v>
      </c>
      <c r="I59" t="s">
        <v>744</v>
      </c>
      <c r="J59" t="s">
        <v>1278</v>
      </c>
      <c r="K59">
        <v>43965</v>
      </c>
      <c r="L59">
        <v>0.03740083112958</v>
      </c>
      <c r="M59">
        <v>0.003972840845607672</v>
      </c>
      <c r="N59">
        <v>0.05</v>
      </c>
      <c r="O59">
        <v>0.08569867143964061</v>
      </c>
      <c r="P59" t="s">
        <v>617</v>
      </c>
      <c r="Q59" t="s">
        <v>617</v>
      </c>
      <c r="R59">
        <v>63</v>
      </c>
      <c r="S59">
        <v>0.66</v>
      </c>
      <c r="T59">
        <v>54</v>
      </c>
      <c r="U59">
        <v>0.9803703703703703</v>
      </c>
      <c r="V59">
        <v>3.5356</v>
      </c>
      <c r="W59">
        <v>3</v>
      </c>
      <c r="X59">
        <v>1.98</v>
      </c>
      <c r="Y59">
        <v>-0.1924</v>
      </c>
      <c r="Z59">
        <v>0.4338983050847458</v>
      </c>
      <c r="AA59">
        <v>0.5373134328358209</v>
      </c>
      <c r="AB59">
        <v>0.4991721854304636</v>
      </c>
      <c r="AC59">
        <v>0.4470198675496689</v>
      </c>
      <c r="AD59">
        <v>0.369205298013245</v>
      </c>
    </row>
    <row r="60" spans="1:30">
      <c r="A60" s="1" t="s">
        <v>67</v>
      </c>
      <c r="B60">
        <f>HYPERLINK("https://www.suredividend.com/sure-analysis-MMM/","3M Co.")</f>
        <v>0</v>
      </c>
      <c r="C60">
        <v>138.69</v>
      </c>
      <c r="D60">
        <v>79773.93324</v>
      </c>
      <c r="E60" t="s">
        <v>642</v>
      </c>
      <c r="F60" t="s">
        <v>613</v>
      </c>
      <c r="G60" t="s">
        <v>653</v>
      </c>
      <c r="H60" t="s">
        <v>682</v>
      </c>
      <c r="I60" t="s">
        <v>745</v>
      </c>
      <c r="J60" t="s">
        <v>1278</v>
      </c>
      <c r="K60">
        <v>43949</v>
      </c>
      <c r="L60">
        <v>0.04174778282500501</v>
      </c>
      <c r="M60">
        <v>0.0004466410068941773</v>
      </c>
      <c r="N60">
        <v>0.05</v>
      </c>
      <c r="O60">
        <v>0.08506961545134972</v>
      </c>
      <c r="P60" t="s">
        <v>617</v>
      </c>
      <c r="Q60" t="s">
        <v>617</v>
      </c>
      <c r="R60">
        <v>62</v>
      </c>
      <c r="S60">
        <v>0.6868327402135231</v>
      </c>
      <c r="T60">
        <v>139</v>
      </c>
      <c r="U60">
        <v>0.9977697841726618</v>
      </c>
      <c r="V60">
        <v>8.6172</v>
      </c>
      <c r="W60">
        <v>8.43</v>
      </c>
      <c r="X60">
        <v>5.79</v>
      </c>
      <c r="Y60">
        <v>-0.2035</v>
      </c>
      <c r="Z60">
        <v>0.4864406779661017</v>
      </c>
      <c r="AA60">
        <v>0.5124378109452736</v>
      </c>
      <c r="AB60">
        <v>0.4991721854304636</v>
      </c>
      <c r="AC60">
        <v>0.4271523178807947</v>
      </c>
      <c r="AD60">
        <v>0.3592715231788079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84.94</v>
      </c>
      <c r="D61">
        <v>12226.85818</v>
      </c>
      <c r="E61" t="s">
        <v>642</v>
      </c>
      <c r="F61" t="s">
        <v>613</v>
      </c>
      <c r="G61" t="s">
        <v>653</v>
      </c>
      <c r="H61" t="s">
        <v>682</v>
      </c>
      <c r="I61" t="s">
        <v>746</v>
      </c>
      <c r="J61" t="s">
        <v>1278</v>
      </c>
      <c r="K61">
        <v>43944</v>
      </c>
      <c r="L61">
        <v>0.022957381681186</v>
      </c>
      <c r="M61">
        <v>-0.014394843604008</v>
      </c>
      <c r="N61">
        <v>0.08</v>
      </c>
      <c r="O61">
        <v>0.0845303407339788</v>
      </c>
      <c r="P61" t="s">
        <v>617</v>
      </c>
      <c r="Q61" t="s">
        <v>618</v>
      </c>
      <c r="R61">
        <v>64</v>
      </c>
      <c r="S61">
        <v>0.4012345679012346</v>
      </c>
      <c r="T61">
        <v>79</v>
      </c>
      <c r="U61">
        <v>1.075189873417721</v>
      </c>
      <c r="V61">
        <v>5.1614</v>
      </c>
      <c r="W61">
        <v>4.86</v>
      </c>
      <c r="X61">
        <v>1.95</v>
      </c>
      <c r="Y61">
        <v>-0.1172</v>
      </c>
      <c r="Z61">
        <v>0.2457627118644068</v>
      </c>
      <c r="AA61">
        <v>0.6575456053067994</v>
      </c>
      <c r="AB61">
        <v>0.8038079470198676</v>
      </c>
      <c r="AC61">
        <v>0.3592715231788079</v>
      </c>
      <c r="AD61">
        <v>0.3526490066225165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18.1</v>
      </c>
      <c r="D62">
        <v>89.33309300000001</v>
      </c>
      <c r="E62" t="s">
        <v>649</v>
      </c>
      <c r="F62" t="s">
        <v>613</v>
      </c>
      <c r="G62" t="s">
        <v>653</v>
      </c>
      <c r="H62" t="s">
        <v>684</v>
      </c>
      <c r="I62" t="s">
        <v>747</v>
      </c>
      <c r="J62" t="s">
        <v>1277</v>
      </c>
      <c r="K62">
        <v>43953</v>
      </c>
      <c r="L62">
        <v>0.027163719906767</v>
      </c>
      <c r="M62">
        <v>0.03979762515132412</v>
      </c>
      <c r="N62">
        <v>0.02</v>
      </c>
      <c r="O62">
        <v>0.08416030479300773</v>
      </c>
      <c r="P62" t="s">
        <v>617</v>
      </c>
      <c r="Q62" t="s">
        <v>618</v>
      </c>
      <c r="R62">
        <v>28</v>
      </c>
      <c r="S62">
        <v>0.2092184384308511</v>
      </c>
      <c r="T62">
        <v>22</v>
      </c>
      <c r="U62">
        <v>0.8227272727272728</v>
      </c>
      <c r="V62">
        <v>2.3917</v>
      </c>
      <c r="W62">
        <v>2.35</v>
      </c>
      <c r="X62">
        <v>0.4916633303125</v>
      </c>
      <c r="Y62">
        <v>-0.1743</v>
      </c>
      <c r="Z62">
        <v>0.3186440677966102</v>
      </c>
      <c r="AA62">
        <v>0.5621890547263682</v>
      </c>
      <c r="AB62">
        <v>0.1274834437086093</v>
      </c>
      <c r="AC62">
        <v>0.6291390728476821</v>
      </c>
      <c r="AD62">
        <v>0.3509933774834437</v>
      </c>
    </row>
    <row r="63" spans="1:30">
      <c r="A63" s="1" t="s">
        <v>70</v>
      </c>
      <c r="B63">
        <f>HYPERLINK("https://www.suredividend.com/sure-analysis-UNH/","UnitedHealth Group, Inc.")</f>
        <v>0</v>
      </c>
      <c r="C63">
        <v>290.96</v>
      </c>
      <c r="D63">
        <v>275940.6448</v>
      </c>
      <c r="E63" t="s">
        <v>649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43940</v>
      </c>
      <c r="L63">
        <v>0.014847401704701</v>
      </c>
      <c r="M63">
        <v>-0.01925945989031541</v>
      </c>
      <c r="N63">
        <v>0.09</v>
      </c>
      <c r="O63">
        <v>0.08391529600683989</v>
      </c>
      <c r="P63" t="s">
        <v>617</v>
      </c>
      <c r="Q63" t="s">
        <v>316</v>
      </c>
      <c r="R63">
        <v>11</v>
      </c>
      <c r="S63">
        <v>0.2618181818181818</v>
      </c>
      <c r="T63">
        <v>264</v>
      </c>
      <c r="U63">
        <v>1.102121212121212</v>
      </c>
      <c r="V63">
        <v>14.4934</v>
      </c>
      <c r="W63">
        <v>16.5</v>
      </c>
      <c r="X63">
        <v>4.32</v>
      </c>
      <c r="Y63">
        <v>0.2325</v>
      </c>
      <c r="Z63">
        <v>0.1084745762711864</v>
      </c>
      <c r="AA63">
        <v>0.9220563847429518</v>
      </c>
      <c r="AB63">
        <v>0.8600993377483444</v>
      </c>
      <c r="AC63">
        <v>0.3360927152317881</v>
      </c>
      <c r="AD63">
        <v>0.3493377483443709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85.75</v>
      </c>
      <c r="D64">
        <v>17441.80725</v>
      </c>
      <c r="E64" t="s">
        <v>641</v>
      </c>
      <c r="F64" t="s">
        <v>613</v>
      </c>
      <c r="G64" t="s">
        <v>653</v>
      </c>
      <c r="H64" t="s">
        <v>682</v>
      </c>
      <c r="I64" t="s">
        <v>749</v>
      </c>
      <c r="J64" t="s">
        <v>1280</v>
      </c>
      <c r="K64">
        <v>43964</v>
      </c>
      <c r="L64">
        <v>0.018892128279883</v>
      </c>
      <c r="M64">
        <v>0.009721668221540636</v>
      </c>
      <c r="N64">
        <v>0.05</v>
      </c>
      <c r="O64">
        <v>0.07865637550410276</v>
      </c>
      <c r="P64" t="s">
        <v>617</v>
      </c>
      <c r="Q64" t="s">
        <v>375</v>
      </c>
      <c r="R64">
        <v>16</v>
      </c>
      <c r="S64">
        <v>0.216</v>
      </c>
      <c r="T64">
        <v>90</v>
      </c>
      <c r="U64">
        <v>0.9527777777777777</v>
      </c>
      <c r="V64">
        <v>7.6643</v>
      </c>
      <c r="W64">
        <v>7.5</v>
      </c>
      <c r="X64">
        <v>1.62</v>
      </c>
      <c r="Y64">
        <v>0.1013</v>
      </c>
      <c r="Z64">
        <v>0.1711864406779661</v>
      </c>
      <c r="AA64">
        <v>0.8524046434494196</v>
      </c>
      <c r="AB64">
        <v>0.4991721854304636</v>
      </c>
      <c r="AC64">
        <v>0.4801324503311258</v>
      </c>
      <c r="AD64">
        <v>0.3261589403973509</v>
      </c>
    </row>
    <row r="65" spans="1:30">
      <c r="A65" s="1" t="s">
        <v>72</v>
      </c>
      <c r="B65">
        <f>HYPERLINK("https://www.suredividend.com/sure-analysis-DCI/","Donaldson Co., Inc.")</f>
        <v>0</v>
      </c>
      <c r="C65">
        <v>42.13</v>
      </c>
      <c r="D65">
        <v>5340.86223</v>
      </c>
      <c r="E65" t="s">
        <v>649</v>
      </c>
      <c r="F65" t="s">
        <v>613</v>
      </c>
      <c r="G65" t="s">
        <v>653</v>
      </c>
      <c r="H65" t="s">
        <v>682</v>
      </c>
      <c r="I65" t="s">
        <v>750</v>
      </c>
      <c r="J65" t="s">
        <v>1278</v>
      </c>
      <c r="K65">
        <v>43899</v>
      </c>
      <c r="L65">
        <v>0.019938286256824</v>
      </c>
      <c r="M65">
        <v>-0.0006179005622841682</v>
      </c>
      <c r="N65">
        <v>0.06</v>
      </c>
      <c r="O65">
        <v>0.07864742222815724</v>
      </c>
      <c r="P65" t="s">
        <v>617</v>
      </c>
      <c r="Q65" t="s">
        <v>375</v>
      </c>
      <c r="R65">
        <v>33</v>
      </c>
      <c r="S65">
        <v>0.4</v>
      </c>
      <c r="T65">
        <v>42</v>
      </c>
      <c r="U65">
        <v>1.003095238095238</v>
      </c>
      <c r="V65">
        <v>2.0586</v>
      </c>
      <c r="W65">
        <v>2.1</v>
      </c>
      <c r="X65">
        <v>0.84</v>
      </c>
      <c r="Y65">
        <v>-0.1634</v>
      </c>
      <c r="Z65">
        <v>0.1847457627118644</v>
      </c>
      <c r="AA65">
        <v>0.5837479270315091</v>
      </c>
      <c r="AB65">
        <v>0.6341059602649007</v>
      </c>
      <c r="AC65">
        <v>0.4205298013245033</v>
      </c>
      <c r="AD65">
        <v>0.3245033112582781</v>
      </c>
    </row>
    <row r="66" spans="1:30">
      <c r="A66" s="1" t="s">
        <v>73</v>
      </c>
      <c r="B66">
        <f>HYPERLINK("https://www.suredividend.com/sure-analysis-ATO/","Atmos Energy Corp.")</f>
        <v>0</v>
      </c>
      <c r="C66">
        <v>95.11</v>
      </c>
      <c r="D66">
        <v>11633.09432</v>
      </c>
      <c r="E66" t="s">
        <v>649</v>
      </c>
      <c r="F66" t="s">
        <v>613</v>
      </c>
      <c r="G66" t="s">
        <v>653</v>
      </c>
      <c r="H66" t="s">
        <v>682</v>
      </c>
      <c r="I66" t="s">
        <v>751</v>
      </c>
      <c r="J66" t="s">
        <v>1287</v>
      </c>
      <c r="K66">
        <v>43959</v>
      </c>
      <c r="L66">
        <v>0.023131111344758</v>
      </c>
      <c r="M66">
        <v>-0.01541934596444228</v>
      </c>
      <c r="N66">
        <v>0.07000000000000001</v>
      </c>
      <c r="O66">
        <v>0.07728284822677689</v>
      </c>
      <c r="P66" t="s">
        <v>617</v>
      </c>
      <c r="Q66" t="s">
        <v>618</v>
      </c>
      <c r="R66">
        <v>36</v>
      </c>
      <c r="S66">
        <v>0.4731182795698925</v>
      </c>
      <c r="T66">
        <v>88</v>
      </c>
      <c r="U66">
        <v>1.080795454545455</v>
      </c>
      <c r="V66">
        <v>4.5924</v>
      </c>
      <c r="W66">
        <v>4.65</v>
      </c>
      <c r="X66">
        <v>2.2</v>
      </c>
      <c r="Y66">
        <v>-0.05590000000000001</v>
      </c>
      <c r="Z66">
        <v>0.2542372881355932</v>
      </c>
      <c r="AA66">
        <v>0.7114427860696517</v>
      </c>
      <c r="AB66">
        <v>0.7259933774834437</v>
      </c>
      <c r="AC66">
        <v>0.3526490066225165</v>
      </c>
      <c r="AD66">
        <v>0.3195364238410596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62</v>
      </c>
      <c r="D67">
        <v>47458.892</v>
      </c>
      <c r="E67" t="s">
        <v>649</v>
      </c>
      <c r="F67" t="s">
        <v>613</v>
      </c>
      <c r="G67" t="s">
        <v>653</v>
      </c>
      <c r="H67" t="s">
        <v>683</v>
      </c>
      <c r="I67" t="s">
        <v>752</v>
      </c>
      <c r="J67" t="s">
        <v>1278</v>
      </c>
      <c r="K67">
        <v>43947</v>
      </c>
      <c r="L67">
        <v>0.015806451612903</v>
      </c>
      <c r="M67">
        <v>-0.03088160733176504</v>
      </c>
      <c r="N67">
        <v>0.09</v>
      </c>
      <c r="O67">
        <v>0.07432510820901883</v>
      </c>
      <c r="P67" t="s">
        <v>617</v>
      </c>
      <c r="Q67" t="s">
        <v>375</v>
      </c>
      <c r="R67">
        <v>16</v>
      </c>
      <c r="S67">
        <v>0.276056338028169</v>
      </c>
      <c r="T67">
        <v>53</v>
      </c>
      <c r="U67">
        <v>1.169811320754717</v>
      </c>
      <c r="V67">
        <v>4.1517</v>
      </c>
      <c r="W67">
        <v>3.55</v>
      </c>
      <c r="X67">
        <v>0.98</v>
      </c>
      <c r="Y67">
        <v>-0.1989</v>
      </c>
      <c r="Z67">
        <v>0.1152542372881356</v>
      </c>
      <c r="AA67">
        <v>0.5265339966832504</v>
      </c>
      <c r="AB67">
        <v>0.8600993377483444</v>
      </c>
      <c r="AC67">
        <v>0.2698675496688742</v>
      </c>
      <c r="AD67">
        <v>0.3096026490066225</v>
      </c>
    </row>
    <row r="68" spans="1:30">
      <c r="A68" s="1" t="s">
        <v>75</v>
      </c>
      <c r="B68">
        <f>HYPERLINK("https://www.suredividend.com/sure-analysis-MDT/","Medtronic Plc")</f>
        <v>0</v>
      </c>
      <c r="C68">
        <v>93.89</v>
      </c>
      <c r="D68">
        <v>125828.5613</v>
      </c>
      <c r="E68" t="s">
        <v>641</v>
      </c>
      <c r="F68" t="s">
        <v>613</v>
      </c>
      <c r="G68" t="s">
        <v>658</v>
      </c>
      <c r="H68" t="s">
        <v>682</v>
      </c>
      <c r="I68" t="s">
        <v>753</v>
      </c>
      <c r="J68" t="s">
        <v>1280</v>
      </c>
      <c r="K68">
        <v>43881</v>
      </c>
      <c r="L68">
        <v>0.022579614442432</v>
      </c>
      <c r="M68">
        <v>-0.00842713373836923</v>
      </c>
      <c r="N68">
        <v>0.06</v>
      </c>
      <c r="O68">
        <v>0.07370198120983673</v>
      </c>
      <c r="P68" t="s">
        <v>617</v>
      </c>
      <c r="Q68" t="s">
        <v>618</v>
      </c>
      <c r="R68">
        <v>42</v>
      </c>
      <c r="S68">
        <v>0.3758865248226951</v>
      </c>
      <c r="T68">
        <v>90</v>
      </c>
      <c r="U68">
        <v>1.043222222222222</v>
      </c>
      <c r="V68">
        <v>3.9603</v>
      </c>
      <c r="W68">
        <v>5.64</v>
      </c>
      <c r="X68">
        <v>2.12</v>
      </c>
      <c r="Y68">
        <v>0.06370000000000001</v>
      </c>
      <c r="Z68">
        <v>0.2305084745762712</v>
      </c>
      <c r="AA68">
        <v>0.8192371475953566</v>
      </c>
      <c r="AB68">
        <v>0.6341059602649007</v>
      </c>
      <c r="AC68">
        <v>0.3907284768211921</v>
      </c>
      <c r="AD68">
        <v>0.3029801324503311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120.94</v>
      </c>
      <c r="D69">
        <v>60449.31926</v>
      </c>
      <c r="E69" t="s">
        <v>649</v>
      </c>
      <c r="F69" t="s">
        <v>613</v>
      </c>
      <c r="G69" t="s">
        <v>653</v>
      </c>
      <c r="H69" t="s">
        <v>682</v>
      </c>
      <c r="I69" t="s">
        <v>754</v>
      </c>
      <c r="J69" t="s">
        <v>1285</v>
      </c>
      <c r="K69">
        <v>43898</v>
      </c>
      <c r="L69">
        <v>0.016371754589052</v>
      </c>
      <c r="M69">
        <v>-0.006602232863242019</v>
      </c>
      <c r="N69">
        <v>0.06</v>
      </c>
      <c r="O69">
        <v>0.07340294073290154</v>
      </c>
      <c r="P69" t="s">
        <v>617</v>
      </c>
      <c r="Q69" t="s">
        <v>618</v>
      </c>
      <c r="R69">
        <v>48</v>
      </c>
      <c r="S69">
        <v>0.2869565217391304</v>
      </c>
      <c r="T69">
        <v>117</v>
      </c>
      <c r="U69">
        <v>1.033675213675214</v>
      </c>
      <c r="V69">
        <v>6.4217</v>
      </c>
      <c r="W69">
        <v>6.9</v>
      </c>
      <c r="X69">
        <v>1.98</v>
      </c>
      <c r="Y69">
        <v>0.708</v>
      </c>
      <c r="Z69">
        <v>0.1288135593220339</v>
      </c>
      <c r="AA69">
        <v>0.9867330016583747</v>
      </c>
      <c r="AB69">
        <v>0.6341059602649007</v>
      </c>
      <c r="AC69">
        <v>0.4006622516556291</v>
      </c>
      <c r="AD69">
        <v>0.3013245033112583</v>
      </c>
    </row>
    <row r="70" spans="1:30">
      <c r="A70" s="1" t="s">
        <v>77</v>
      </c>
      <c r="B70">
        <f>HYPERLINK("https://www.suredividend.com/sure-analysis-AAP/","Advance Auto Parts, Inc.")</f>
        <v>0</v>
      </c>
      <c r="C70">
        <v>126.06</v>
      </c>
      <c r="D70">
        <v>8709.359340000001</v>
      </c>
      <c r="E70" t="s">
        <v>641</v>
      </c>
      <c r="F70" t="s">
        <v>613</v>
      </c>
      <c r="G70" t="s">
        <v>653</v>
      </c>
      <c r="H70" t="s">
        <v>682</v>
      </c>
      <c r="I70" t="s">
        <v>755</v>
      </c>
      <c r="J70" t="s">
        <v>1279</v>
      </c>
      <c r="K70">
        <v>43880</v>
      </c>
      <c r="L70">
        <v>0.001903855306996</v>
      </c>
      <c r="M70">
        <v>0.0152951722652348</v>
      </c>
      <c r="N70">
        <v>0.05</v>
      </c>
      <c r="O70">
        <v>0.07310588025528242</v>
      </c>
      <c r="P70" t="s">
        <v>617</v>
      </c>
      <c r="Q70" t="s">
        <v>316</v>
      </c>
      <c r="R70">
        <v>1</v>
      </c>
      <c r="S70">
        <v>0.02823529411764706</v>
      </c>
      <c r="T70">
        <v>136</v>
      </c>
      <c r="U70">
        <v>0.9269117647058823</v>
      </c>
      <c r="V70">
        <v>6.8668</v>
      </c>
      <c r="W70">
        <v>8.5</v>
      </c>
      <c r="X70">
        <v>0.24</v>
      </c>
      <c r="Y70">
        <v>-0.191</v>
      </c>
      <c r="Z70">
        <v>0.005084745762711864</v>
      </c>
      <c r="AA70">
        <v>0.5406301824212272</v>
      </c>
      <c r="AB70">
        <v>0.4991721854304636</v>
      </c>
      <c r="AC70">
        <v>0.5099337748344371</v>
      </c>
      <c r="AD70">
        <v>0.2963576158940397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27.07</v>
      </c>
      <c r="D71">
        <v>706.296905</v>
      </c>
      <c r="E71" t="s">
        <v>649</v>
      </c>
      <c r="F71" t="s">
        <v>613</v>
      </c>
      <c r="G71" t="s">
        <v>653</v>
      </c>
      <c r="H71" t="s">
        <v>682</v>
      </c>
      <c r="I71" t="s">
        <v>756</v>
      </c>
      <c r="J71" t="s">
        <v>1278</v>
      </c>
      <c r="K71">
        <v>43963</v>
      </c>
      <c r="L71">
        <v>0.020687107499076</v>
      </c>
      <c r="M71">
        <v>-0.02378697655247886</v>
      </c>
      <c r="N71">
        <v>0.08</v>
      </c>
      <c r="O71">
        <v>0.07242765864329193</v>
      </c>
      <c r="P71" t="s">
        <v>617</v>
      </c>
      <c r="Q71" t="s">
        <v>618</v>
      </c>
      <c r="R71">
        <v>47</v>
      </c>
      <c r="S71">
        <v>0.5090909090909091</v>
      </c>
      <c r="T71">
        <v>24</v>
      </c>
      <c r="U71">
        <v>1.127916666666667</v>
      </c>
      <c r="V71">
        <v>1.3055</v>
      </c>
      <c r="W71">
        <v>1.1</v>
      </c>
      <c r="X71">
        <v>0.5600000000000001</v>
      </c>
      <c r="Y71">
        <v>-0.1676</v>
      </c>
      <c r="Z71">
        <v>0.1983050847457627</v>
      </c>
      <c r="AA71">
        <v>0.5704809286898839</v>
      </c>
      <c r="AB71">
        <v>0.8038079470198676</v>
      </c>
      <c r="AC71">
        <v>0.3096026490066225</v>
      </c>
      <c r="AD71">
        <v>0.293046357615894</v>
      </c>
    </row>
    <row r="72" spans="1:30">
      <c r="A72" s="1" t="s">
        <v>79</v>
      </c>
      <c r="B72">
        <f>HYPERLINK("https://www.suredividend.com/sure-analysis-ALB/","Albemarle Corp.")</f>
        <v>0</v>
      </c>
      <c r="C72">
        <v>61.35</v>
      </c>
      <c r="D72">
        <v>6522.67065</v>
      </c>
      <c r="E72" t="s">
        <v>642</v>
      </c>
      <c r="F72" t="s">
        <v>613</v>
      </c>
      <c r="G72" t="s">
        <v>653</v>
      </c>
      <c r="H72" t="s">
        <v>682</v>
      </c>
      <c r="I72" t="s">
        <v>757</v>
      </c>
      <c r="J72" t="s">
        <v>1283</v>
      </c>
      <c r="K72">
        <v>43961</v>
      </c>
      <c r="L72">
        <v>0.024246128769356</v>
      </c>
      <c r="M72">
        <v>-0.03252944680456904</v>
      </c>
      <c r="N72">
        <v>0.08</v>
      </c>
      <c r="O72">
        <v>0.06918441975514811</v>
      </c>
      <c r="P72" t="s">
        <v>617</v>
      </c>
      <c r="Q72" t="s">
        <v>618</v>
      </c>
      <c r="R72">
        <v>25</v>
      </c>
      <c r="S72">
        <v>0.3451276102088168</v>
      </c>
      <c r="T72">
        <v>52</v>
      </c>
      <c r="U72">
        <v>1.179807692307692</v>
      </c>
      <c r="V72">
        <v>4.7798</v>
      </c>
      <c r="W72">
        <v>4.31</v>
      </c>
      <c r="X72">
        <v>1.4875</v>
      </c>
      <c r="Y72">
        <v>-0.1183</v>
      </c>
      <c r="Z72">
        <v>0.2796610169491525</v>
      </c>
      <c r="AA72">
        <v>0.6533996683250415</v>
      </c>
      <c r="AB72">
        <v>0.8038079470198676</v>
      </c>
      <c r="AC72">
        <v>0.2649006622516556</v>
      </c>
      <c r="AD72">
        <v>0.2847682119205298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113.51</v>
      </c>
      <c r="D73">
        <v>25829.08699</v>
      </c>
      <c r="E73" t="s">
        <v>641</v>
      </c>
      <c r="F73" t="s">
        <v>613</v>
      </c>
      <c r="G73" t="s">
        <v>653</v>
      </c>
      <c r="H73" t="s">
        <v>683</v>
      </c>
      <c r="I73" t="s">
        <v>758</v>
      </c>
      <c r="J73" t="s">
        <v>1277</v>
      </c>
      <c r="K73">
        <v>43951</v>
      </c>
      <c r="L73">
        <v>0.028015152849969</v>
      </c>
      <c r="M73">
        <v>-0.008075825195412611</v>
      </c>
      <c r="N73">
        <v>0.05</v>
      </c>
      <c r="O73">
        <v>0.06870077116307827</v>
      </c>
      <c r="P73" t="s">
        <v>617</v>
      </c>
      <c r="Q73" t="s">
        <v>618</v>
      </c>
      <c r="R73">
        <v>34</v>
      </c>
      <c r="S73">
        <v>0.4386206896551724</v>
      </c>
      <c r="T73">
        <v>109</v>
      </c>
      <c r="U73">
        <v>1.041376146788991</v>
      </c>
      <c r="V73">
        <v>8.1348</v>
      </c>
      <c r="W73">
        <v>7.25</v>
      </c>
      <c r="X73">
        <v>3.18</v>
      </c>
      <c r="Y73">
        <v>0.09190000000000001</v>
      </c>
      <c r="Z73">
        <v>0.3288135593220339</v>
      </c>
      <c r="AA73">
        <v>0.8441127694859039</v>
      </c>
      <c r="AB73">
        <v>0.4991721854304636</v>
      </c>
      <c r="AC73">
        <v>0.3923841059602649</v>
      </c>
      <c r="AD73">
        <v>0.2798013245033112</v>
      </c>
    </row>
    <row r="74" spans="1:30">
      <c r="A74" s="1" t="s">
        <v>81</v>
      </c>
      <c r="B74">
        <f>HYPERLINK("https://www.suredividend.com/sure-analysis-DPZ/","Domino's Pizza, Inc.")</f>
        <v>0</v>
      </c>
      <c r="C74">
        <v>376.04</v>
      </c>
      <c r="D74">
        <v>14711.159739</v>
      </c>
      <c r="E74" t="s">
        <v>644</v>
      </c>
      <c r="F74" t="s">
        <v>613</v>
      </c>
      <c r="G74" t="s">
        <v>653</v>
      </c>
      <c r="H74" t="s">
        <v>682</v>
      </c>
      <c r="I74" t="s">
        <v>759</v>
      </c>
      <c r="J74" t="s">
        <v>1279</v>
      </c>
      <c r="K74">
        <v>43945</v>
      </c>
      <c r="L74">
        <v>0.007259865971705</v>
      </c>
      <c r="M74">
        <v>-0.05526397072827116</v>
      </c>
      <c r="N74">
        <v>0.12</v>
      </c>
      <c r="O74">
        <v>0.0676272579567565</v>
      </c>
      <c r="P74" t="s">
        <v>617</v>
      </c>
      <c r="Q74" t="s">
        <v>316</v>
      </c>
      <c r="R74">
        <v>7</v>
      </c>
      <c r="S74">
        <v>0.2373913043478261</v>
      </c>
      <c r="T74">
        <v>283</v>
      </c>
      <c r="U74">
        <v>1.328763250883392</v>
      </c>
      <c r="V74">
        <v>10.7072</v>
      </c>
      <c r="W74">
        <v>11.5</v>
      </c>
      <c r="X74">
        <v>2.73</v>
      </c>
      <c r="Y74">
        <v>0.3592</v>
      </c>
      <c r="Z74">
        <v>0.02542372881355932</v>
      </c>
      <c r="AA74">
        <v>0.9535655058043118</v>
      </c>
      <c r="AB74">
        <v>0.9321192052980132</v>
      </c>
      <c r="AC74">
        <v>0.1754966887417218</v>
      </c>
      <c r="AD74">
        <v>0.2764900662251655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278.79</v>
      </c>
      <c r="D75">
        <v>14906.315841</v>
      </c>
      <c r="E75" t="s">
        <v>646</v>
      </c>
      <c r="F75" t="s">
        <v>613</v>
      </c>
      <c r="G75" t="s">
        <v>653</v>
      </c>
      <c r="H75" t="s">
        <v>682</v>
      </c>
      <c r="I75" t="s">
        <v>760</v>
      </c>
      <c r="J75" t="s">
        <v>1278</v>
      </c>
      <c r="K75">
        <v>43963</v>
      </c>
      <c r="L75">
        <v>0.020660712364145</v>
      </c>
      <c r="M75">
        <v>-0.02951950783026003</v>
      </c>
      <c r="N75">
        <v>0.08</v>
      </c>
      <c r="O75">
        <v>0.06676856649920948</v>
      </c>
      <c r="P75" t="s">
        <v>617</v>
      </c>
      <c r="Q75" t="s">
        <v>618</v>
      </c>
      <c r="R75">
        <v>48</v>
      </c>
      <c r="S75">
        <v>0.36</v>
      </c>
      <c r="T75">
        <v>240</v>
      </c>
      <c r="U75">
        <v>1.161625</v>
      </c>
      <c r="V75">
        <v>14.1622</v>
      </c>
      <c r="W75">
        <v>16</v>
      </c>
      <c r="X75">
        <v>5.76</v>
      </c>
      <c r="Y75">
        <v>0.0649</v>
      </c>
      <c r="Z75">
        <v>0.1966101694915254</v>
      </c>
      <c r="AA75">
        <v>0.8242122719734659</v>
      </c>
      <c r="AB75">
        <v>0.8038079470198676</v>
      </c>
      <c r="AC75">
        <v>0.2847682119205298</v>
      </c>
      <c r="AD75">
        <v>0.2698675496688742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258.25</v>
      </c>
      <c r="D76">
        <v>73208.45174999999</v>
      </c>
      <c r="E76" t="s">
        <v>642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43963</v>
      </c>
      <c r="L76">
        <v>0.012081316553727</v>
      </c>
      <c r="M76">
        <v>-0.04327746624359297</v>
      </c>
      <c r="N76">
        <v>0.1</v>
      </c>
      <c r="O76">
        <v>0.06546560375210708</v>
      </c>
      <c r="P76" t="s">
        <v>617</v>
      </c>
      <c r="Q76" t="s">
        <v>375</v>
      </c>
      <c r="R76">
        <v>48</v>
      </c>
      <c r="S76">
        <v>0.2775800711743772</v>
      </c>
      <c r="T76">
        <v>207</v>
      </c>
      <c r="U76">
        <v>1.247584541062802</v>
      </c>
      <c r="V76">
        <v>3.3583</v>
      </c>
      <c r="W76">
        <v>11.24</v>
      </c>
      <c r="X76">
        <v>3.12</v>
      </c>
      <c r="Y76">
        <v>0.1457</v>
      </c>
      <c r="Z76">
        <v>0.07966101694915255</v>
      </c>
      <c r="AA76">
        <v>0.8772802653399668</v>
      </c>
      <c r="AB76">
        <v>0.8981788079470199</v>
      </c>
      <c r="AC76">
        <v>0.2152317880794702</v>
      </c>
      <c r="AD76">
        <v>0.2615894039735099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37</v>
      </c>
      <c r="D77">
        <v>10485.948</v>
      </c>
      <c r="E77" t="s">
        <v>649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0.009054054054054001</v>
      </c>
      <c r="M77">
        <v>-0.02262226109633303</v>
      </c>
      <c r="N77">
        <v>0.08</v>
      </c>
      <c r="O77">
        <v>0.06501732622995138</v>
      </c>
      <c r="P77" t="s">
        <v>617</v>
      </c>
      <c r="Q77" t="s">
        <v>375</v>
      </c>
      <c r="R77">
        <v>26</v>
      </c>
      <c r="S77">
        <v>0.2203947368421053</v>
      </c>
      <c r="T77">
        <v>33</v>
      </c>
      <c r="U77">
        <v>1.121212121212121</v>
      </c>
      <c r="V77">
        <v>1.5491</v>
      </c>
      <c r="W77">
        <v>1.52</v>
      </c>
      <c r="X77">
        <v>0.335</v>
      </c>
      <c r="Y77">
        <v>0.1665</v>
      </c>
      <c r="Z77">
        <v>0.04915254237288136</v>
      </c>
      <c r="AA77">
        <v>0.8922056384742951</v>
      </c>
      <c r="AB77">
        <v>0.8038079470198676</v>
      </c>
      <c r="AC77">
        <v>0.3162251655629139</v>
      </c>
      <c r="AD77">
        <v>0.2599337748344371</v>
      </c>
    </row>
    <row r="78" spans="1:30">
      <c r="A78" s="1" t="s">
        <v>85</v>
      </c>
      <c r="B78">
        <f>HYPERLINK("https://www.suredividend.com/sure-analysis-LOW/","Lowe's Cos., Inc.")</f>
        <v>0</v>
      </c>
      <c r="C78">
        <v>113.78</v>
      </c>
      <c r="D78">
        <v>85898.09722</v>
      </c>
      <c r="E78" t="s">
        <v>647</v>
      </c>
      <c r="F78" t="s">
        <v>613</v>
      </c>
      <c r="G78" t="s">
        <v>653</v>
      </c>
      <c r="H78" t="s">
        <v>682</v>
      </c>
      <c r="I78" t="s">
        <v>763</v>
      </c>
      <c r="J78" t="s">
        <v>1279</v>
      </c>
      <c r="K78">
        <v>43922</v>
      </c>
      <c r="L78">
        <v>0.018720337493408</v>
      </c>
      <c r="M78">
        <v>-0.01406567395405756</v>
      </c>
      <c r="N78">
        <v>0.06</v>
      </c>
      <c r="O78">
        <v>0.06445292776074196</v>
      </c>
      <c r="P78" t="s">
        <v>617</v>
      </c>
      <c r="Q78" t="s">
        <v>618</v>
      </c>
      <c r="R78">
        <v>57</v>
      </c>
      <c r="S78">
        <v>0.3408</v>
      </c>
      <c r="T78">
        <v>106</v>
      </c>
      <c r="U78">
        <v>1.073396226415094</v>
      </c>
      <c r="V78">
        <v>5.4746</v>
      </c>
      <c r="W78">
        <v>6.25</v>
      </c>
      <c r="X78">
        <v>2.13</v>
      </c>
      <c r="Y78">
        <v>0.0572</v>
      </c>
      <c r="Z78">
        <v>0.1694915254237288</v>
      </c>
      <c r="AA78">
        <v>0.8159203980099502</v>
      </c>
      <c r="AB78">
        <v>0.6341059602649007</v>
      </c>
      <c r="AC78">
        <v>0.3609271523178808</v>
      </c>
      <c r="AD78">
        <v>0.2566225165562914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138.64</v>
      </c>
      <c r="D79">
        <v>47213.43608</v>
      </c>
      <c r="E79" t="s">
        <v>649</v>
      </c>
      <c r="F79" t="s">
        <v>613</v>
      </c>
      <c r="G79" t="s">
        <v>653</v>
      </c>
      <c r="H79" t="s">
        <v>682</v>
      </c>
      <c r="I79" t="s">
        <v>764</v>
      </c>
      <c r="J79" t="s">
        <v>1285</v>
      </c>
      <c r="K79">
        <v>43945</v>
      </c>
      <c r="L79">
        <v>0.03000577034045</v>
      </c>
      <c r="M79">
        <v>-0.006785046013133567</v>
      </c>
      <c r="N79">
        <v>0.04</v>
      </c>
      <c r="O79">
        <v>0.06177632481895756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1.034626865671642</v>
      </c>
      <c r="V79">
        <v>6.8949</v>
      </c>
      <c r="W79">
        <v>7.45</v>
      </c>
      <c r="X79">
        <v>4.16</v>
      </c>
      <c r="Y79">
        <v>0.0775</v>
      </c>
      <c r="Z79">
        <v>0.3474576271186441</v>
      </c>
      <c r="AA79">
        <v>0.8341625207296849</v>
      </c>
      <c r="AB79">
        <v>0.3493377483443709</v>
      </c>
      <c r="AC79">
        <v>0.3990066225165563</v>
      </c>
      <c r="AD79">
        <v>0.2516556291390729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45.53</v>
      </c>
      <c r="D80">
        <v>2101.856026</v>
      </c>
      <c r="E80" t="s">
        <v>644</v>
      </c>
      <c r="F80" t="s">
        <v>613</v>
      </c>
      <c r="G80" t="s">
        <v>653</v>
      </c>
      <c r="H80" t="s">
        <v>683</v>
      </c>
      <c r="I80" t="s">
        <v>765</v>
      </c>
      <c r="J80" t="s">
        <v>1278</v>
      </c>
      <c r="K80">
        <v>43956</v>
      </c>
      <c r="L80">
        <v>0.012958488908412</v>
      </c>
      <c r="M80">
        <v>-0.06809752404918168</v>
      </c>
      <c r="N80">
        <v>0.12</v>
      </c>
      <c r="O80">
        <v>0.05739212812366179</v>
      </c>
      <c r="P80" t="s">
        <v>617</v>
      </c>
      <c r="Q80" t="s">
        <v>375</v>
      </c>
      <c r="R80">
        <v>28</v>
      </c>
      <c r="S80">
        <v>0.3470588235294118</v>
      </c>
      <c r="T80">
        <v>32</v>
      </c>
      <c r="U80">
        <v>1.4228125</v>
      </c>
      <c r="V80">
        <v>2.0807</v>
      </c>
      <c r="W80">
        <v>1.7</v>
      </c>
      <c r="X80">
        <v>0.59</v>
      </c>
      <c r="Y80">
        <v>-0.016</v>
      </c>
      <c r="Z80">
        <v>0.08644067796610169</v>
      </c>
      <c r="AA80">
        <v>0.7545605306799337</v>
      </c>
      <c r="AB80">
        <v>0.9321192052980132</v>
      </c>
      <c r="AC80">
        <v>0.1324503311258278</v>
      </c>
      <c r="AD80">
        <v>0.2301324503311258</v>
      </c>
    </row>
    <row r="81" spans="1:30">
      <c r="A81" s="1" t="s">
        <v>88</v>
      </c>
      <c r="B81">
        <f>HYPERLINK("https://www.suredividend.com/sure-analysis-SJW/","SJW Group")</f>
        <v>0</v>
      </c>
      <c r="C81">
        <v>53.45</v>
      </c>
      <c r="D81">
        <v>1523.72053</v>
      </c>
      <c r="E81" t="s">
        <v>642</v>
      </c>
      <c r="F81" t="s">
        <v>613</v>
      </c>
      <c r="G81" t="s">
        <v>653</v>
      </c>
      <c r="H81" t="s">
        <v>682</v>
      </c>
      <c r="I81" t="s">
        <v>766</v>
      </c>
      <c r="J81" t="s">
        <v>1287</v>
      </c>
      <c r="K81">
        <v>43956</v>
      </c>
      <c r="L81">
        <v>0.022825070159027</v>
      </c>
      <c r="M81">
        <v>-0.0381640766492799</v>
      </c>
      <c r="N81">
        <v>0.076</v>
      </c>
      <c r="O81">
        <v>0.05635085078522395</v>
      </c>
      <c r="P81" t="s">
        <v>617</v>
      </c>
      <c r="Q81" t="s">
        <v>618</v>
      </c>
      <c r="R81">
        <v>54</v>
      </c>
      <c r="S81">
        <v>0.61</v>
      </c>
      <c r="T81">
        <v>44</v>
      </c>
      <c r="U81">
        <v>1.214772727272727</v>
      </c>
      <c r="V81">
        <v>0.7012</v>
      </c>
      <c r="W81">
        <v>2</v>
      </c>
      <c r="X81">
        <v>1.22</v>
      </c>
      <c r="Y81">
        <v>-0.1354</v>
      </c>
      <c r="Z81">
        <v>0.2423728813559322</v>
      </c>
      <c r="AA81">
        <v>0.6301824212271974</v>
      </c>
      <c r="AB81">
        <v>0.7731788079470199</v>
      </c>
      <c r="AC81">
        <v>0.2384105960264901</v>
      </c>
      <c r="AD81">
        <v>0.2251655629139073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303.14</v>
      </c>
      <c r="D82">
        <v>73026.42600000001</v>
      </c>
      <c r="E82" t="s">
        <v>649</v>
      </c>
      <c r="F82" t="s">
        <v>613</v>
      </c>
      <c r="G82" t="s">
        <v>653</v>
      </c>
      <c r="H82" t="s">
        <v>682</v>
      </c>
      <c r="I82" t="s">
        <v>767</v>
      </c>
      <c r="J82" t="s">
        <v>1277</v>
      </c>
      <c r="K82">
        <v>43950</v>
      </c>
      <c r="L82">
        <v>0.007851157880847</v>
      </c>
      <c r="M82">
        <v>-0.04563698813740535</v>
      </c>
      <c r="N82">
        <v>0.09</v>
      </c>
      <c r="O82">
        <v>0.05077961463316294</v>
      </c>
      <c r="P82" t="s">
        <v>617</v>
      </c>
      <c r="Q82" t="s">
        <v>375</v>
      </c>
      <c r="R82">
        <v>47</v>
      </c>
      <c r="S82">
        <v>0.238</v>
      </c>
      <c r="T82">
        <v>240</v>
      </c>
      <c r="U82">
        <v>1.263083333333333</v>
      </c>
      <c r="V82">
        <v>9.6302</v>
      </c>
      <c r="W82">
        <v>10</v>
      </c>
      <c r="X82">
        <v>2.38</v>
      </c>
      <c r="Y82">
        <v>0.4318</v>
      </c>
      <c r="Z82">
        <v>0.03050847457627118</v>
      </c>
      <c r="AA82">
        <v>0.9734660033167496</v>
      </c>
      <c r="AB82">
        <v>0.8600993377483444</v>
      </c>
      <c r="AC82">
        <v>0.2019867549668874</v>
      </c>
      <c r="AD82">
        <v>0.2135761589403974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73.59999999999999</v>
      </c>
      <c r="D83">
        <v>18097.7248</v>
      </c>
      <c r="E83" t="s">
        <v>649</v>
      </c>
      <c r="F83" t="s">
        <v>613</v>
      </c>
      <c r="G83" t="s">
        <v>653</v>
      </c>
      <c r="H83" t="s">
        <v>682</v>
      </c>
      <c r="I83" t="s">
        <v>768</v>
      </c>
      <c r="J83" t="s">
        <v>1285</v>
      </c>
      <c r="K83">
        <v>43964</v>
      </c>
      <c r="L83">
        <v>0.012533967391304</v>
      </c>
      <c r="M83">
        <v>-0.03372047970081959</v>
      </c>
      <c r="N83">
        <v>0.07000000000000001</v>
      </c>
      <c r="O83">
        <v>0.04762130935737341</v>
      </c>
      <c r="P83" t="s">
        <v>617</v>
      </c>
      <c r="Q83" t="s">
        <v>375</v>
      </c>
      <c r="R83">
        <v>24</v>
      </c>
      <c r="S83">
        <v>0.3416666666666667</v>
      </c>
      <c r="T83">
        <v>62</v>
      </c>
      <c r="U83">
        <v>1.187096774193548</v>
      </c>
      <c r="V83">
        <v>2.7238</v>
      </c>
      <c r="W83">
        <v>2.7</v>
      </c>
      <c r="X83">
        <v>0.9225000000000001</v>
      </c>
      <c r="Y83">
        <v>-0.0001</v>
      </c>
      <c r="Z83">
        <v>0.08474576271186442</v>
      </c>
      <c r="AA83">
        <v>0.7711442786069652</v>
      </c>
      <c r="AB83">
        <v>0.7259933774834437</v>
      </c>
      <c r="AC83">
        <v>0.2582781456953642</v>
      </c>
      <c r="AD83">
        <v>0.1986754966887417</v>
      </c>
    </row>
    <row r="84" spans="1:30">
      <c r="A84" s="1" t="s">
        <v>91</v>
      </c>
      <c r="B84">
        <f>HYPERLINK("https://www.suredividend.com/sure-analysis-THFF/","First Financial Corp. (Indiana)")</f>
        <v>0</v>
      </c>
      <c r="C84">
        <v>31.33</v>
      </c>
      <c r="D84">
        <v>429.675285</v>
      </c>
      <c r="E84" t="s">
        <v>649</v>
      </c>
      <c r="F84" t="s">
        <v>613</v>
      </c>
      <c r="G84" t="s">
        <v>653</v>
      </c>
      <c r="H84" t="s">
        <v>683</v>
      </c>
      <c r="I84" t="s">
        <v>769</v>
      </c>
      <c r="J84" t="s">
        <v>1277</v>
      </c>
      <c r="K84">
        <v>43960</v>
      </c>
      <c r="L84">
        <v>0.033195020746887</v>
      </c>
      <c r="M84">
        <v>0.004240926953423818</v>
      </c>
      <c r="N84">
        <v>0.01</v>
      </c>
      <c r="O84">
        <v>0.04561497974950002</v>
      </c>
      <c r="P84" t="s">
        <v>617</v>
      </c>
      <c r="Q84" t="s">
        <v>617</v>
      </c>
      <c r="R84">
        <v>31</v>
      </c>
      <c r="S84">
        <v>0.3586206896551725</v>
      </c>
      <c r="T84">
        <v>32</v>
      </c>
      <c r="U84">
        <v>0.9790624999999999</v>
      </c>
      <c r="V84">
        <v>3.8884</v>
      </c>
      <c r="W84">
        <v>2.9</v>
      </c>
      <c r="X84">
        <v>1.04</v>
      </c>
      <c r="Y84">
        <v>-0.1989</v>
      </c>
      <c r="Z84">
        <v>0.3949152542372882</v>
      </c>
      <c r="AA84">
        <v>0.5265339966832504</v>
      </c>
      <c r="AB84">
        <v>0.05960264900662252</v>
      </c>
      <c r="AC84">
        <v>0.4536423841059603</v>
      </c>
      <c r="AD84">
        <v>0.1920529801324503</v>
      </c>
    </row>
    <row r="85" spans="1:30">
      <c r="A85" s="1" t="s">
        <v>92</v>
      </c>
      <c r="B85">
        <f>HYPERLINK("https://www.suredividend.com/sure-analysis-JNJ/","Johnson &amp; Johnson")</f>
        <v>0</v>
      </c>
      <c r="C85">
        <v>150.44</v>
      </c>
      <c r="D85">
        <v>396347.7196</v>
      </c>
      <c r="E85" t="s">
        <v>642</v>
      </c>
      <c r="F85" t="s">
        <v>613</v>
      </c>
      <c r="G85" t="s">
        <v>653</v>
      </c>
      <c r="H85" t="s">
        <v>682</v>
      </c>
      <c r="I85" t="s">
        <v>770</v>
      </c>
      <c r="J85" t="s">
        <v>1280</v>
      </c>
      <c r="K85">
        <v>43936</v>
      </c>
      <c r="L85">
        <v>0.025259239563945</v>
      </c>
      <c r="M85">
        <v>-0.04104263012685894</v>
      </c>
      <c r="N85">
        <v>0.06</v>
      </c>
      <c r="O85">
        <v>0.0449310145675974</v>
      </c>
      <c r="P85" t="s">
        <v>617</v>
      </c>
      <c r="Q85" t="s">
        <v>618</v>
      </c>
      <c r="R85">
        <v>58</v>
      </c>
      <c r="S85">
        <v>0.4935064935064934</v>
      </c>
      <c r="T85">
        <v>122</v>
      </c>
      <c r="U85">
        <v>1.233114754098361</v>
      </c>
      <c r="V85">
        <v>6.503</v>
      </c>
      <c r="W85">
        <v>7.7</v>
      </c>
      <c r="X85">
        <v>3.8</v>
      </c>
      <c r="Y85">
        <v>0.0988</v>
      </c>
      <c r="Z85">
        <v>0.2915254237288136</v>
      </c>
      <c r="AA85">
        <v>0.8507462686567164</v>
      </c>
      <c r="AB85">
        <v>0.6341059602649007</v>
      </c>
      <c r="AC85">
        <v>0.2218543046357616</v>
      </c>
      <c r="AD85">
        <v>0.1837748344370861</v>
      </c>
    </row>
    <row r="86" spans="1:30">
      <c r="A86" s="1" t="s">
        <v>93</v>
      </c>
      <c r="B86">
        <f>HYPERLINK("https://www.suredividend.com/sure-analysis-MSA/","MSA Safety, Inc.")</f>
        <v>0</v>
      </c>
      <c r="C86">
        <v>114.84</v>
      </c>
      <c r="D86">
        <v>4461.59142</v>
      </c>
      <c r="E86" t="s">
        <v>641</v>
      </c>
      <c r="F86" t="s">
        <v>613</v>
      </c>
      <c r="G86" t="s">
        <v>653</v>
      </c>
      <c r="H86" t="s">
        <v>682</v>
      </c>
      <c r="I86" t="s">
        <v>771</v>
      </c>
      <c r="J86" t="s">
        <v>1278</v>
      </c>
      <c r="K86">
        <v>43958</v>
      </c>
      <c r="L86">
        <v>0.014629049111807</v>
      </c>
      <c r="M86">
        <v>-0.03925765240033119</v>
      </c>
      <c r="N86">
        <v>0.07000000000000001</v>
      </c>
      <c r="O86">
        <v>0.04452403289649665</v>
      </c>
      <c r="P86" t="s">
        <v>617</v>
      </c>
      <c r="Q86" t="s">
        <v>375</v>
      </c>
      <c r="R86">
        <v>48</v>
      </c>
      <c r="S86">
        <v>0.3574468085106383</v>
      </c>
      <c r="T86">
        <v>94</v>
      </c>
      <c r="U86">
        <v>1.221702127659575</v>
      </c>
      <c r="V86">
        <v>4.0452</v>
      </c>
      <c r="W86">
        <v>4.7</v>
      </c>
      <c r="X86">
        <v>1.68</v>
      </c>
      <c r="Y86">
        <v>0.0944</v>
      </c>
      <c r="Z86">
        <v>0.1050847457627119</v>
      </c>
      <c r="AA86">
        <v>0.8474295190713101</v>
      </c>
      <c r="AB86">
        <v>0.7259933774834437</v>
      </c>
      <c r="AC86">
        <v>0.2334437086092715</v>
      </c>
      <c r="AD86">
        <v>0.1821192052980133</v>
      </c>
    </row>
    <row r="87" spans="1:30">
      <c r="A87" s="1" t="s">
        <v>94</v>
      </c>
      <c r="B87">
        <f>HYPERLINK("https://www.suredividend.com/sure-analysis-DG/","Dollar General Corp.")</f>
        <v>0</v>
      </c>
      <c r="C87">
        <v>182.02</v>
      </c>
      <c r="D87">
        <v>45780.7603</v>
      </c>
      <c r="E87" t="s">
        <v>645</v>
      </c>
      <c r="F87" t="s">
        <v>613</v>
      </c>
      <c r="G87" t="s">
        <v>653</v>
      </c>
      <c r="H87" t="s">
        <v>682</v>
      </c>
      <c r="I87" t="s">
        <v>772</v>
      </c>
      <c r="J87" t="s">
        <v>1285</v>
      </c>
      <c r="K87">
        <v>43909</v>
      </c>
      <c r="L87">
        <v>0.007032194264366001</v>
      </c>
      <c r="M87">
        <v>-0.05941697275608793</v>
      </c>
      <c r="N87">
        <v>0.1</v>
      </c>
      <c r="O87">
        <v>0.04324346754325292</v>
      </c>
      <c r="P87" t="s">
        <v>617</v>
      </c>
      <c r="Q87" t="s">
        <v>316</v>
      </c>
      <c r="R87">
        <v>4</v>
      </c>
      <c r="S87">
        <v>0.1722745625841184</v>
      </c>
      <c r="T87">
        <v>134</v>
      </c>
      <c r="U87">
        <v>1.358358208955224</v>
      </c>
      <c r="V87">
        <v>6.6834</v>
      </c>
      <c r="W87">
        <v>7.43</v>
      </c>
      <c r="X87">
        <v>1.28</v>
      </c>
      <c r="Y87">
        <v>0.542</v>
      </c>
      <c r="Z87">
        <v>0.02033898305084746</v>
      </c>
      <c r="AA87">
        <v>0.9834162520729685</v>
      </c>
      <c r="AB87">
        <v>0.8981788079470199</v>
      </c>
      <c r="AC87">
        <v>0.1622516556291391</v>
      </c>
      <c r="AD87">
        <v>0.1788079470198675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71.51000000000001</v>
      </c>
      <c r="D88">
        <v>11901.12326</v>
      </c>
      <c r="E88" t="s">
        <v>648</v>
      </c>
      <c r="F88" t="s">
        <v>613</v>
      </c>
      <c r="G88" t="s">
        <v>653</v>
      </c>
      <c r="H88" t="s">
        <v>683</v>
      </c>
      <c r="I88" t="s">
        <v>773</v>
      </c>
      <c r="J88" t="s">
        <v>1278</v>
      </c>
      <c r="K88">
        <v>43886</v>
      </c>
      <c r="L88">
        <v>0.013984058173682</v>
      </c>
      <c r="M88">
        <v>-0.02194643776949445</v>
      </c>
      <c r="N88">
        <v>0.05</v>
      </c>
      <c r="O88">
        <v>0.04311702544568652</v>
      </c>
      <c r="P88" t="s">
        <v>617</v>
      </c>
      <c r="Q88" t="s">
        <v>375</v>
      </c>
      <c r="R88">
        <v>25</v>
      </c>
      <c r="S88">
        <v>0.2801120448179272</v>
      </c>
      <c r="T88">
        <v>64</v>
      </c>
      <c r="U88">
        <v>1.11734375</v>
      </c>
      <c r="V88">
        <v>3.367</v>
      </c>
      <c r="W88">
        <v>3.57</v>
      </c>
      <c r="X88">
        <v>1</v>
      </c>
      <c r="Y88">
        <v>-0.0248</v>
      </c>
      <c r="Z88">
        <v>0.1016949152542373</v>
      </c>
      <c r="AA88">
        <v>0.747927031509121</v>
      </c>
      <c r="AB88">
        <v>0.4991721854304636</v>
      </c>
      <c r="AC88">
        <v>0.3228476821192053</v>
      </c>
      <c r="AD88">
        <v>0.1771523178807947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114.61</v>
      </c>
      <c r="D89">
        <v>283733.1004</v>
      </c>
      <c r="E89" t="s">
        <v>646</v>
      </c>
      <c r="F89" t="s">
        <v>613</v>
      </c>
      <c r="G89" t="s">
        <v>653</v>
      </c>
      <c r="H89" t="s">
        <v>682</v>
      </c>
      <c r="I89" t="s">
        <v>774</v>
      </c>
      <c r="J89" t="s">
        <v>1285</v>
      </c>
      <c r="K89">
        <v>43950</v>
      </c>
      <c r="L89">
        <v>0.026032632405549</v>
      </c>
      <c r="M89">
        <v>-0.03481682191582658</v>
      </c>
      <c r="N89">
        <v>0.05</v>
      </c>
      <c r="O89">
        <v>0.04019932689869954</v>
      </c>
      <c r="P89" t="s">
        <v>617</v>
      </c>
      <c r="Q89" t="s">
        <v>618</v>
      </c>
      <c r="R89">
        <v>63</v>
      </c>
      <c r="S89">
        <v>0.6190041493775933</v>
      </c>
      <c r="T89">
        <v>96</v>
      </c>
      <c r="U89">
        <v>1.193854166666667</v>
      </c>
      <c r="V89">
        <v>1.911</v>
      </c>
      <c r="W89">
        <v>4.82</v>
      </c>
      <c r="X89">
        <v>2.9836</v>
      </c>
      <c r="Y89">
        <v>0.0741</v>
      </c>
      <c r="Z89">
        <v>0.3050847457627119</v>
      </c>
      <c r="AA89">
        <v>0.8325041459369819</v>
      </c>
      <c r="AB89">
        <v>0.4991721854304636</v>
      </c>
      <c r="AC89">
        <v>0.2533112582781457</v>
      </c>
      <c r="AD89">
        <v>0.1705298013245033</v>
      </c>
    </row>
    <row r="90" spans="1:30">
      <c r="A90" s="1" t="s">
        <v>97</v>
      </c>
      <c r="B90">
        <f>HYPERLINK("https://www.suredividend.com/sure-analysis-KR/","The Kroger Co.")</f>
        <v>0</v>
      </c>
      <c r="C90">
        <v>32.51</v>
      </c>
      <c r="D90">
        <v>25558.97188</v>
      </c>
      <c r="E90" t="s">
        <v>641</v>
      </c>
      <c r="F90" t="s">
        <v>613</v>
      </c>
      <c r="G90" t="s">
        <v>653</v>
      </c>
      <c r="H90" t="s">
        <v>682</v>
      </c>
      <c r="I90" t="s">
        <v>775</v>
      </c>
      <c r="J90" t="s">
        <v>1285</v>
      </c>
      <c r="K90">
        <v>43896</v>
      </c>
      <c r="L90">
        <v>0.019071055059981</v>
      </c>
      <c r="M90">
        <v>-0.0294269850391462</v>
      </c>
      <c r="N90">
        <v>0.05</v>
      </c>
      <c r="O90">
        <v>0.03949821667319386</v>
      </c>
      <c r="P90" t="s">
        <v>617</v>
      </c>
      <c r="Q90" t="s">
        <v>375</v>
      </c>
      <c r="R90">
        <v>13</v>
      </c>
      <c r="S90">
        <v>0.2638297872340425</v>
      </c>
      <c r="T90">
        <v>28</v>
      </c>
      <c r="U90">
        <v>1.161071428571429</v>
      </c>
      <c r="V90">
        <v>2.0719</v>
      </c>
      <c r="W90">
        <v>2.35</v>
      </c>
      <c r="X90">
        <v>0.62</v>
      </c>
      <c r="Y90">
        <v>0.2896</v>
      </c>
      <c r="Z90">
        <v>0.1745762711864407</v>
      </c>
      <c r="AA90">
        <v>0.9436152570480928</v>
      </c>
      <c r="AB90">
        <v>0.4991721854304636</v>
      </c>
      <c r="AC90">
        <v>0.2864238410596027</v>
      </c>
      <c r="AD90">
        <v>0.1639072847682119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89.89</v>
      </c>
      <c r="D91">
        <v>159001.9265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1280</v>
      </c>
      <c r="K91">
        <v>43937</v>
      </c>
      <c r="L91">
        <v>0.015129602847925</v>
      </c>
      <c r="M91">
        <v>-0.04341355356561105</v>
      </c>
      <c r="N91">
        <v>0.06</v>
      </c>
      <c r="O91">
        <v>0.03154829311819962</v>
      </c>
      <c r="P91" t="s">
        <v>617</v>
      </c>
      <c r="Q91" t="s">
        <v>375</v>
      </c>
      <c r="R91">
        <v>48</v>
      </c>
      <c r="S91">
        <v>0.3777777777777777</v>
      </c>
      <c r="T91">
        <v>72</v>
      </c>
      <c r="U91">
        <v>1.248472222222222</v>
      </c>
      <c r="V91">
        <v>2.018</v>
      </c>
      <c r="W91">
        <v>3.6</v>
      </c>
      <c r="X91">
        <v>1.36</v>
      </c>
      <c r="Y91">
        <v>0.1749</v>
      </c>
      <c r="Z91">
        <v>0.1101694915254237</v>
      </c>
      <c r="AA91">
        <v>0.8971807628524047</v>
      </c>
      <c r="AB91">
        <v>0.6341059602649007</v>
      </c>
      <c r="AC91">
        <v>0.2135761589403974</v>
      </c>
      <c r="AD91">
        <v>0.1407284768211921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33.43</v>
      </c>
      <c r="D92">
        <v>2233.351324</v>
      </c>
      <c r="E92" t="s">
        <v>645</v>
      </c>
      <c r="F92" t="s">
        <v>613</v>
      </c>
      <c r="G92" t="s">
        <v>653</v>
      </c>
      <c r="H92" t="s">
        <v>682</v>
      </c>
      <c r="I92" t="s">
        <v>777</v>
      </c>
      <c r="J92" t="s">
        <v>1285</v>
      </c>
      <c r="K92">
        <v>43922</v>
      </c>
      <c r="L92">
        <v>0.010379119920288</v>
      </c>
      <c r="M92">
        <v>-0.0149799662549055</v>
      </c>
      <c r="N92">
        <v>0.03</v>
      </c>
      <c r="O92">
        <v>0.02453627883452025</v>
      </c>
      <c r="P92" t="s">
        <v>617</v>
      </c>
      <c r="Q92" t="s">
        <v>375</v>
      </c>
      <c r="R92">
        <v>52</v>
      </c>
      <c r="S92">
        <v>0.3401705675835882</v>
      </c>
      <c r="T92">
        <v>31</v>
      </c>
      <c r="U92">
        <v>1.078387096774194</v>
      </c>
      <c r="V92">
        <v>1.0109</v>
      </c>
      <c r="W92">
        <v>1.02</v>
      </c>
      <c r="X92">
        <v>0.34697397893526</v>
      </c>
      <c r="Y92">
        <v>-0.1272</v>
      </c>
      <c r="Z92">
        <v>0.06101694915254237</v>
      </c>
      <c r="AA92">
        <v>0.6401326699834162</v>
      </c>
      <c r="AB92">
        <v>0.2144039735099338</v>
      </c>
      <c r="AC92">
        <v>0.3576158940397351</v>
      </c>
      <c r="AD92">
        <v>0.1208609271523179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66.70999999999999</v>
      </c>
      <c r="D93">
        <v>8638.34461</v>
      </c>
      <c r="E93" t="s">
        <v>642</v>
      </c>
      <c r="F93" t="s">
        <v>613</v>
      </c>
      <c r="G93" t="s">
        <v>653</v>
      </c>
      <c r="H93" t="s">
        <v>682</v>
      </c>
      <c r="I93" t="s">
        <v>778</v>
      </c>
      <c r="J93" t="s">
        <v>1283</v>
      </c>
      <c r="K93">
        <v>43929</v>
      </c>
      <c r="L93">
        <v>0.021286163993404</v>
      </c>
      <c r="M93">
        <v>-0.0486014600592225</v>
      </c>
      <c r="N93">
        <v>0.05</v>
      </c>
      <c r="O93">
        <v>0.02295813140643244</v>
      </c>
      <c r="P93" t="s">
        <v>617</v>
      </c>
      <c r="Q93" t="s">
        <v>618</v>
      </c>
      <c r="R93">
        <v>46</v>
      </c>
      <c r="S93">
        <v>0.4355828220858896</v>
      </c>
      <c r="T93">
        <v>52</v>
      </c>
      <c r="U93">
        <v>1.282884615384615</v>
      </c>
      <c r="V93">
        <v>2.5357</v>
      </c>
      <c r="W93">
        <v>3.26</v>
      </c>
      <c r="X93">
        <v>1.42</v>
      </c>
      <c r="Y93">
        <v>0.1809</v>
      </c>
      <c r="Z93">
        <v>0.2101694915254237</v>
      </c>
      <c r="AA93">
        <v>0.9054726368159204</v>
      </c>
      <c r="AB93">
        <v>0.4991721854304636</v>
      </c>
      <c r="AC93">
        <v>0.195364238410596</v>
      </c>
      <c r="AD93">
        <v>0.1175496688741722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251.31</v>
      </c>
      <c r="D94">
        <v>47120.625</v>
      </c>
      <c r="E94" t="s">
        <v>649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0.00819704747125</v>
      </c>
      <c r="M94">
        <v>-0.06456730111686149</v>
      </c>
      <c r="N94">
        <v>0.08</v>
      </c>
      <c r="O94">
        <v>0.02182080379975782</v>
      </c>
      <c r="P94" t="s">
        <v>617</v>
      </c>
      <c r="Q94" t="s">
        <v>316</v>
      </c>
      <c r="R94">
        <v>11</v>
      </c>
      <c r="S94">
        <v>0.251219512195122</v>
      </c>
      <c r="T94">
        <v>180</v>
      </c>
      <c r="U94">
        <v>1.396166666666667</v>
      </c>
      <c r="V94">
        <v>8.156599999999999</v>
      </c>
      <c r="W94">
        <v>8.199999999999999</v>
      </c>
      <c r="X94">
        <v>2.06</v>
      </c>
      <c r="Y94">
        <v>0.3464</v>
      </c>
      <c r="Z94">
        <v>0.03389830508474576</v>
      </c>
      <c r="AA94">
        <v>0.9502487562189055</v>
      </c>
      <c r="AB94">
        <v>0.8038079470198676</v>
      </c>
      <c r="AC94">
        <v>0.1473509933774834</v>
      </c>
      <c r="AD94">
        <v>0.1125827814569536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68.95</v>
      </c>
      <c r="D95">
        <v>59057.6056</v>
      </c>
      <c r="E95" t="s">
        <v>649</v>
      </c>
      <c r="F95" t="s">
        <v>613</v>
      </c>
      <c r="G95" t="s">
        <v>653</v>
      </c>
      <c r="H95" t="s">
        <v>682</v>
      </c>
      <c r="I95" t="s">
        <v>780</v>
      </c>
      <c r="J95" t="s">
        <v>1285</v>
      </c>
      <c r="K95">
        <v>43957</v>
      </c>
      <c r="L95">
        <v>0.025090645395213</v>
      </c>
      <c r="M95">
        <v>-0.04770413654687455</v>
      </c>
      <c r="N95">
        <v>0.04</v>
      </c>
      <c r="O95">
        <v>0.01944950652475574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1.276851851851852</v>
      </c>
      <c r="V95">
        <v>2.9381</v>
      </c>
      <c r="W95">
        <v>2.85</v>
      </c>
      <c r="X95">
        <v>1.73</v>
      </c>
      <c r="Y95">
        <v>-0.0335</v>
      </c>
      <c r="Z95">
        <v>0.288135593220339</v>
      </c>
      <c r="AA95">
        <v>0.736318407960199</v>
      </c>
      <c r="AB95">
        <v>0.3493377483443709</v>
      </c>
      <c r="AC95">
        <v>0.1970198675496689</v>
      </c>
      <c r="AD95">
        <v>0.1059602649006623</v>
      </c>
    </row>
    <row r="96" spans="1:30">
      <c r="A96" s="1" t="s">
        <v>103</v>
      </c>
      <c r="B96">
        <f>HYPERLINK("https://www.suredividend.com/sure-analysis-ATR/","AptarGroup, Inc.")</f>
        <v>0</v>
      </c>
      <c r="C96">
        <v>101.5</v>
      </c>
      <c r="D96">
        <v>6514.9602</v>
      </c>
      <c r="E96" t="s">
        <v>648</v>
      </c>
      <c r="F96" t="s">
        <v>613</v>
      </c>
      <c r="G96" t="s">
        <v>653</v>
      </c>
      <c r="H96" t="s">
        <v>682</v>
      </c>
      <c r="I96" t="s">
        <v>781</v>
      </c>
      <c r="J96" t="s">
        <v>1279</v>
      </c>
      <c r="K96">
        <v>43901</v>
      </c>
      <c r="L96">
        <v>0.014187192118226</v>
      </c>
      <c r="M96">
        <v>-0.05375208278399646</v>
      </c>
      <c r="N96">
        <v>0.06</v>
      </c>
      <c r="O96">
        <v>0.01879568557604094</v>
      </c>
      <c r="P96" t="s">
        <v>617</v>
      </c>
      <c r="Q96" t="s">
        <v>375</v>
      </c>
      <c r="R96">
        <v>26</v>
      </c>
      <c r="S96">
        <v>0.374025974025974</v>
      </c>
      <c r="T96">
        <v>77</v>
      </c>
      <c r="U96">
        <v>1.318181818181818</v>
      </c>
      <c r="V96">
        <v>3.6746</v>
      </c>
      <c r="W96">
        <v>3.85</v>
      </c>
      <c r="X96">
        <v>1.44</v>
      </c>
      <c r="Y96">
        <v>-0.1037</v>
      </c>
      <c r="Z96">
        <v>0.1033898305084746</v>
      </c>
      <c r="AA96">
        <v>0.6716417910447761</v>
      </c>
      <c r="AB96">
        <v>0.6341059602649007</v>
      </c>
      <c r="AC96">
        <v>0.1804635761589404</v>
      </c>
      <c r="AD96">
        <v>0.1026490066225166</v>
      </c>
    </row>
    <row r="97" spans="1:30">
      <c r="A97" s="1" t="s">
        <v>104</v>
      </c>
      <c r="B97">
        <f>HYPERLINK("https://www.suredividend.com/sure-analysis-NWN/","Northwest Natural Holding Co.")</f>
        <v>0</v>
      </c>
      <c r="C97">
        <v>59.23</v>
      </c>
      <c r="D97">
        <v>1808.23267</v>
      </c>
      <c r="E97" t="s">
        <v>646</v>
      </c>
      <c r="F97" t="s">
        <v>613</v>
      </c>
      <c r="G97" t="s">
        <v>653</v>
      </c>
      <c r="H97" t="s">
        <v>682</v>
      </c>
      <c r="I97" t="s">
        <v>782</v>
      </c>
      <c r="J97" t="s">
        <v>1287</v>
      </c>
      <c r="K97">
        <v>43937</v>
      </c>
      <c r="L97">
        <v>0.032204963700827</v>
      </c>
      <c r="M97">
        <v>-0.04520260583498192</v>
      </c>
      <c r="N97">
        <v>0.029</v>
      </c>
      <c r="O97">
        <v>0.01704034375719843</v>
      </c>
      <c r="P97" t="s">
        <v>617</v>
      </c>
      <c r="Q97" t="s">
        <v>618</v>
      </c>
      <c r="R97">
        <v>64</v>
      </c>
      <c r="S97">
        <v>0.8117021276595745</v>
      </c>
      <c r="T97">
        <v>47</v>
      </c>
      <c r="U97">
        <v>1.260212765957447</v>
      </c>
      <c r="V97">
        <v>2.1674</v>
      </c>
      <c r="W97">
        <v>2.35</v>
      </c>
      <c r="X97">
        <v>1.9075</v>
      </c>
      <c r="Y97">
        <v>-0.1437</v>
      </c>
      <c r="Z97">
        <v>0.3813559322033898</v>
      </c>
      <c r="AA97">
        <v>0.6160862354892206</v>
      </c>
      <c r="AB97">
        <v>0.173841059602649</v>
      </c>
      <c r="AC97">
        <v>0.206953642384106</v>
      </c>
      <c r="AD97">
        <v>0.09437086092715231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145.44</v>
      </c>
      <c r="D98">
        <v>4001.49072</v>
      </c>
      <c r="E98" t="s">
        <v>649</v>
      </c>
      <c r="F98" t="s">
        <v>613</v>
      </c>
      <c r="G98" t="s">
        <v>653</v>
      </c>
      <c r="H98" t="s">
        <v>683</v>
      </c>
      <c r="I98" t="s">
        <v>783</v>
      </c>
      <c r="J98" t="s">
        <v>1285</v>
      </c>
      <c r="K98">
        <v>43963</v>
      </c>
      <c r="L98">
        <v>0.018564356435643</v>
      </c>
      <c r="M98">
        <v>-0.04422685284909356</v>
      </c>
      <c r="N98">
        <v>0.04</v>
      </c>
      <c r="O98">
        <v>0.01588828475076931</v>
      </c>
      <c r="P98" t="s">
        <v>617</v>
      </c>
      <c r="Q98" t="s">
        <v>618</v>
      </c>
      <c r="R98">
        <v>57</v>
      </c>
      <c r="S98">
        <v>0.5142857142857143</v>
      </c>
      <c r="T98">
        <v>116</v>
      </c>
      <c r="U98">
        <v>1.253793103448276</v>
      </c>
      <c r="V98">
        <v>5.0784</v>
      </c>
      <c r="W98">
        <v>5.25</v>
      </c>
      <c r="X98">
        <v>2.7</v>
      </c>
      <c r="Y98">
        <v>-0.0256</v>
      </c>
      <c r="Z98">
        <v>0.1627118644067796</v>
      </c>
      <c r="AA98">
        <v>0.746268656716418</v>
      </c>
      <c r="AB98">
        <v>0.3493377483443709</v>
      </c>
      <c r="AC98">
        <v>0.2086092715231788</v>
      </c>
      <c r="AD98">
        <v>0.09271523178807946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46.35</v>
      </c>
      <c r="D99">
        <v>1286.7687</v>
      </c>
      <c r="E99" t="s">
        <v>644</v>
      </c>
      <c r="F99" t="s">
        <v>613</v>
      </c>
      <c r="G99" t="s">
        <v>653</v>
      </c>
      <c r="H99" t="s">
        <v>684</v>
      </c>
      <c r="I99" t="s">
        <v>784</v>
      </c>
      <c r="J99" t="s">
        <v>1286</v>
      </c>
      <c r="K99">
        <v>43840</v>
      </c>
      <c r="L99">
        <v>0.016828478964401</v>
      </c>
      <c r="M99">
        <v>-0.07141845522726509</v>
      </c>
      <c r="N99">
        <v>0.07000000000000001</v>
      </c>
      <c r="O99">
        <v>0.01482661766296345</v>
      </c>
      <c r="P99" t="s">
        <v>617</v>
      </c>
      <c r="Q99" t="s">
        <v>618</v>
      </c>
      <c r="R99">
        <v>48</v>
      </c>
      <c r="S99">
        <v>0.4105263157894737</v>
      </c>
      <c r="T99">
        <v>32</v>
      </c>
      <c r="U99">
        <v>1.4484375</v>
      </c>
      <c r="V99">
        <v>1.9089</v>
      </c>
      <c r="W99">
        <v>1.9</v>
      </c>
      <c r="X99">
        <v>0.78</v>
      </c>
      <c r="Y99">
        <v>0.2197</v>
      </c>
      <c r="Z99">
        <v>0.1389830508474576</v>
      </c>
      <c r="AA99">
        <v>0.9170812603648425</v>
      </c>
      <c r="AB99">
        <v>0.7259933774834437</v>
      </c>
      <c r="AC99">
        <v>0.119205298013245</v>
      </c>
      <c r="AD99">
        <v>0.09105960264900663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299.21</v>
      </c>
      <c r="D100">
        <v>132125.1518</v>
      </c>
      <c r="E100" t="s">
        <v>649</v>
      </c>
      <c r="F100" t="s">
        <v>613</v>
      </c>
      <c r="G100" t="s">
        <v>653</v>
      </c>
      <c r="H100" t="s">
        <v>683</v>
      </c>
      <c r="I100" t="s">
        <v>785</v>
      </c>
      <c r="J100" t="s">
        <v>1285</v>
      </c>
      <c r="K100">
        <v>43910</v>
      </c>
      <c r="L100">
        <v>0.008689549146084</v>
      </c>
      <c r="M100">
        <v>-0.06835890294286662</v>
      </c>
      <c r="N100">
        <v>0.075</v>
      </c>
      <c r="O100">
        <v>0.01285963013576774</v>
      </c>
      <c r="P100" t="s">
        <v>617</v>
      </c>
      <c r="Q100" t="s">
        <v>316</v>
      </c>
      <c r="R100">
        <v>16</v>
      </c>
      <c r="S100">
        <v>0.2971428571428572</v>
      </c>
      <c r="T100">
        <v>210</v>
      </c>
      <c r="U100">
        <v>1.424809523809524</v>
      </c>
      <c r="V100">
        <v>8.571300000000001</v>
      </c>
      <c r="W100">
        <v>8.75</v>
      </c>
      <c r="X100">
        <v>2.6</v>
      </c>
      <c r="Y100">
        <v>0.2229</v>
      </c>
      <c r="Z100">
        <v>0.04406779661016949</v>
      </c>
      <c r="AA100">
        <v>0.9203980099502488</v>
      </c>
      <c r="AB100">
        <v>0.7665562913907285</v>
      </c>
      <c r="AC100">
        <v>0.130794701986755</v>
      </c>
      <c r="AD100">
        <v>0.08774834437086092</v>
      </c>
    </row>
    <row r="101" spans="1:30">
      <c r="A101" s="1" t="s">
        <v>108</v>
      </c>
      <c r="B101">
        <f>HYPERLINK("https://www.suredividend.com/sure-analysis-SHW/","The Sherwin-Williams Co.")</f>
        <v>0</v>
      </c>
      <c r="C101">
        <v>568.38</v>
      </c>
      <c r="D101">
        <v>51608.904</v>
      </c>
      <c r="E101" t="s">
        <v>641</v>
      </c>
      <c r="F101" t="s">
        <v>613</v>
      </c>
      <c r="G101" t="s">
        <v>653</v>
      </c>
      <c r="H101" t="s">
        <v>682</v>
      </c>
      <c r="I101" t="s">
        <v>786</v>
      </c>
      <c r="J101" t="s">
        <v>1283</v>
      </c>
      <c r="K101">
        <v>43951</v>
      </c>
      <c r="L101">
        <v>0.008321897322214</v>
      </c>
      <c r="M101">
        <v>-0.06785335513816571</v>
      </c>
      <c r="N101">
        <v>0.07000000000000001</v>
      </c>
      <c r="O101">
        <v>0.009886242692378033</v>
      </c>
      <c r="P101" t="s">
        <v>617</v>
      </c>
      <c r="Q101" t="s">
        <v>375</v>
      </c>
      <c r="R101">
        <v>42</v>
      </c>
      <c r="S101">
        <v>0.2365</v>
      </c>
      <c r="T101">
        <v>400</v>
      </c>
      <c r="U101">
        <v>1.42095</v>
      </c>
      <c r="V101">
        <v>17.6542</v>
      </c>
      <c r="W101">
        <v>20</v>
      </c>
      <c r="X101">
        <v>4.73</v>
      </c>
      <c r="Y101">
        <v>0.319</v>
      </c>
      <c r="Z101">
        <v>0.04067796610169491</v>
      </c>
      <c r="AA101">
        <v>0.9485903814262023</v>
      </c>
      <c r="AB101">
        <v>0.7259933774834437</v>
      </c>
      <c r="AC101">
        <v>0.1341059602649007</v>
      </c>
      <c r="AD101">
        <v>0.08609271523178809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59.74</v>
      </c>
      <c r="D102">
        <v>2148.752216</v>
      </c>
      <c r="E102" t="s">
        <v>646</v>
      </c>
      <c r="F102" t="s">
        <v>613</v>
      </c>
      <c r="G102" t="s">
        <v>653</v>
      </c>
      <c r="H102" t="s">
        <v>683</v>
      </c>
      <c r="I102" t="s">
        <v>787</v>
      </c>
      <c r="J102" t="s">
        <v>1287</v>
      </c>
      <c r="K102">
        <v>43921</v>
      </c>
      <c r="L102">
        <v>0.023351188483428</v>
      </c>
      <c r="M102">
        <v>-0.05509214540103657</v>
      </c>
      <c r="N102">
        <v>0.038</v>
      </c>
      <c r="O102">
        <v>0.00705517897423813</v>
      </c>
      <c r="P102" t="s">
        <v>617</v>
      </c>
      <c r="Q102" t="s">
        <v>618</v>
      </c>
      <c r="R102">
        <v>43</v>
      </c>
      <c r="S102">
        <v>0.5535714285714286</v>
      </c>
      <c r="T102">
        <v>45</v>
      </c>
      <c r="U102">
        <v>1.327555555555556</v>
      </c>
      <c r="V102">
        <v>2.5644</v>
      </c>
      <c r="W102">
        <v>2.52</v>
      </c>
      <c r="X102">
        <v>1.395</v>
      </c>
      <c r="Y102">
        <v>-0.1375</v>
      </c>
      <c r="Z102">
        <v>0.2627118644067796</v>
      </c>
      <c r="AA102">
        <v>0.6235489220563847</v>
      </c>
      <c r="AB102">
        <v>0.2880794701986755</v>
      </c>
      <c r="AC102">
        <v>0.1771523178807947</v>
      </c>
      <c r="AD102">
        <v>0.07947019867549669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307.71</v>
      </c>
      <c r="D103">
        <v>1333719.7614</v>
      </c>
      <c r="E103" t="s">
        <v>641</v>
      </c>
      <c r="F103" t="s">
        <v>613</v>
      </c>
      <c r="G103" t="s">
        <v>653</v>
      </c>
      <c r="H103" t="s">
        <v>683</v>
      </c>
      <c r="I103" t="s">
        <v>788</v>
      </c>
      <c r="J103" t="s">
        <v>1286</v>
      </c>
      <c r="K103">
        <v>43958</v>
      </c>
      <c r="L103">
        <v>0.010009424458093</v>
      </c>
      <c r="M103">
        <v>-0.0825599877069888</v>
      </c>
      <c r="N103">
        <v>0.08</v>
      </c>
      <c r="O103">
        <v>0.00447001777626066</v>
      </c>
      <c r="P103" t="s">
        <v>617</v>
      </c>
      <c r="Q103" t="s">
        <v>316</v>
      </c>
      <c r="R103">
        <v>8</v>
      </c>
      <c r="S103">
        <v>0.2464</v>
      </c>
      <c r="T103">
        <v>200</v>
      </c>
      <c r="U103">
        <v>1.53855</v>
      </c>
      <c r="V103">
        <v>12.8615</v>
      </c>
      <c r="W103">
        <v>12.5</v>
      </c>
      <c r="X103">
        <v>3.08</v>
      </c>
      <c r="Y103">
        <v>0.6117</v>
      </c>
      <c r="Z103">
        <v>0.05593220338983051</v>
      </c>
      <c r="AA103">
        <v>0.9850746268656717</v>
      </c>
      <c r="AB103">
        <v>0.8038079470198676</v>
      </c>
      <c r="AC103">
        <v>0.09271523178807946</v>
      </c>
      <c r="AD103">
        <v>0.0728476821192053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162.47</v>
      </c>
      <c r="D104">
        <v>9400.189259999999</v>
      </c>
      <c r="E104" t="s">
        <v>641</v>
      </c>
      <c r="F104" t="s">
        <v>613</v>
      </c>
      <c r="G104" t="s">
        <v>653</v>
      </c>
      <c r="H104" t="s">
        <v>683</v>
      </c>
      <c r="I104" t="s">
        <v>789</v>
      </c>
      <c r="J104" t="s">
        <v>1278</v>
      </c>
      <c r="K104">
        <v>43886</v>
      </c>
      <c r="L104">
        <v>0.008986274389117001</v>
      </c>
      <c r="M104">
        <v>-0.06516069955523041</v>
      </c>
      <c r="N104">
        <v>0.06</v>
      </c>
      <c r="O104">
        <v>0.002282968723555046</v>
      </c>
      <c r="P104" t="s">
        <v>617</v>
      </c>
      <c r="Q104" t="s">
        <v>375</v>
      </c>
      <c r="R104">
        <v>56</v>
      </c>
      <c r="S104">
        <v>0.239344262295082</v>
      </c>
      <c r="T104">
        <v>116</v>
      </c>
      <c r="U104">
        <v>1.400603448275862</v>
      </c>
      <c r="V104">
        <v>5.9299</v>
      </c>
      <c r="W104">
        <v>6.1</v>
      </c>
      <c r="X104">
        <v>1.46</v>
      </c>
      <c r="Y104">
        <v>0.1777</v>
      </c>
      <c r="Z104">
        <v>0.04576271186440678</v>
      </c>
      <c r="AA104">
        <v>0.8988391376451078</v>
      </c>
      <c r="AB104">
        <v>0.6341059602649007</v>
      </c>
      <c r="AC104">
        <v>0.1440397350993377</v>
      </c>
      <c r="AD104">
        <v>0.06622516556291391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125.94</v>
      </c>
      <c r="D105">
        <v>356876.178</v>
      </c>
      <c r="E105" t="s">
        <v>649</v>
      </c>
      <c r="F105" t="s">
        <v>613</v>
      </c>
      <c r="G105" t="s">
        <v>653</v>
      </c>
      <c r="H105" t="s">
        <v>682</v>
      </c>
      <c r="I105" t="s">
        <v>790</v>
      </c>
      <c r="J105" t="s">
        <v>1285</v>
      </c>
      <c r="K105">
        <v>43891</v>
      </c>
      <c r="L105">
        <v>0.016833412736223</v>
      </c>
      <c r="M105">
        <v>-0.06087191676257186</v>
      </c>
      <c r="N105">
        <v>0.045</v>
      </c>
      <c r="O105">
        <v>0.001977190663530859</v>
      </c>
      <c r="P105" t="s">
        <v>617</v>
      </c>
      <c r="Q105" t="s">
        <v>618</v>
      </c>
      <c r="R105">
        <v>46</v>
      </c>
      <c r="S105">
        <v>0.415686274509804</v>
      </c>
      <c r="T105">
        <v>92</v>
      </c>
      <c r="U105">
        <v>1.368913043478261</v>
      </c>
      <c r="V105">
        <v>5.222</v>
      </c>
      <c r="W105">
        <v>5.1</v>
      </c>
      <c r="X105">
        <v>2.12</v>
      </c>
      <c r="Y105">
        <v>0.2609</v>
      </c>
      <c r="Z105">
        <v>0.1406779661016949</v>
      </c>
      <c r="AA105">
        <v>0.9320066334991708</v>
      </c>
      <c r="AB105">
        <v>0.4155629139072847</v>
      </c>
      <c r="AC105">
        <v>0.1556291390728477</v>
      </c>
      <c r="AD105">
        <v>0.06291390728476821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177.98</v>
      </c>
      <c r="D106">
        <v>23654.25392</v>
      </c>
      <c r="E106" t="s">
        <v>642</v>
      </c>
      <c r="F106" t="s">
        <v>613</v>
      </c>
      <c r="G106" t="s">
        <v>653</v>
      </c>
      <c r="H106" t="s">
        <v>682</v>
      </c>
      <c r="I106" t="s">
        <v>791</v>
      </c>
      <c r="J106" t="s">
        <v>1285</v>
      </c>
      <c r="K106">
        <v>43921</v>
      </c>
      <c r="L106">
        <v>0.013091358579615</v>
      </c>
      <c r="M106">
        <v>-0.09175232134455746</v>
      </c>
      <c r="N106">
        <v>0.08</v>
      </c>
      <c r="O106">
        <v>-0.0001851607262713939</v>
      </c>
      <c r="P106" t="s">
        <v>617</v>
      </c>
      <c r="Q106" t="s">
        <v>375</v>
      </c>
      <c r="R106">
        <v>34</v>
      </c>
      <c r="S106">
        <v>0.4438095238095238</v>
      </c>
      <c r="T106">
        <v>110</v>
      </c>
      <c r="U106">
        <v>1.618</v>
      </c>
      <c r="V106">
        <v>5.2668</v>
      </c>
      <c r="W106">
        <v>5.25</v>
      </c>
      <c r="X106">
        <v>2.33</v>
      </c>
      <c r="Y106">
        <v>0.1482</v>
      </c>
      <c r="Z106">
        <v>0.08813559322033898</v>
      </c>
      <c r="AA106">
        <v>0.8805970149253731</v>
      </c>
      <c r="AB106">
        <v>0.8038079470198676</v>
      </c>
      <c r="AC106">
        <v>0.06953642384105961</v>
      </c>
      <c r="AD106">
        <v>0.05629139072847682</v>
      </c>
    </row>
    <row r="107" spans="1:30">
      <c r="A107" s="1" t="s">
        <v>114</v>
      </c>
      <c r="B107">
        <f>HYPERLINK("https://www.suredividend.com/sure-analysis-ROP/","Roper Technologies, Inc.")</f>
        <v>0</v>
      </c>
      <c r="C107">
        <v>361.5</v>
      </c>
      <c r="D107">
        <v>37739.5155</v>
      </c>
      <c r="E107" t="s">
        <v>650</v>
      </c>
      <c r="F107" t="s">
        <v>613</v>
      </c>
      <c r="G107" t="s">
        <v>653</v>
      </c>
      <c r="H107" t="s">
        <v>682</v>
      </c>
      <c r="I107" t="s">
        <v>792</v>
      </c>
      <c r="J107" t="s">
        <v>1278</v>
      </c>
      <c r="K107">
        <v>43964</v>
      </c>
      <c r="L107">
        <v>0.005394190871369</v>
      </c>
      <c r="M107">
        <v>-0.07334573207689221</v>
      </c>
      <c r="N107">
        <v>0.07000000000000001</v>
      </c>
      <c r="O107">
        <v>-0.0009468137386253739</v>
      </c>
      <c r="P107" t="s">
        <v>617</v>
      </c>
      <c r="Q107" t="s">
        <v>375</v>
      </c>
      <c r="R107">
        <v>27</v>
      </c>
      <c r="S107">
        <v>0.1611570247933884</v>
      </c>
      <c r="T107">
        <v>247</v>
      </c>
      <c r="U107">
        <v>1.463562753036437</v>
      </c>
      <c r="V107">
        <v>15.7434</v>
      </c>
      <c r="W107">
        <v>12.1</v>
      </c>
      <c r="X107">
        <v>1.95</v>
      </c>
      <c r="Y107">
        <v>0.0213</v>
      </c>
      <c r="Z107">
        <v>0.01525423728813559</v>
      </c>
      <c r="AA107">
        <v>0.7860696517412936</v>
      </c>
      <c r="AB107">
        <v>0.7259933774834437</v>
      </c>
      <c r="AC107">
        <v>0.1142384105960265</v>
      </c>
      <c r="AD107">
        <v>0.05463576158940397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194.75</v>
      </c>
      <c r="D108">
        <v>56322.0895</v>
      </c>
      <c r="E108" t="s">
        <v>644</v>
      </c>
      <c r="F108" t="s">
        <v>613</v>
      </c>
      <c r="G108" t="s">
        <v>653</v>
      </c>
      <c r="H108" t="s">
        <v>682</v>
      </c>
      <c r="I108" t="s">
        <v>793</v>
      </c>
      <c r="J108" t="s">
        <v>1283</v>
      </c>
      <c r="K108">
        <v>43950</v>
      </c>
      <c r="L108">
        <v>0.009550706033376001</v>
      </c>
      <c r="M108">
        <v>-0.1430548826648651</v>
      </c>
      <c r="N108">
        <v>0.15</v>
      </c>
      <c r="O108">
        <v>-0.001487471625493675</v>
      </c>
      <c r="P108" t="s">
        <v>617</v>
      </c>
      <c r="Q108" t="s">
        <v>375</v>
      </c>
      <c r="R108">
        <v>34</v>
      </c>
      <c r="S108">
        <v>0.4133333333333333</v>
      </c>
      <c r="T108">
        <v>90</v>
      </c>
      <c r="U108">
        <v>2.163888888888889</v>
      </c>
      <c r="V108">
        <v>5.3643</v>
      </c>
      <c r="W108">
        <v>4.5</v>
      </c>
      <c r="X108">
        <v>1.86</v>
      </c>
      <c r="Y108">
        <v>0.0828</v>
      </c>
      <c r="Z108">
        <v>0.05423728813559322</v>
      </c>
      <c r="AA108">
        <v>0.8391376451077943</v>
      </c>
      <c r="AB108">
        <v>0.9660596026490066</v>
      </c>
      <c r="AC108">
        <v>0.02814569536423841</v>
      </c>
      <c r="AD108">
        <v>0.05298013245033113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89.47</v>
      </c>
      <c r="D109">
        <v>2010.623522</v>
      </c>
      <c r="E109" t="s">
        <v>649</v>
      </c>
      <c r="F109" t="s">
        <v>613</v>
      </c>
      <c r="G109" t="s">
        <v>653</v>
      </c>
      <c r="H109" t="s">
        <v>682</v>
      </c>
      <c r="I109" t="s">
        <v>794</v>
      </c>
      <c r="J109" t="s">
        <v>1283</v>
      </c>
      <c r="K109">
        <v>43892</v>
      </c>
      <c r="L109">
        <v>0.011735777355538</v>
      </c>
      <c r="M109">
        <v>-0.05903536861747405</v>
      </c>
      <c r="N109">
        <v>0.04</v>
      </c>
      <c r="O109">
        <v>-0.004946925834921512</v>
      </c>
      <c r="P109" t="s">
        <v>617</v>
      </c>
      <c r="Q109" t="s">
        <v>375</v>
      </c>
      <c r="R109">
        <v>52</v>
      </c>
      <c r="S109">
        <v>0.2386363636363636</v>
      </c>
      <c r="T109">
        <v>66</v>
      </c>
      <c r="U109">
        <v>1.35560606060606</v>
      </c>
      <c r="V109">
        <v>4.5877</v>
      </c>
      <c r="W109">
        <v>4.4</v>
      </c>
      <c r="X109">
        <v>1.05</v>
      </c>
      <c r="Y109">
        <v>0.0063</v>
      </c>
      <c r="Z109">
        <v>0.07288135593220339</v>
      </c>
      <c r="AA109">
        <v>0.7744610281923715</v>
      </c>
      <c r="AB109">
        <v>0.3493377483443709</v>
      </c>
      <c r="AC109">
        <v>0.1639072847682119</v>
      </c>
      <c r="AD109">
        <v>0.04801324503311259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227.42</v>
      </c>
      <c r="D110">
        <v>23663.051</v>
      </c>
      <c r="E110" t="s">
        <v>649</v>
      </c>
      <c r="F110" t="s">
        <v>613</v>
      </c>
      <c r="G110" t="s">
        <v>653</v>
      </c>
      <c r="H110" t="s">
        <v>683</v>
      </c>
      <c r="I110" t="s">
        <v>795</v>
      </c>
      <c r="J110" t="s">
        <v>1278</v>
      </c>
      <c r="K110">
        <v>43920</v>
      </c>
      <c r="L110">
        <v>0.009014158825081001</v>
      </c>
      <c r="M110">
        <v>-0.07742222849831848</v>
      </c>
      <c r="N110">
        <v>0.06</v>
      </c>
      <c r="O110">
        <v>-0.006121805347114373</v>
      </c>
      <c r="P110" t="s">
        <v>617</v>
      </c>
      <c r="Q110" t="s">
        <v>375</v>
      </c>
      <c r="R110">
        <v>36</v>
      </c>
      <c r="S110">
        <v>0.25625</v>
      </c>
      <c r="T110">
        <v>152</v>
      </c>
      <c r="U110">
        <v>1.496184210526316</v>
      </c>
      <c r="V110">
        <v>9.123200000000001</v>
      </c>
      <c r="W110">
        <v>8</v>
      </c>
      <c r="X110">
        <v>2.05</v>
      </c>
      <c r="Y110">
        <v>0.0265</v>
      </c>
      <c r="Z110">
        <v>0.04745762711864407</v>
      </c>
      <c r="AA110">
        <v>0.7910447761194029</v>
      </c>
      <c r="AB110">
        <v>0.6341059602649007</v>
      </c>
      <c r="AC110">
        <v>0.1043046357615894</v>
      </c>
      <c r="AD110">
        <v>0.04635761589403973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74.95999999999999</v>
      </c>
      <c r="D111">
        <v>2764.82464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0.015875133404482</v>
      </c>
      <c r="M111">
        <v>-0.05330724049658486</v>
      </c>
      <c r="N111">
        <v>0.027</v>
      </c>
      <c r="O111">
        <v>-0.007054655184076219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1.315087719298246</v>
      </c>
      <c r="V111">
        <v>2.3135</v>
      </c>
      <c r="W111">
        <v>2.28</v>
      </c>
      <c r="X111">
        <v>1.19</v>
      </c>
      <c r="Y111">
        <v>0.041</v>
      </c>
      <c r="Z111">
        <v>0.1186440677966102</v>
      </c>
      <c r="AA111">
        <v>0.8043117744610282</v>
      </c>
      <c r="AB111">
        <v>0.1697019867549669</v>
      </c>
      <c r="AC111">
        <v>0.1837748344370861</v>
      </c>
      <c r="AD111">
        <v>0.04470198675496689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60.22</v>
      </c>
      <c r="D112">
        <v>1050.17658</v>
      </c>
      <c r="E112" t="s">
        <v>646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0.016481235469943</v>
      </c>
      <c r="M112">
        <v>-0.05660330050240758</v>
      </c>
      <c r="N112">
        <v>0.019</v>
      </c>
      <c r="O112">
        <v>-0.01764899975221867</v>
      </c>
      <c r="P112" t="s">
        <v>617</v>
      </c>
      <c r="Q112" t="s">
        <v>375</v>
      </c>
      <c r="R112">
        <v>47</v>
      </c>
      <c r="S112">
        <v>0.4841463414634147</v>
      </c>
      <c r="T112">
        <v>45</v>
      </c>
      <c r="U112">
        <v>1.338222222222222</v>
      </c>
      <c r="V112">
        <v>2.0578</v>
      </c>
      <c r="W112">
        <v>2.05</v>
      </c>
      <c r="X112">
        <v>0.9925</v>
      </c>
      <c r="Y112">
        <v>-0.0038</v>
      </c>
      <c r="Z112">
        <v>0.1322033898305085</v>
      </c>
      <c r="AA112">
        <v>0.7678275290215589</v>
      </c>
      <c r="AB112">
        <v>0.09188741721854304</v>
      </c>
      <c r="AC112">
        <v>0.1705298013245033</v>
      </c>
      <c r="AD112">
        <v>0.0380794701986755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47.92</v>
      </c>
      <c r="D113">
        <v>25770.22592</v>
      </c>
      <c r="E113" t="s">
        <v>649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43891</v>
      </c>
      <c r="L113">
        <v>0.017998747913188</v>
      </c>
      <c r="M113">
        <v>-0.077584411468966</v>
      </c>
      <c r="N113">
        <v>0.03</v>
      </c>
      <c r="O113">
        <v>-0.02332823529459171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1.4975</v>
      </c>
      <c r="V113">
        <v>1.8356</v>
      </c>
      <c r="W113">
        <v>1.75</v>
      </c>
      <c r="X113">
        <v>0.8625</v>
      </c>
      <c r="Y113">
        <v>0.2113</v>
      </c>
      <c r="Z113">
        <v>0.1542372881355932</v>
      </c>
      <c r="AA113">
        <v>0.9154228855721394</v>
      </c>
      <c r="AB113">
        <v>0.2144039735099338</v>
      </c>
      <c r="AC113">
        <v>0.1026490066225166</v>
      </c>
      <c r="AD113">
        <v>0.03145695364238411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66.31999999999999</v>
      </c>
      <c r="D114">
        <v>31710.2448</v>
      </c>
      <c r="E114" t="s">
        <v>643</v>
      </c>
      <c r="F114" t="s">
        <v>613</v>
      </c>
      <c r="G114" t="s">
        <v>653</v>
      </c>
      <c r="H114" t="s">
        <v>682</v>
      </c>
      <c r="I114" t="s">
        <v>799</v>
      </c>
      <c r="J114" t="s">
        <v>1285</v>
      </c>
      <c r="K114">
        <v>43907</v>
      </c>
      <c r="L114">
        <v>0.010137213510253</v>
      </c>
      <c r="M114">
        <v>-0.1007426050169614</v>
      </c>
      <c r="N114">
        <v>0.07000000000000001</v>
      </c>
      <c r="O114">
        <v>-0.02347972512805518</v>
      </c>
      <c r="P114" t="s">
        <v>617</v>
      </c>
      <c r="Q114" t="s">
        <v>375</v>
      </c>
      <c r="R114">
        <v>30</v>
      </c>
      <c r="S114">
        <v>0.3776966292134831</v>
      </c>
      <c r="T114">
        <v>39</v>
      </c>
      <c r="U114">
        <v>1.70051282051282</v>
      </c>
      <c r="V114">
        <v>1.7967</v>
      </c>
      <c r="W114">
        <v>1.78</v>
      </c>
      <c r="X114">
        <v>0.6723</v>
      </c>
      <c r="Y114">
        <v>0.2863</v>
      </c>
      <c r="Z114">
        <v>0.0576271186440678</v>
      </c>
      <c r="AA114">
        <v>0.9386401326699834</v>
      </c>
      <c r="AB114">
        <v>0.7259933774834437</v>
      </c>
      <c r="AC114">
        <v>0.05463576158940397</v>
      </c>
      <c r="AD114">
        <v>0.02980132450331126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56</v>
      </c>
      <c r="D115">
        <v>1630.5744</v>
      </c>
      <c r="E115" t="s">
        <v>642</v>
      </c>
      <c r="F115" t="s">
        <v>613</v>
      </c>
      <c r="G115" t="s">
        <v>653</v>
      </c>
      <c r="H115" t="s">
        <v>682</v>
      </c>
      <c r="I115" t="s">
        <v>800</v>
      </c>
      <c r="J115" t="s">
        <v>1278</v>
      </c>
      <c r="K115">
        <v>43937</v>
      </c>
      <c r="L115">
        <v>0.011785714285714</v>
      </c>
      <c r="M115">
        <v>-0.07462212021267478</v>
      </c>
      <c r="N115">
        <v>0.034</v>
      </c>
      <c r="O115">
        <v>-0.02481880939675618</v>
      </c>
      <c r="P115" t="s">
        <v>617</v>
      </c>
      <c r="Q115" t="s">
        <v>316</v>
      </c>
      <c r="R115">
        <v>27</v>
      </c>
      <c r="S115">
        <v>0.4177215189873418</v>
      </c>
      <c r="T115">
        <v>38</v>
      </c>
      <c r="U115">
        <v>1.473684210526316</v>
      </c>
      <c r="V115">
        <v>1.6606</v>
      </c>
      <c r="W115">
        <v>1.58</v>
      </c>
      <c r="X115">
        <v>0.66</v>
      </c>
      <c r="Y115">
        <v>0.07010000000000001</v>
      </c>
      <c r="Z115">
        <v>0.07457627118644067</v>
      </c>
      <c r="AA115">
        <v>0.8275290215588723</v>
      </c>
      <c r="AB115">
        <v>0.2624172185430463</v>
      </c>
      <c r="AC115">
        <v>0.1109271523178808</v>
      </c>
      <c r="AD115">
        <v>0.02814569536423841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43.14</v>
      </c>
      <c r="D116">
        <v>2101.52196</v>
      </c>
      <c r="E116" t="s">
        <v>643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0.018660176170607</v>
      </c>
      <c r="M116">
        <v>-0.08946483141934702</v>
      </c>
      <c r="N116">
        <v>0.04</v>
      </c>
      <c r="O116">
        <v>-0.02727749268145396</v>
      </c>
      <c r="P116" t="s">
        <v>617</v>
      </c>
      <c r="Q116" t="s">
        <v>375</v>
      </c>
      <c r="R116">
        <v>52</v>
      </c>
      <c r="S116">
        <v>0.5962962962962963</v>
      </c>
      <c r="T116">
        <v>27</v>
      </c>
      <c r="U116">
        <v>1.597777777777778</v>
      </c>
      <c r="V116">
        <v>1.051</v>
      </c>
      <c r="W116">
        <v>1.35</v>
      </c>
      <c r="X116">
        <v>0.805</v>
      </c>
      <c r="Y116">
        <v>-0.1413</v>
      </c>
      <c r="Z116">
        <v>0.164406779661017</v>
      </c>
      <c r="AA116">
        <v>0.6202321724709785</v>
      </c>
      <c r="AB116">
        <v>0.3493377483443709</v>
      </c>
      <c r="AC116">
        <v>0.07119205298013245</v>
      </c>
      <c r="AD116">
        <v>0.02483443708609272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68.98999999999999</v>
      </c>
      <c r="D117">
        <v>3099.217073</v>
      </c>
      <c r="E117" t="s">
        <v>643</v>
      </c>
      <c r="F117" t="s">
        <v>613</v>
      </c>
      <c r="G117" t="s">
        <v>653</v>
      </c>
      <c r="H117" t="s">
        <v>682</v>
      </c>
      <c r="I117" t="s">
        <v>802</v>
      </c>
      <c r="J117" t="s">
        <v>1277</v>
      </c>
      <c r="K117">
        <v>43944</v>
      </c>
      <c r="L117">
        <v>0.013335265980576</v>
      </c>
      <c r="M117">
        <v>-0.09449129628878417</v>
      </c>
      <c r="N117">
        <v>0.03</v>
      </c>
      <c r="O117">
        <v>-0.04775994494932656</v>
      </c>
      <c r="P117" t="s">
        <v>617</v>
      </c>
      <c r="Q117" t="s">
        <v>375</v>
      </c>
      <c r="R117">
        <v>44</v>
      </c>
      <c r="S117">
        <v>0.3755102040816327</v>
      </c>
      <c r="T117">
        <v>42</v>
      </c>
      <c r="U117">
        <v>1.642619047619047</v>
      </c>
      <c r="V117">
        <v>1.4525</v>
      </c>
      <c r="W117">
        <v>2.45</v>
      </c>
      <c r="X117">
        <v>0.92</v>
      </c>
      <c r="Y117">
        <v>-0.1771</v>
      </c>
      <c r="Z117">
        <v>0.08983050847457626</v>
      </c>
      <c r="AA117">
        <v>0.560530679933665</v>
      </c>
      <c r="AB117">
        <v>0.2144039735099338</v>
      </c>
      <c r="AC117">
        <v>0.06622516556291391</v>
      </c>
      <c r="AD117">
        <v>0.01821192052980132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189.79</v>
      </c>
      <c r="D118">
        <v>14540.836766</v>
      </c>
      <c r="E118" t="s">
        <v>643</v>
      </c>
      <c r="F118" t="s">
        <v>613</v>
      </c>
      <c r="G118" t="s">
        <v>653</v>
      </c>
      <c r="H118" t="s">
        <v>683</v>
      </c>
      <c r="I118" t="s">
        <v>803</v>
      </c>
      <c r="J118" t="s">
        <v>1286</v>
      </c>
      <c r="K118">
        <v>43961</v>
      </c>
      <c r="L118">
        <v>0.008588439854576</v>
      </c>
      <c r="M118">
        <v>-0.1464184386743458</v>
      </c>
      <c r="N118">
        <v>0.095</v>
      </c>
      <c r="O118">
        <v>-0.05031281757738704</v>
      </c>
      <c r="P118" t="s">
        <v>617</v>
      </c>
      <c r="Q118" t="s">
        <v>316</v>
      </c>
      <c r="R118">
        <v>30</v>
      </c>
      <c r="S118">
        <v>0.4179487179487179</v>
      </c>
      <c r="T118">
        <v>86</v>
      </c>
      <c r="U118">
        <v>2.206860465116279</v>
      </c>
      <c r="V118">
        <v>3.8535</v>
      </c>
      <c r="W118">
        <v>3.9</v>
      </c>
      <c r="X118">
        <v>1.63</v>
      </c>
      <c r="Y118">
        <v>0.4076</v>
      </c>
      <c r="Z118">
        <v>0.04237288135593221</v>
      </c>
      <c r="AA118">
        <v>0.966832504145937</v>
      </c>
      <c r="AB118">
        <v>0.8816225165562913</v>
      </c>
      <c r="AC118">
        <v>0.02483443708609272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214.17</v>
      </c>
      <c r="D119">
        <v>15763.383174</v>
      </c>
      <c r="E119" t="s">
        <v>643</v>
      </c>
      <c r="F119" t="s">
        <v>613</v>
      </c>
      <c r="G119" t="s">
        <v>653</v>
      </c>
      <c r="H119" t="s">
        <v>682</v>
      </c>
      <c r="I119" t="s">
        <v>804</v>
      </c>
      <c r="J119" t="s">
        <v>1280</v>
      </c>
      <c r="K119">
        <v>43950</v>
      </c>
      <c r="L119">
        <v>0.002941588457767</v>
      </c>
      <c r="M119">
        <v>-0.1981374284978847</v>
      </c>
      <c r="N119">
        <v>0.08</v>
      </c>
      <c r="O119">
        <v>-0.1277144812327755</v>
      </c>
      <c r="P119" t="s">
        <v>617</v>
      </c>
      <c r="Q119" t="s">
        <v>375</v>
      </c>
      <c r="R119">
        <v>26</v>
      </c>
      <c r="S119">
        <v>0.1764705882352941</v>
      </c>
      <c r="T119">
        <v>71</v>
      </c>
      <c r="U119">
        <v>3.016478873239437</v>
      </c>
      <c r="V119">
        <v>3.5254</v>
      </c>
      <c r="W119">
        <v>3.57</v>
      </c>
      <c r="X119">
        <v>0.63</v>
      </c>
      <c r="Y119">
        <v>0.8399000000000001</v>
      </c>
      <c r="Z119">
        <v>0.01016949152542373</v>
      </c>
      <c r="AA119">
        <v>0.990049751243781</v>
      </c>
      <c r="AB119">
        <v>0.8038079470198676</v>
      </c>
      <c r="AC119">
        <v>0.01158940397350993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5.75</v>
      </c>
      <c r="D120">
        <v>537.4295</v>
      </c>
      <c r="E120" t="s">
        <v>647</v>
      </c>
      <c r="F120" t="s">
        <v>614</v>
      </c>
      <c r="G120" t="s">
        <v>653</v>
      </c>
      <c r="H120" t="s">
        <v>682</v>
      </c>
      <c r="I120" t="s">
        <v>805</v>
      </c>
      <c r="J120" t="s">
        <v>1281</v>
      </c>
      <c r="K120">
        <v>43868</v>
      </c>
      <c r="L120">
        <v>0.247391304347826</v>
      </c>
      <c r="M120">
        <v>0.2420990091540978</v>
      </c>
      <c r="N120">
        <v>0.02</v>
      </c>
      <c r="O120">
        <v>0.3560218290903336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0.3382352941176471</v>
      </c>
      <c r="V120">
        <v>-0.0296</v>
      </c>
      <c r="W120">
        <v>2</v>
      </c>
      <c r="X120">
        <v>1.4225</v>
      </c>
      <c r="Y120">
        <v>-0.6915</v>
      </c>
      <c r="Z120">
        <v>0.9762711864406779</v>
      </c>
      <c r="AA120">
        <v>0.04560530679933665</v>
      </c>
      <c r="AB120">
        <v>0.1274834437086093</v>
      </c>
      <c r="AC120">
        <v>0.9850993377483444</v>
      </c>
      <c r="AD120">
        <v>0.9884105960264901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15.96</v>
      </c>
      <c r="D121">
        <v>20396.88</v>
      </c>
      <c r="E121" t="s">
        <v>644</v>
      </c>
      <c r="F121" t="s">
        <v>613</v>
      </c>
      <c r="G121" t="s">
        <v>659</v>
      </c>
      <c r="H121" t="s">
        <v>682</v>
      </c>
      <c r="I121" t="s">
        <v>806</v>
      </c>
      <c r="J121" t="s">
        <v>1282</v>
      </c>
      <c r="K121">
        <v>43900</v>
      </c>
      <c r="L121">
        <v>0.053907221987666</v>
      </c>
      <c r="M121">
        <v>0.1766679457155524</v>
      </c>
      <c r="N121">
        <v>0.04</v>
      </c>
      <c r="O121">
        <v>0.2801288999093596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0.4433333333333334</v>
      </c>
      <c r="V121">
        <v>1.0334</v>
      </c>
      <c r="W121">
        <v>2.2</v>
      </c>
      <c r="X121">
        <v>0.860359262923153</v>
      </c>
      <c r="Y121">
        <v>-0.1264</v>
      </c>
      <c r="Z121">
        <v>0.611864406779661</v>
      </c>
      <c r="AA121">
        <v>0.6434494195688225</v>
      </c>
      <c r="AB121">
        <v>0.3493377483443709</v>
      </c>
      <c r="AC121">
        <v>0.9635761589403974</v>
      </c>
      <c r="AD121">
        <v>0.9619205298013245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17.17</v>
      </c>
      <c r="D122">
        <v>37530.186</v>
      </c>
      <c r="E122" t="s">
        <v>646</v>
      </c>
      <c r="F122" t="s">
        <v>615</v>
      </c>
      <c r="G122" t="s">
        <v>653</v>
      </c>
      <c r="H122" t="s">
        <v>682</v>
      </c>
      <c r="I122" t="s">
        <v>807</v>
      </c>
      <c r="J122" t="s">
        <v>1284</v>
      </c>
      <c r="K122">
        <v>43893</v>
      </c>
      <c r="L122">
        <v>0.102795573675014</v>
      </c>
      <c r="M122">
        <v>0.1595952858227436</v>
      </c>
      <c r="N122">
        <v>0.04</v>
      </c>
      <c r="O122">
        <v>0.2572637903151627</v>
      </c>
      <c r="P122" t="s">
        <v>618</v>
      </c>
      <c r="Q122" t="s">
        <v>617</v>
      </c>
      <c r="R122">
        <v>22</v>
      </c>
      <c r="S122">
        <v>0.4943977591036415</v>
      </c>
      <c r="T122">
        <v>36</v>
      </c>
      <c r="U122">
        <v>0.4769444444444445</v>
      </c>
      <c r="V122">
        <v>2.1247</v>
      </c>
      <c r="W122">
        <v>3.57</v>
      </c>
      <c r="X122">
        <v>1.765</v>
      </c>
      <c r="Y122">
        <v>-0.4015</v>
      </c>
      <c r="Z122">
        <v>0.840677966101695</v>
      </c>
      <c r="AA122">
        <v>0.2653399668325042</v>
      </c>
      <c r="AB122">
        <v>0.3493377483443709</v>
      </c>
      <c r="AC122">
        <v>0.9387417218543047</v>
      </c>
      <c r="AD122">
        <v>0.9486754966887417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16.15</v>
      </c>
      <c r="D123">
        <v>24631.1725</v>
      </c>
      <c r="E123" t="s">
        <v>644</v>
      </c>
      <c r="F123" t="s">
        <v>613</v>
      </c>
      <c r="G123" t="s">
        <v>659</v>
      </c>
      <c r="H123" t="s">
        <v>682</v>
      </c>
      <c r="I123" t="s">
        <v>808</v>
      </c>
      <c r="J123" t="s">
        <v>1284</v>
      </c>
      <c r="K123">
        <v>43867</v>
      </c>
      <c r="L123">
        <v>0.08023801145180401</v>
      </c>
      <c r="M123">
        <v>0.160543111353167</v>
      </c>
      <c r="N123">
        <v>0.04</v>
      </c>
      <c r="O123">
        <v>0.2506890727546929</v>
      </c>
      <c r="P123" t="s">
        <v>618</v>
      </c>
      <c r="Q123" t="s">
        <v>617</v>
      </c>
      <c r="R123">
        <v>20</v>
      </c>
      <c r="S123">
        <v>0.5399349520611042</v>
      </c>
      <c r="T123">
        <v>34</v>
      </c>
      <c r="U123">
        <v>0.475</v>
      </c>
      <c r="V123">
        <v>-1.0618</v>
      </c>
      <c r="W123">
        <v>2.4</v>
      </c>
      <c r="X123">
        <v>1.29584388494665</v>
      </c>
      <c r="Y123">
        <v>-0.4969</v>
      </c>
      <c r="Z123">
        <v>0.7745762711864407</v>
      </c>
      <c r="AA123">
        <v>0.1625207296849088</v>
      </c>
      <c r="AB123">
        <v>0.3493377483443709</v>
      </c>
      <c r="AC123">
        <v>0.9420529801324503</v>
      </c>
      <c r="AD123">
        <v>0.9387417218543047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14.12</v>
      </c>
      <c r="D124">
        <v>13079.86432</v>
      </c>
      <c r="E124" t="s">
        <v>647</v>
      </c>
      <c r="F124" t="s">
        <v>613</v>
      </c>
      <c r="G124" t="s">
        <v>659</v>
      </c>
      <c r="H124" t="s">
        <v>684</v>
      </c>
      <c r="I124" t="s">
        <v>809</v>
      </c>
      <c r="J124" t="s">
        <v>1277</v>
      </c>
      <c r="K124">
        <v>43877</v>
      </c>
      <c r="L124">
        <v>0.089230502929491</v>
      </c>
      <c r="M124">
        <v>0.1548156485440348</v>
      </c>
      <c r="N124">
        <v>0.04</v>
      </c>
      <c r="O124">
        <v>0.2472306639950006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0.4868965517241379</v>
      </c>
      <c r="V124">
        <v>1.6536</v>
      </c>
      <c r="W124">
        <v>2.41</v>
      </c>
      <c r="X124">
        <v>1.25993470136442</v>
      </c>
      <c r="Y124">
        <v>-0.3929</v>
      </c>
      <c r="Z124">
        <v>0.8067796610169492</v>
      </c>
      <c r="AA124">
        <v>0.2736318407960199</v>
      </c>
      <c r="AB124">
        <v>0.3493377483443709</v>
      </c>
      <c r="AC124">
        <v>0.9337748344370861</v>
      </c>
      <c r="AD124">
        <v>0.9337748344370861</v>
      </c>
    </row>
    <row r="125" spans="1:30">
      <c r="A125" s="1" t="s">
        <v>132</v>
      </c>
      <c r="B125">
        <f>HYPERLINK("https://www.suredividend.com/sure-analysis-BMO/","Bank of Montreal")</f>
        <v>0</v>
      </c>
      <c r="C125">
        <v>44.31</v>
      </c>
      <c r="D125">
        <v>28341.91668</v>
      </c>
      <c r="E125" t="s">
        <v>650</v>
      </c>
      <c r="F125" t="s">
        <v>613</v>
      </c>
      <c r="G125" t="s">
        <v>659</v>
      </c>
      <c r="H125" t="s">
        <v>682</v>
      </c>
      <c r="I125" t="s">
        <v>810</v>
      </c>
      <c r="J125" t="s">
        <v>1277</v>
      </c>
      <c r="K125">
        <v>43901</v>
      </c>
      <c r="L125">
        <v>0.070174407324158</v>
      </c>
      <c r="M125">
        <v>0.1337446964090754</v>
      </c>
      <c r="N125">
        <v>0.05</v>
      </c>
      <c r="O125">
        <v>0.2309423228277663</v>
      </c>
      <c r="P125" t="s">
        <v>618</v>
      </c>
      <c r="Q125" t="s">
        <v>617</v>
      </c>
      <c r="R125">
        <v>9</v>
      </c>
      <c r="S125">
        <v>0.4242057283128895</v>
      </c>
      <c r="T125">
        <v>83</v>
      </c>
      <c r="U125">
        <v>0.533855421686747</v>
      </c>
      <c r="V125">
        <v>6.6262</v>
      </c>
      <c r="W125">
        <v>7.33</v>
      </c>
      <c r="X125">
        <v>3.10942798853348</v>
      </c>
      <c r="Y125">
        <v>-0.4251</v>
      </c>
      <c r="Z125">
        <v>0.7084745762711865</v>
      </c>
      <c r="AA125">
        <v>0.2437810945273632</v>
      </c>
      <c r="AB125">
        <v>0.4991721854304636</v>
      </c>
      <c r="AC125">
        <v>0.9072847682119205</v>
      </c>
      <c r="AD125">
        <v>0.9155629139072847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35.44</v>
      </c>
      <c r="D126">
        <v>42974.1896</v>
      </c>
      <c r="E126" t="s">
        <v>650</v>
      </c>
      <c r="F126" t="s">
        <v>613</v>
      </c>
      <c r="G126" t="s">
        <v>659</v>
      </c>
      <c r="H126" t="s">
        <v>682</v>
      </c>
      <c r="I126" t="s">
        <v>811</v>
      </c>
      <c r="J126" t="s">
        <v>1277</v>
      </c>
      <c r="K126">
        <v>43896</v>
      </c>
      <c r="L126">
        <v>0.07538479501117501</v>
      </c>
      <c r="M126">
        <v>0.1254786271379114</v>
      </c>
      <c r="N126">
        <v>0.05</v>
      </c>
      <c r="O126">
        <v>0.2248125781228592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0.55375</v>
      </c>
      <c r="V126">
        <v>5.178</v>
      </c>
      <c r="W126">
        <v>5.65</v>
      </c>
      <c r="X126">
        <v>2.67163713519605</v>
      </c>
      <c r="Y126">
        <v>-0.3303</v>
      </c>
      <c r="Z126">
        <v>0.7423728813559322</v>
      </c>
      <c r="AA126">
        <v>0.3449419568822554</v>
      </c>
      <c r="AB126">
        <v>0.4991721854304636</v>
      </c>
      <c r="AC126">
        <v>0.8940397350993378</v>
      </c>
      <c r="AD126">
        <v>0.9089403973509934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25.42</v>
      </c>
      <c r="D127">
        <v>2648.53522</v>
      </c>
      <c r="E127" t="s">
        <v>649</v>
      </c>
      <c r="F127" t="s">
        <v>613</v>
      </c>
      <c r="G127" t="s">
        <v>653</v>
      </c>
      <c r="H127" t="s">
        <v>682</v>
      </c>
      <c r="I127" t="s">
        <v>812</v>
      </c>
      <c r="J127" t="s">
        <v>1279</v>
      </c>
      <c r="K127">
        <v>43897</v>
      </c>
      <c r="L127">
        <v>0.05979543666404401</v>
      </c>
      <c r="M127">
        <v>0.1210045969073301</v>
      </c>
      <c r="N127">
        <v>0.04</v>
      </c>
      <c r="O127">
        <v>0.2044903135294824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0.5648888888888889</v>
      </c>
      <c r="V127">
        <v>4.5944</v>
      </c>
      <c r="W127">
        <v>5</v>
      </c>
      <c r="X127">
        <v>1.52</v>
      </c>
      <c r="Y127">
        <v>-0.5448000000000001</v>
      </c>
      <c r="Z127">
        <v>0.6542372881355932</v>
      </c>
      <c r="AA127">
        <v>0.1177446102819237</v>
      </c>
      <c r="AB127">
        <v>0.3493377483443709</v>
      </c>
      <c r="AC127">
        <v>0.8874172185430463</v>
      </c>
      <c r="AD127">
        <v>0.8841059602649007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17.01</v>
      </c>
      <c r="D128">
        <v>20086.2585</v>
      </c>
      <c r="E128" t="s">
        <v>644</v>
      </c>
      <c r="F128" t="s">
        <v>613</v>
      </c>
      <c r="G128" t="s">
        <v>659</v>
      </c>
      <c r="H128" t="s">
        <v>682</v>
      </c>
      <c r="J128" t="s">
        <v>1284</v>
      </c>
      <c r="K128">
        <v>43895</v>
      </c>
      <c r="L128">
        <v>0.06844828924631401</v>
      </c>
      <c r="M128">
        <v>0.09681123419972182</v>
      </c>
      <c r="N128">
        <v>0.05</v>
      </c>
      <c r="O128">
        <v>0.1975954392107899</v>
      </c>
      <c r="P128" t="s">
        <v>618</v>
      </c>
      <c r="Q128" t="s">
        <v>617</v>
      </c>
      <c r="R128">
        <v>20</v>
      </c>
      <c r="S128">
        <v>0.5174690667021378</v>
      </c>
      <c r="T128">
        <v>27</v>
      </c>
      <c r="U128">
        <v>0.63</v>
      </c>
      <c r="V128">
        <v>2.0056</v>
      </c>
      <c r="W128">
        <v>2.25</v>
      </c>
      <c r="X128">
        <v>1.16430540007981</v>
      </c>
      <c r="Y128">
        <v>-0.3877</v>
      </c>
      <c r="Z128">
        <v>0.6949152542372882</v>
      </c>
      <c r="AA128">
        <v>0.2802653399668325</v>
      </c>
      <c r="AB128">
        <v>0.4991721854304636</v>
      </c>
      <c r="AC128">
        <v>0.8493377483443709</v>
      </c>
      <c r="AD128">
        <v>0.8725165562913908</v>
      </c>
    </row>
    <row r="129" spans="1:30">
      <c r="A129" s="1" t="s">
        <v>136</v>
      </c>
      <c r="B129">
        <f>HYPERLINK("https://www.suredividend.com/sure-analysis-TD/","The Toronto-Dominion Bank")</f>
        <v>0</v>
      </c>
      <c r="C129">
        <v>38.95</v>
      </c>
      <c r="D129">
        <v>70499.5</v>
      </c>
      <c r="E129" t="s">
        <v>650</v>
      </c>
      <c r="F129" t="s">
        <v>613</v>
      </c>
      <c r="G129" t="s">
        <v>659</v>
      </c>
      <c r="H129" t="s">
        <v>682</v>
      </c>
      <c r="I129" t="s">
        <v>813</v>
      </c>
      <c r="J129" t="s">
        <v>1277</v>
      </c>
      <c r="K129">
        <v>43896</v>
      </c>
      <c r="L129">
        <v>0.057349573767342</v>
      </c>
      <c r="M129">
        <v>0.09386688402175936</v>
      </c>
      <c r="N129">
        <v>0.06</v>
      </c>
      <c r="O129">
        <v>0.1973288414468535</v>
      </c>
      <c r="P129" t="s">
        <v>618</v>
      </c>
      <c r="Q129" t="s">
        <v>617</v>
      </c>
      <c r="R129">
        <v>9</v>
      </c>
      <c r="S129">
        <v>0.4198808079394736</v>
      </c>
      <c r="T129">
        <v>61</v>
      </c>
      <c r="U129">
        <v>0.6385245901639345</v>
      </c>
      <c r="V129">
        <v>4.9804</v>
      </c>
      <c r="W129">
        <v>5.32</v>
      </c>
      <c r="X129">
        <v>2.233765898238</v>
      </c>
      <c r="Y129">
        <v>-0.2927</v>
      </c>
      <c r="Z129">
        <v>0.6372881355932204</v>
      </c>
      <c r="AA129">
        <v>0.4013266998341625</v>
      </c>
      <c r="AB129">
        <v>0.6341059602649007</v>
      </c>
      <c r="AC129">
        <v>0.8427152317880795</v>
      </c>
      <c r="AD129">
        <v>0.8708609271523179</v>
      </c>
    </row>
    <row r="130" spans="1:30">
      <c r="A130" s="1" t="s">
        <v>137</v>
      </c>
      <c r="B130">
        <f>HYPERLINK("https://www.suredividend.com/sure-analysis-SLF/","Sun Life Financial, Inc.")</f>
        <v>0</v>
      </c>
      <c r="C130">
        <v>32.19</v>
      </c>
      <c r="D130">
        <v>18819.2397</v>
      </c>
      <c r="E130" t="s">
        <v>643</v>
      </c>
      <c r="F130" t="s">
        <v>613</v>
      </c>
      <c r="G130" t="s">
        <v>659</v>
      </c>
      <c r="H130" t="s">
        <v>682</v>
      </c>
      <c r="I130" t="s">
        <v>814</v>
      </c>
      <c r="J130" t="s">
        <v>1277</v>
      </c>
      <c r="K130">
        <v>43877</v>
      </c>
      <c r="L130">
        <v>0.050186719166341</v>
      </c>
      <c r="M130">
        <v>0.0786371555612384</v>
      </c>
      <c r="N130">
        <v>0.07000000000000001</v>
      </c>
      <c r="O130">
        <v>0.1885886234059926</v>
      </c>
      <c r="P130" t="s">
        <v>618</v>
      </c>
      <c r="Q130" t="s">
        <v>618</v>
      </c>
      <c r="R130">
        <v>4</v>
      </c>
      <c r="S130">
        <v>0.3988914790035852</v>
      </c>
      <c r="T130">
        <v>47</v>
      </c>
      <c r="U130">
        <v>0.6848936170212766</v>
      </c>
      <c r="V130">
        <v>3.0455</v>
      </c>
      <c r="W130">
        <v>4.05</v>
      </c>
      <c r="X130">
        <v>1.61551048996452</v>
      </c>
      <c r="Y130">
        <v>-0.1892</v>
      </c>
      <c r="Z130">
        <v>0.5779661016949152</v>
      </c>
      <c r="AA130">
        <v>0.5456053067993366</v>
      </c>
      <c r="AB130">
        <v>0.7259933774834437</v>
      </c>
      <c r="AC130">
        <v>0.7980132450331127</v>
      </c>
      <c r="AD130">
        <v>0.8559602649006622</v>
      </c>
    </row>
    <row r="131" spans="1:30">
      <c r="A131" s="1" t="s">
        <v>138</v>
      </c>
      <c r="B131">
        <f>HYPERLINK("https://www.suredividend.com/sure-analysis-SUN/","Sunoco LP")</f>
        <v>0</v>
      </c>
      <c r="C131">
        <v>23.67</v>
      </c>
      <c r="D131">
        <v>2353.770364</v>
      </c>
      <c r="E131" t="s">
        <v>643</v>
      </c>
      <c r="F131" t="s">
        <v>615</v>
      </c>
      <c r="G131" t="s">
        <v>653</v>
      </c>
      <c r="H131" t="s">
        <v>682</v>
      </c>
      <c r="I131" t="s">
        <v>815</v>
      </c>
      <c r="J131" t="s">
        <v>1284</v>
      </c>
      <c r="K131">
        <v>43885</v>
      </c>
      <c r="L131">
        <v>0.139501478664976</v>
      </c>
      <c r="M131">
        <v>0.08747892337255236</v>
      </c>
      <c r="N131">
        <v>0.015</v>
      </c>
      <c r="O131">
        <v>0.1848884058100988</v>
      </c>
      <c r="P131" t="s">
        <v>618</v>
      </c>
      <c r="Q131" t="s">
        <v>617</v>
      </c>
      <c r="R131">
        <v>0</v>
      </c>
      <c r="S131">
        <v>0.41275</v>
      </c>
      <c r="T131">
        <v>36</v>
      </c>
      <c r="U131">
        <v>0.6575000000000001</v>
      </c>
      <c r="V131">
        <v>-0.019</v>
      </c>
      <c r="W131">
        <v>8</v>
      </c>
      <c r="X131">
        <v>3.302</v>
      </c>
      <c r="Y131">
        <v>-0.2191</v>
      </c>
      <c r="Z131">
        <v>0.9</v>
      </c>
      <c r="AA131">
        <v>0.4892205638474295</v>
      </c>
      <c r="AB131">
        <v>0.07781456953642384</v>
      </c>
      <c r="AC131">
        <v>0.8195364238410596</v>
      </c>
      <c r="AD131">
        <v>0.8493377483443709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56.2</v>
      </c>
      <c r="D132">
        <v>25013.1588</v>
      </c>
      <c r="E132" t="s">
        <v>650</v>
      </c>
      <c r="F132" t="s">
        <v>613</v>
      </c>
      <c r="G132" t="s">
        <v>659</v>
      </c>
      <c r="H132" t="s">
        <v>682</v>
      </c>
      <c r="I132" t="s">
        <v>816</v>
      </c>
      <c r="J132" t="s">
        <v>1277</v>
      </c>
      <c r="K132">
        <v>43901</v>
      </c>
      <c r="L132">
        <v>0.07627486588207801</v>
      </c>
      <c r="M132">
        <v>0.08881081784318345</v>
      </c>
      <c r="N132">
        <v>0.035</v>
      </c>
      <c r="O132">
        <v>0.1769205997992096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0.6534883720930232</v>
      </c>
      <c r="V132">
        <v>8.486800000000001</v>
      </c>
      <c r="W132">
        <v>9.039999999999999</v>
      </c>
      <c r="X132">
        <v>4.28664746257282</v>
      </c>
      <c r="Y132">
        <v>-0.3135</v>
      </c>
      <c r="Z132">
        <v>0.7491525423728814</v>
      </c>
      <c r="AA132">
        <v>0.3665008291873963</v>
      </c>
      <c r="AB132">
        <v>0.2706953642384106</v>
      </c>
      <c r="AC132">
        <v>0.8278145695364238</v>
      </c>
      <c r="AD132">
        <v>0.8311258278145695</v>
      </c>
    </row>
    <row r="133" spans="1:30">
      <c r="A133" s="1" t="s">
        <v>140</v>
      </c>
      <c r="B133">
        <f>HYPERLINK("https://www.suredividend.com/sure-analysis-RY/","Royal Bank of Canada")</f>
        <v>0</v>
      </c>
      <c r="C133">
        <v>58.74</v>
      </c>
      <c r="D133">
        <v>83569.98540000001</v>
      </c>
      <c r="E133" t="s">
        <v>650</v>
      </c>
      <c r="F133" t="s">
        <v>613</v>
      </c>
      <c r="G133" t="s">
        <v>659</v>
      </c>
      <c r="H133" t="s">
        <v>682</v>
      </c>
      <c r="I133" t="s">
        <v>817</v>
      </c>
      <c r="J133" t="s">
        <v>1277</v>
      </c>
      <c r="K133">
        <v>43896</v>
      </c>
      <c r="L133">
        <v>0.053190798773817</v>
      </c>
      <c r="M133">
        <v>0.07670566163126957</v>
      </c>
      <c r="N133">
        <v>0.055</v>
      </c>
      <c r="O133">
        <v>0.1730345461268412</v>
      </c>
      <c r="P133" t="s">
        <v>618</v>
      </c>
      <c r="Q133" t="s">
        <v>618</v>
      </c>
      <c r="R133">
        <v>9</v>
      </c>
      <c r="S133">
        <v>0.4425534730841402</v>
      </c>
      <c r="T133">
        <v>85</v>
      </c>
      <c r="U133">
        <v>0.6910588235294118</v>
      </c>
      <c r="V133">
        <v>6.8156</v>
      </c>
      <c r="W133">
        <v>7.06</v>
      </c>
      <c r="X133">
        <v>3.12442751997403</v>
      </c>
      <c r="Y133">
        <v>-0.2464</v>
      </c>
      <c r="Z133">
        <v>0.6067796610169491</v>
      </c>
      <c r="AA133">
        <v>0.4577114427860697</v>
      </c>
      <c r="AB133">
        <v>0.5786423841059603</v>
      </c>
      <c r="AC133">
        <v>0.7847682119205298</v>
      </c>
      <c r="AD133">
        <v>0.8195364238410596</v>
      </c>
    </row>
    <row r="134" spans="1:30">
      <c r="A134" s="1" t="s">
        <v>141</v>
      </c>
      <c r="B134">
        <f>HYPERLINK("https://www.suredividend.com/sure-analysis-CAE/","CAE, Inc.")</f>
        <v>0</v>
      </c>
      <c r="C134">
        <v>13.68</v>
      </c>
      <c r="D134">
        <v>3639.89232</v>
      </c>
      <c r="E134" t="s">
        <v>644</v>
      </c>
      <c r="F134" t="s">
        <v>613</v>
      </c>
      <c r="G134" t="s">
        <v>659</v>
      </c>
      <c r="H134" t="s">
        <v>682</v>
      </c>
      <c r="I134" t="s">
        <v>818</v>
      </c>
      <c r="J134" t="s">
        <v>1278</v>
      </c>
      <c r="K134">
        <v>43871</v>
      </c>
      <c r="L134">
        <v>0.023142740195745</v>
      </c>
      <c r="M134">
        <v>0.06790716584560208</v>
      </c>
      <c r="N134">
        <v>0.08</v>
      </c>
      <c r="O134">
        <v>0.1704394901189492</v>
      </c>
      <c r="P134" t="s">
        <v>618</v>
      </c>
      <c r="Q134" t="s">
        <v>375</v>
      </c>
      <c r="R134">
        <v>12</v>
      </c>
      <c r="S134">
        <v>0.3015168436931457</v>
      </c>
      <c r="T134">
        <v>19</v>
      </c>
      <c r="U134">
        <v>0.72</v>
      </c>
      <c r="V134">
        <v>1.0084</v>
      </c>
      <c r="W134">
        <v>1.05</v>
      </c>
      <c r="X134">
        <v>0.316592685877803</v>
      </c>
      <c r="Y134">
        <v>-0.4191</v>
      </c>
      <c r="Z134">
        <v>0.2559322033898305</v>
      </c>
      <c r="AA134">
        <v>0.2520729684908789</v>
      </c>
      <c r="AB134">
        <v>0.8038079470198676</v>
      </c>
      <c r="AC134">
        <v>0.7400662251655629</v>
      </c>
      <c r="AD134">
        <v>0.8112582781456953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82.22</v>
      </c>
      <c r="D135">
        <v>66184.79784</v>
      </c>
      <c r="E135" t="s">
        <v>643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43946</v>
      </c>
      <c r="L135">
        <v>0.020432984675261</v>
      </c>
      <c r="M135">
        <v>0.076747563722662</v>
      </c>
      <c r="N135">
        <v>0.07000000000000001</v>
      </c>
      <c r="O135">
        <v>0.1667967957355208</v>
      </c>
      <c r="P135" t="s">
        <v>618</v>
      </c>
      <c r="Q135" t="s">
        <v>375</v>
      </c>
      <c r="R135">
        <v>8</v>
      </c>
      <c r="S135">
        <v>0.28</v>
      </c>
      <c r="T135">
        <v>119</v>
      </c>
      <c r="U135">
        <v>0.6909243697478992</v>
      </c>
      <c r="V135">
        <v>6.6148</v>
      </c>
      <c r="W135">
        <v>6</v>
      </c>
      <c r="X135">
        <v>1.68</v>
      </c>
      <c r="Y135">
        <v>-0.3012</v>
      </c>
      <c r="Z135">
        <v>0.1949152542372881</v>
      </c>
      <c r="AA135">
        <v>0.3814262023217247</v>
      </c>
      <c r="AB135">
        <v>0.7259933774834437</v>
      </c>
      <c r="AC135">
        <v>0.7864238410596026</v>
      </c>
      <c r="AD135">
        <v>0.8013245033112583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28.39</v>
      </c>
      <c r="D136">
        <v>5912.70013</v>
      </c>
      <c r="E136" t="s">
        <v>646</v>
      </c>
      <c r="F136" t="s">
        <v>613</v>
      </c>
      <c r="G136" t="s">
        <v>653</v>
      </c>
      <c r="H136" t="s">
        <v>682</v>
      </c>
      <c r="I136" t="s">
        <v>820</v>
      </c>
      <c r="J136" t="s">
        <v>1287</v>
      </c>
      <c r="K136">
        <v>43920</v>
      </c>
      <c r="L136">
        <v>0.044910179640718</v>
      </c>
      <c r="M136">
        <v>0.04275079677182458</v>
      </c>
      <c r="N136">
        <v>0.09</v>
      </c>
      <c r="O136">
        <v>0.1659357695641364</v>
      </c>
      <c r="P136" t="s">
        <v>618</v>
      </c>
      <c r="Q136" t="s">
        <v>618</v>
      </c>
      <c r="R136">
        <v>32</v>
      </c>
      <c r="S136">
        <v>0.5592105263157895</v>
      </c>
      <c r="T136">
        <v>35</v>
      </c>
      <c r="U136">
        <v>0.8111428571428572</v>
      </c>
      <c r="V136">
        <v>1.8094</v>
      </c>
      <c r="W136">
        <v>2.28</v>
      </c>
      <c r="X136">
        <v>1.275</v>
      </c>
      <c r="Y136">
        <v>-0.4731</v>
      </c>
      <c r="Z136">
        <v>0.5288135593220339</v>
      </c>
      <c r="AA136">
        <v>0.197346600331675</v>
      </c>
      <c r="AB136">
        <v>0.8600993377483444</v>
      </c>
      <c r="AC136">
        <v>0.6440397350993378</v>
      </c>
      <c r="AD136">
        <v>0.7947019867549669</v>
      </c>
    </row>
    <row r="137" spans="1:30">
      <c r="A137" s="1" t="s">
        <v>144</v>
      </c>
      <c r="B137">
        <f>HYPERLINK("https://www.suredividend.com/sure-analysis-NTIOF/","National Bank of Canada")</f>
        <v>0</v>
      </c>
      <c r="C137">
        <v>36.57</v>
      </c>
      <c r="D137">
        <v>12282.47334</v>
      </c>
      <c r="E137" t="s">
        <v>650</v>
      </c>
      <c r="F137" t="s">
        <v>613</v>
      </c>
      <c r="G137" t="s">
        <v>659</v>
      </c>
      <c r="H137" t="s">
        <v>684</v>
      </c>
      <c r="I137" t="s">
        <v>821</v>
      </c>
      <c r="J137" t="s">
        <v>1277</v>
      </c>
      <c r="K137">
        <v>43901</v>
      </c>
      <c r="L137">
        <v>0.056136644537003</v>
      </c>
      <c r="M137">
        <v>0.06455721766964251</v>
      </c>
      <c r="N137">
        <v>0.05</v>
      </c>
      <c r="O137">
        <v>0.1593383105689767</v>
      </c>
      <c r="P137" t="s">
        <v>618</v>
      </c>
      <c r="Q137" t="s">
        <v>617</v>
      </c>
      <c r="R137">
        <v>9</v>
      </c>
      <c r="S137">
        <v>0.4276910605662938</v>
      </c>
      <c r="T137">
        <v>50</v>
      </c>
      <c r="U137">
        <v>0.7314000000000001</v>
      </c>
      <c r="V137">
        <v>4.9541</v>
      </c>
      <c r="W137">
        <v>4.8</v>
      </c>
      <c r="X137">
        <v>2.05291709071821</v>
      </c>
      <c r="Y137">
        <v>-0.2232</v>
      </c>
      <c r="Z137">
        <v>0.6288135593220339</v>
      </c>
      <c r="AA137">
        <v>0.4859038142620232</v>
      </c>
      <c r="AB137">
        <v>0.4991721854304636</v>
      </c>
      <c r="AC137">
        <v>0.728476821192053</v>
      </c>
      <c r="AD137">
        <v>0.7731788079470199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31.72</v>
      </c>
      <c r="D138">
        <v>28788.72308</v>
      </c>
      <c r="E138" t="s">
        <v>641</v>
      </c>
      <c r="F138" t="s">
        <v>613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0.05611601513240801</v>
      </c>
      <c r="M138">
        <v>0.0771716893899792</v>
      </c>
      <c r="N138">
        <v>0.04</v>
      </c>
      <c r="O138">
        <v>0.1589944659437177</v>
      </c>
      <c r="P138" t="s">
        <v>618</v>
      </c>
      <c r="Q138" t="s">
        <v>617</v>
      </c>
      <c r="R138">
        <v>8</v>
      </c>
      <c r="S138">
        <v>0.3095652173913043</v>
      </c>
      <c r="T138">
        <v>46</v>
      </c>
      <c r="U138">
        <v>0.6895652173913043</v>
      </c>
      <c r="V138">
        <v>9.4544</v>
      </c>
      <c r="W138">
        <v>5.75</v>
      </c>
      <c r="X138">
        <v>1.78</v>
      </c>
      <c r="Y138">
        <v>-0.3275</v>
      </c>
      <c r="Z138">
        <v>0.6271186440677966</v>
      </c>
      <c r="AA138">
        <v>0.3466003316749585</v>
      </c>
      <c r="AB138">
        <v>0.3493377483443709</v>
      </c>
      <c r="AC138">
        <v>0.7880794701986755</v>
      </c>
      <c r="AD138">
        <v>0.771523178807947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28.31</v>
      </c>
      <c r="D139">
        <v>201708.75</v>
      </c>
      <c r="E139" t="s">
        <v>641</v>
      </c>
      <c r="F139" t="s">
        <v>613</v>
      </c>
      <c r="G139" t="s">
        <v>653</v>
      </c>
      <c r="H139" t="s">
        <v>682</v>
      </c>
      <c r="I139" t="s">
        <v>823</v>
      </c>
      <c r="J139" t="s">
        <v>1282</v>
      </c>
      <c r="K139">
        <v>43944</v>
      </c>
      <c r="L139">
        <v>0.07276580713528701</v>
      </c>
      <c r="M139">
        <v>0.0661662915479555</v>
      </c>
      <c r="N139">
        <v>0.04</v>
      </c>
      <c r="O139">
        <v>0.1559983600064203</v>
      </c>
      <c r="P139" t="s">
        <v>618</v>
      </c>
      <c r="Q139" t="s">
        <v>617</v>
      </c>
      <c r="R139">
        <v>36</v>
      </c>
      <c r="S139">
        <v>0.6338461538461538</v>
      </c>
      <c r="T139">
        <v>39</v>
      </c>
      <c r="U139">
        <v>0.7258974358974358</v>
      </c>
      <c r="V139">
        <v>1.9834</v>
      </c>
      <c r="W139">
        <v>3.25</v>
      </c>
      <c r="X139">
        <v>2.06</v>
      </c>
      <c r="Y139">
        <v>-0.0941</v>
      </c>
      <c r="Z139">
        <v>0.7237288135593221</v>
      </c>
      <c r="AA139">
        <v>0.6849087893864013</v>
      </c>
      <c r="AB139">
        <v>0.3493377483443709</v>
      </c>
      <c r="AC139">
        <v>0.7367549668874172</v>
      </c>
      <c r="AD139">
        <v>0.7566225165562913</v>
      </c>
    </row>
    <row r="140" spans="1:30">
      <c r="A140" s="1" t="s">
        <v>147</v>
      </c>
      <c r="B140">
        <f>HYPERLINK("https://www.suredividend.com/sure-analysis-TTC/","The Toro Co.")</f>
        <v>0</v>
      </c>
      <c r="C140">
        <v>63.16</v>
      </c>
      <c r="D140">
        <v>6756.79364</v>
      </c>
      <c r="E140" t="s">
        <v>647</v>
      </c>
      <c r="F140" t="s">
        <v>613</v>
      </c>
      <c r="G140" t="s">
        <v>653</v>
      </c>
      <c r="H140" t="s">
        <v>682</v>
      </c>
      <c r="I140" t="s">
        <v>824</v>
      </c>
      <c r="J140" t="s">
        <v>1278</v>
      </c>
      <c r="K140">
        <v>43951</v>
      </c>
      <c r="L140">
        <v>0.014645345155161</v>
      </c>
      <c r="M140">
        <v>0.01872795223586898</v>
      </c>
      <c r="N140">
        <v>0.12</v>
      </c>
      <c r="O140">
        <v>0.1532534808556325</v>
      </c>
      <c r="P140" t="s">
        <v>618</v>
      </c>
      <c r="Q140" t="s">
        <v>316</v>
      </c>
      <c r="R140">
        <v>10</v>
      </c>
      <c r="S140">
        <v>0.2803030303030303</v>
      </c>
      <c r="T140">
        <v>69.3</v>
      </c>
      <c r="U140">
        <v>0.9113997113997114</v>
      </c>
      <c r="V140">
        <v>2.6593</v>
      </c>
      <c r="W140">
        <v>3.3</v>
      </c>
      <c r="X140">
        <v>0.925</v>
      </c>
      <c r="Y140">
        <v>-0.1244</v>
      </c>
      <c r="Z140">
        <v>0.1067796610169491</v>
      </c>
      <c r="AA140">
        <v>0.6484245439469321</v>
      </c>
      <c r="AB140">
        <v>0.9321192052980132</v>
      </c>
      <c r="AC140">
        <v>0.5364238410596027</v>
      </c>
      <c r="AD140">
        <v>0.7450331125827815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50.9</v>
      </c>
      <c r="D141">
        <v>10907.0047</v>
      </c>
      <c r="E141" t="s">
        <v>643</v>
      </c>
      <c r="F141" t="s">
        <v>613</v>
      </c>
      <c r="G141" t="s">
        <v>653</v>
      </c>
      <c r="H141" t="s">
        <v>682</v>
      </c>
      <c r="I141" t="s">
        <v>825</v>
      </c>
      <c r="J141" t="s">
        <v>1282</v>
      </c>
      <c r="K141">
        <v>43958</v>
      </c>
      <c r="L141">
        <v>0.051080550098231</v>
      </c>
      <c r="M141">
        <v>0.07771217086771487</v>
      </c>
      <c r="N141">
        <v>0.035</v>
      </c>
      <c r="O141">
        <v>0.1518474075840335</v>
      </c>
      <c r="P141" t="s">
        <v>618</v>
      </c>
      <c r="Q141" t="s">
        <v>618</v>
      </c>
      <c r="R141">
        <v>10</v>
      </c>
      <c r="S141">
        <v>0.4193548387096774</v>
      </c>
      <c r="T141">
        <v>74</v>
      </c>
      <c r="U141">
        <v>0.6878378378378378</v>
      </c>
      <c r="V141">
        <v>6.1116</v>
      </c>
      <c r="W141">
        <v>6.2</v>
      </c>
      <c r="X141">
        <v>2.6</v>
      </c>
      <c r="Y141">
        <v>-0.3569</v>
      </c>
      <c r="Z141">
        <v>0.5864406779661017</v>
      </c>
      <c r="AA141">
        <v>0.3117744610281923</v>
      </c>
      <c r="AB141">
        <v>0.2706953642384106</v>
      </c>
      <c r="AC141">
        <v>0.7947019867549669</v>
      </c>
      <c r="AD141">
        <v>0.7384105960264901</v>
      </c>
    </row>
    <row r="142" spans="1:30">
      <c r="A142" s="1" t="s">
        <v>149</v>
      </c>
      <c r="B142">
        <f>HYPERLINK("https://www.suredividend.com/sure-analysis-PBCT/","People's United Financial, Inc.")</f>
        <v>0</v>
      </c>
      <c r="C142">
        <v>10.68</v>
      </c>
      <c r="D142">
        <v>4535.34744</v>
      </c>
      <c r="E142" t="s">
        <v>644</v>
      </c>
      <c r="F142" t="s">
        <v>613</v>
      </c>
      <c r="G142" t="s">
        <v>653</v>
      </c>
      <c r="H142" t="s">
        <v>683</v>
      </c>
      <c r="I142" t="s">
        <v>826</v>
      </c>
      <c r="J142" t="s">
        <v>1277</v>
      </c>
      <c r="K142">
        <v>43949</v>
      </c>
      <c r="L142">
        <v>0.066479400749063</v>
      </c>
      <c r="M142">
        <v>0.05562910706137125</v>
      </c>
      <c r="N142">
        <v>0.05</v>
      </c>
      <c r="O142">
        <v>0.1514450668912892</v>
      </c>
      <c r="P142" t="s">
        <v>618</v>
      </c>
      <c r="Q142" t="s">
        <v>617</v>
      </c>
      <c r="R142">
        <v>27</v>
      </c>
      <c r="S142">
        <v>0.6454545454545454</v>
      </c>
      <c r="T142">
        <v>14</v>
      </c>
      <c r="U142">
        <v>0.7628571428571428</v>
      </c>
      <c r="V142">
        <v>1.2742</v>
      </c>
      <c r="W142">
        <v>1.1</v>
      </c>
      <c r="X142">
        <v>0.71</v>
      </c>
      <c r="Y142">
        <v>-0.3395</v>
      </c>
      <c r="Z142">
        <v>0.6813559322033899</v>
      </c>
      <c r="AA142">
        <v>0.3349917081260365</v>
      </c>
      <c r="AB142">
        <v>0.4991721854304636</v>
      </c>
      <c r="AC142">
        <v>0.6903973509933775</v>
      </c>
      <c r="AD142">
        <v>0.7350993377483444</v>
      </c>
    </row>
    <row r="143" spans="1:30">
      <c r="A143" s="1" t="s">
        <v>150</v>
      </c>
      <c r="B143">
        <f>HYPERLINK("https://www.suredividend.com/sure-analysis-FDX/","FedEx Corp.")</f>
        <v>0</v>
      </c>
      <c r="C143">
        <v>107.52</v>
      </c>
      <c r="D143">
        <v>28089.6</v>
      </c>
      <c r="E143" t="s">
        <v>650</v>
      </c>
      <c r="F143" t="s">
        <v>613</v>
      </c>
      <c r="G143" t="s">
        <v>653</v>
      </c>
      <c r="H143" t="s">
        <v>682</v>
      </c>
      <c r="I143" t="s">
        <v>827</v>
      </c>
      <c r="J143" t="s">
        <v>1278</v>
      </c>
      <c r="K143">
        <v>43909</v>
      </c>
      <c r="L143">
        <v>0.024181547619047</v>
      </c>
      <c r="M143">
        <v>0.07028031629351372</v>
      </c>
      <c r="N143">
        <v>0.06</v>
      </c>
      <c r="O143">
        <v>0.1514305765608417</v>
      </c>
      <c r="P143" t="s">
        <v>618</v>
      </c>
      <c r="Q143" t="s">
        <v>375</v>
      </c>
      <c r="R143">
        <v>0</v>
      </c>
      <c r="S143">
        <v>0.2389705882352941</v>
      </c>
      <c r="T143">
        <v>151</v>
      </c>
      <c r="U143">
        <v>0.7120529801324503</v>
      </c>
      <c r="V143">
        <v>-1.3356</v>
      </c>
      <c r="W143">
        <v>10.88</v>
      </c>
      <c r="X143">
        <v>2.6</v>
      </c>
      <c r="Y143">
        <v>-0.3768</v>
      </c>
      <c r="Z143">
        <v>0.2779661016949153</v>
      </c>
      <c r="AA143">
        <v>0.2935323383084577</v>
      </c>
      <c r="AB143">
        <v>0.6341059602649007</v>
      </c>
      <c r="AC143">
        <v>0.7516556291390728</v>
      </c>
      <c r="AD143">
        <v>0.7334437086092715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36.59</v>
      </c>
      <c r="D144">
        <v>67997.7583</v>
      </c>
      <c r="E144" t="s">
        <v>646</v>
      </c>
      <c r="F144" t="s">
        <v>613</v>
      </c>
      <c r="G144" t="s">
        <v>653</v>
      </c>
      <c r="H144" t="s">
        <v>682</v>
      </c>
      <c r="I144" t="s">
        <v>828</v>
      </c>
      <c r="J144" t="s">
        <v>1285</v>
      </c>
      <c r="K144">
        <v>43921</v>
      </c>
      <c r="L144">
        <v>0.09073517354468401</v>
      </c>
      <c r="M144">
        <v>0.05134944478587267</v>
      </c>
      <c r="N144">
        <v>0.033</v>
      </c>
      <c r="O144">
        <v>0.1514012120220791</v>
      </c>
      <c r="P144" t="s">
        <v>618</v>
      </c>
      <c r="Q144" t="s">
        <v>617</v>
      </c>
      <c r="R144">
        <v>50</v>
      </c>
      <c r="S144">
        <v>0.7811764705882352</v>
      </c>
      <c r="T144">
        <v>47</v>
      </c>
      <c r="U144">
        <v>0.7785106382978724</v>
      </c>
      <c r="V144">
        <v>-0.4683</v>
      </c>
      <c r="W144">
        <v>4.25</v>
      </c>
      <c r="X144">
        <v>3.32</v>
      </c>
      <c r="Y144">
        <v>-0.2981</v>
      </c>
      <c r="Z144">
        <v>0.8135593220338982</v>
      </c>
      <c r="AA144">
        <v>0.3872305140961858</v>
      </c>
      <c r="AB144">
        <v>0.2599337748344371</v>
      </c>
      <c r="AC144">
        <v>0.6771523178807947</v>
      </c>
      <c r="AD144">
        <v>0.7317880794701986</v>
      </c>
    </row>
    <row r="145" spans="1:30">
      <c r="A145" s="1" t="s">
        <v>152</v>
      </c>
      <c r="B145">
        <f>HYPERLINK("https://www.suredividend.com/sure-analysis-PB/","Prosperity Bancshares, Inc.")</f>
        <v>0</v>
      </c>
      <c r="C145">
        <v>55.9</v>
      </c>
      <c r="D145">
        <v>5179.73313</v>
      </c>
      <c r="E145" t="s">
        <v>644</v>
      </c>
      <c r="F145" t="s">
        <v>613</v>
      </c>
      <c r="G145" t="s">
        <v>653</v>
      </c>
      <c r="H145" t="s">
        <v>682</v>
      </c>
      <c r="I145" t="s">
        <v>829</v>
      </c>
      <c r="J145" t="s">
        <v>1277</v>
      </c>
      <c r="K145">
        <v>43951</v>
      </c>
      <c r="L145">
        <v>0.031127012522361</v>
      </c>
      <c r="M145">
        <v>0.05770359963079308</v>
      </c>
      <c r="N145">
        <v>0.06</v>
      </c>
      <c r="O145">
        <v>0.1452415900088493</v>
      </c>
      <c r="P145" t="s">
        <v>618</v>
      </c>
      <c r="Q145" t="s">
        <v>618</v>
      </c>
      <c r="R145">
        <v>16</v>
      </c>
      <c r="S145">
        <v>0.348</v>
      </c>
      <c r="T145">
        <v>74</v>
      </c>
      <c r="U145">
        <v>0.7554054054054054</v>
      </c>
      <c r="V145">
        <v>4.7609</v>
      </c>
      <c r="W145">
        <v>5</v>
      </c>
      <c r="X145">
        <v>1.74</v>
      </c>
      <c r="Y145">
        <v>-0.1936</v>
      </c>
      <c r="Z145">
        <v>0.3661016949152542</v>
      </c>
      <c r="AA145">
        <v>0.5339966832504146</v>
      </c>
      <c r="AB145">
        <v>0.6341059602649007</v>
      </c>
      <c r="AC145">
        <v>0.7019867549668873</v>
      </c>
      <c r="AD145">
        <v>0.7036423841059603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35.92</v>
      </c>
      <c r="D146">
        <v>163944.42515</v>
      </c>
      <c r="E146" t="s">
        <v>650</v>
      </c>
      <c r="F146" t="s">
        <v>613</v>
      </c>
      <c r="G146" t="s">
        <v>653</v>
      </c>
      <c r="H146" t="s">
        <v>683</v>
      </c>
      <c r="I146" t="s">
        <v>830</v>
      </c>
      <c r="J146" t="s">
        <v>1282</v>
      </c>
      <c r="K146">
        <v>43958</v>
      </c>
      <c r="L146">
        <v>0.023942093541202</v>
      </c>
      <c r="M146">
        <v>0.05071347205504551</v>
      </c>
      <c r="N146">
        <v>0.07000000000000001</v>
      </c>
      <c r="O146">
        <v>0.1433317192105277</v>
      </c>
      <c r="P146" t="s">
        <v>618</v>
      </c>
      <c r="Q146" t="s">
        <v>375</v>
      </c>
      <c r="R146">
        <v>12</v>
      </c>
      <c r="S146">
        <v>0.344</v>
      </c>
      <c r="T146">
        <v>46</v>
      </c>
      <c r="U146">
        <v>0.7808695652173914</v>
      </c>
      <c r="V146">
        <v>2.5593</v>
      </c>
      <c r="W146">
        <v>2.5</v>
      </c>
      <c r="X146">
        <v>0.86</v>
      </c>
      <c r="Y146">
        <v>-0.1546</v>
      </c>
      <c r="Z146">
        <v>0.2694915254237288</v>
      </c>
      <c r="AA146">
        <v>0.5970149253731344</v>
      </c>
      <c r="AB146">
        <v>0.7259933774834437</v>
      </c>
      <c r="AC146">
        <v>0.6721854304635762</v>
      </c>
      <c r="AD146">
        <v>0.695364238410596</v>
      </c>
    </row>
    <row r="147" spans="1:30">
      <c r="A147" s="1" t="s">
        <v>154</v>
      </c>
      <c r="B147">
        <f>HYPERLINK("https://www.suredividend.com/sure-analysis-CTSH/","Cognizant Technology Solutions Corp.")</f>
        <v>0</v>
      </c>
      <c r="C147">
        <v>50.18</v>
      </c>
      <c r="D147">
        <v>27126.3044</v>
      </c>
      <c r="E147" t="s">
        <v>644</v>
      </c>
      <c r="F147" t="s">
        <v>613</v>
      </c>
      <c r="G147" t="s">
        <v>653</v>
      </c>
      <c r="H147" t="s">
        <v>683</v>
      </c>
      <c r="I147" t="s">
        <v>831</v>
      </c>
      <c r="J147" t="s">
        <v>1286</v>
      </c>
      <c r="K147">
        <v>43867</v>
      </c>
      <c r="L147">
        <v>0.016341171781586</v>
      </c>
      <c r="M147">
        <v>0.05633739829874562</v>
      </c>
      <c r="N147">
        <v>0.07000000000000001</v>
      </c>
      <c r="O147">
        <v>0.1432423741417581</v>
      </c>
      <c r="P147" t="s">
        <v>618</v>
      </c>
      <c r="Q147" t="s">
        <v>316</v>
      </c>
      <c r="R147">
        <v>0</v>
      </c>
      <c r="S147">
        <v>0.2</v>
      </c>
      <c r="T147">
        <v>66</v>
      </c>
      <c r="U147">
        <v>0.7603030303030303</v>
      </c>
      <c r="V147">
        <v>3.1974</v>
      </c>
      <c r="W147">
        <v>4.1</v>
      </c>
      <c r="X147">
        <v>0.8200000000000001</v>
      </c>
      <c r="Y147">
        <v>-0.1437</v>
      </c>
      <c r="Z147">
        <v>0.1271186440677966</v>
      </c>
      <c r="AA147">
        <v>0.6160862354892206</v>
      </c>
      <c r="AB147">
        <v>0.7259933774834437</v>
      </c>
      <c r="AC147">
        <v>0.6937086092715232</v>
      </c>
      <c r="AD147">
        <v>0.6920529801324503</v>
      </c>
    </row>
    <row r="148" spans="1:30">
      <c r="A148" s="1" t="s">
        <v>155</v>
      </c>
      <c r="B148">
        <f>HYPERLINK("https://www.suredividend.com/sure-analysis-RE/","Everest Re Group Ltd.")</f>
        <v>0</v>
      </c>
      <c r="C148">
        <v>168.94</v>
      </c>
      <c r="D148">
        <v>7693.679646</v>
      </c>
      <c r="E148" t="s">
        <v>643</v>
      </c>
      <c r="F148" t="s">
        <v>613</v>
      </c>
      <c r="G148" t="s">
        <v>660</v>
      </c>
      <c r="H148" t="s">
        <v>682</v>
      </c>
      <c r="I148" t="s">
        <v>832</v>
      </c>
      <c r="J148" t="s">
        <v>1277</v>
      </c>
      <c r="K148">
        <v>43874</v>
      </c>
      <c r="L148">
        <v>0.034923641529537</v>
      </c>
      <c r="M148">
        <v>0.05231267327596489</v>
      </c>
      <c r="N148">
        <v>0.058</v>
      </c>
      <c r="O148">
        <v>0.1413103280269097</v>
      </c>
      <c r="P148" t="s">
        <v>618</v>
      </c>
      <c r="Q148" t="s">
        <v>618</v>
      </c>
      <c r="R148">
        <v>6</v>
      </c>
      <c r="S148">
        <v>0.243801652892562</v>
      </c>
      <c r="T148">
        <v>218</v>
      </c>
      <c r="U148">
        <v>0.7749541284403669</v>
      </c>
      <c r="V148">
        <v>16.6614</v>
      </c>
      <c r="W148">
        <v>24.2</v>
      </c>
      <c r="X148">
        <v>5.9</v>
      </c>
      <c r="Y148">
        <v>-0.3195</v>
      </c>
      <c r="Z148">
        <v>0.4033898305084746</v>
      </c>
      <c r="AA148">
        <v>0.3582089552238806</v>
      </c>
      <c r="AB148">
        <v>0.5894039735099338</v>
      </c>
      <c r="AC148">
        <v>0.6788079470198676</v>
      </c>
      <c r="AD148">
        <v>0.6870860927152317</v>
      </c>
    </row>
    <row r="149" spans="1:30">
      <c r="A149" s="1" t="s">
        <v>156</v>
      </c>
      <c r="B149">
        <f>HYPERLINK("https://www.suredividend.com/sure-analysis-WHR/","Whirlpool Corp.")</f>
        <v>0</v>
      </c>
      <c r="C149">
        <v>108.8</v>
      </c>
      <c r="D149">
        <v>6763.34528</v>
      </c>
      <c r="E149" t="s">
        <v>641</v>
      </c>
      <c r="F149" t="s">
        <v>613</v>
      </c>
      <c r="G149" t="s">
        <v>653</v>
      </c>
      <c r="H149" t="s">
        <v>682</v>
      </c>
      <c r="I149" t="s">
        <v>833</v>
      </c>
      <c r="J149" t="s">
        <v>1279</v>
      </c>
      <c r="K149">
        <v>43958</v>
      </c>
      <c r="L149">
        <v>0.044117647058823</v>
      </c>
      <c r="M149">
        <v>0.01978934521903875</v>
      </c>
      <c r="N149">
        <v>0.09</v>
      </c>
      <c r="O149">
        <v>0.1406848070506403</v>
      </c>
      <c r="P149" t="s">
        <v>618</v>
      </c>
      <c r="Q149" t="s">
        <v>618</v>
      </c>
      <c r="R149">
        <v>10</v>
      </c>
      <c r="S149">
        <v>0.4</v>
      </c>
      <c r="T149">
        <v>120</v>
      </c>
      <c r="U149">
        <v>0.9066666666666666</v>
      </c>
      <c r="V149">
        <v>13.6492</v>
      </c>
      <c r="W149">
        <v>12</v>
      </c>
      <c r="X149">
        <v>4.8</v>
      </c>
      <c r="Y149">
        <v>-0.1674</v>
      </c>
      <c r="Z149">
        <v>0.5152542372881356</v>
      </c>
      <c r="AA149">
        <v>0.5729684908789386</v>
      </c>
      <c r="AB149">
        <v>0.8600993377483444</v>
      </c>
      <c r="AC149">
        <v>0.5397350993377483</v>
      </c>
      <c r="AD149">
        <v>0.6821192052980132</v>
      </c>
    </row>
    <row r="150" spans="1:30">
      <c r="A150" s="1" t="s">
        <v>157</v>
      </c>
      <c r="B150">
        <f>HYPERLINK("https://www.suredividend.com/sure-analysis-JACK/","Jack in the Box, Inc.")</f>
        <v>0</v>
      </c>
      <c r="C150">
        <v>66.34999999999999</v>
      </c>
      <c r="D150">
        <v>1501.56685</v>
      </c>
      <c r="E150" t="s">
        <v>644</v>
      </c>
      <c r="F150" t="s">
        <v>613</v>
      </c>
      <c r="G150" t="s">
        <v>653</v>
      </c>
      <c r="H150" t="s">
        <v>683</v>
      </c>
      <c r="I150" t="s">
        <v>834</v>
      </c>
      <c r="J150" t="s">
        <v>1279</v>
      </c>
      <c r="K150">
        <v>43882</v>
      </c>
      <c r="L150">
        <v>0.0241145440844</v>
      </c>
      <c r="M150">
        <v>0.048305035140221</v>
      </c>
      <c r="N150">
        <v>0.07000000000000001</v>
      </c>
      <c r="O150">
        <v>0.1386178069905397</v>
      </c>
      <c r="P150" t="s">
        <v>618</v>
      </c>
      <c r="Q150" t="s">
        <v>375</v>
      </c>
      <c r="R150">
        <v>0</v>
      </c>
      <c r="S150">
        <v>0.3440860215053763</v>
      </c>
      <c r="T150">
        <v>84</v>
      </c>
      <c r="U150">
        <v>0.7898809523809524</v>
      </c>
      <c r="V150">
        <v>2.2101</v>
      </c>
      <c r="W150">
        <v>4.65</v>
      </c>
      <c r="X150">
        <v>1.6</v>
      </c>
      <c r="Y150">
        <v>-0.1476</v>
      </c>
      <c r="Z150">
        <v>0.2728813559322034</v>
      </c>
      <c r="AA150">
        <v>0.6102819237147595</v>
      </c>
      <c r="AB150">
        <v>0.7259933774834437</v>
      </c>
      <c r="AC150">
        <v>0.662251655629139</v>
      </c>
      <c r="AD150">
        <v>0.6754966887417219</v>
      </c>
    </row>
    <row r="151" spans="1:30">
      <c r="A151" s="1" t="s">
        <v>158</v>
      </c>
      <c r="B151">
        <f>HYPERLINK("https://www.suredividend.com/sure-analysis-MSM/","MSC Industrial Direct Co., Inc.")</f>
        <v>0</v>
      </c>
      <c r="C151">
        <v>60.32</v>
      </c>
      <c r="D151">
        <v>3351.189554</v>
      </c>
      <c r="E151" t="s">
        <v>647</v>
      </c>
      <c r="F151" t="s">
        <v>613</v>
      </c>
      <c r="G151" t="s">
        <v>653</v>
      </c>
      <c r="H151" t="s">
        <v>682</v>
      </c>
      <c r="I151" t="s">
        <v>835</v>
      </c>
      <c r="J151" t="s">
        <v>1278</v>
      </c>
      <c r="K151">
        <v>43857</v>
      </c>
      <c r="L151">
        <v>0.04774535809018501</v>
      </c>
      <c r="M151">
        <v>0.03889655334628705</v>
      </c>
      <c r="N151">
        <v>0.06</v>
      </c>
      <c r="O151">
        <v>0.1379479294571799</v>
      </c>
      <c r="P151" t="s">
        <v>618</v>
      </c>
      <c r="Q151" t="s">
        <v>618</v>
      </c>
      <c r="R151">
        <v>16</v>
      </c>
      <c r="S151">
        <v>0.5925925925925926</v>
      </c>
      <c r="T151">
        <v>73</v>
      </c>
      <c r="U151">
        <v>0.8263013698630137</v>
      </c>
      <c r="V151">
        <v>4.8331</v>
      </c>
      <c r="W151">
        <v>4.86</v>
      </c>
      <c r="X151">
        <v>2.88</v>
      </c>
      <c r="Y151">
        <v>-0.1842</v>
      </c>
      <c r="Z151">
        <v>0.5576271186440678</v>
      </c>
      <c r="AA151">
        <v>0.5505804311774462</v>
      </c>
      <c r="AB151">
        <v>0.6341059602649007</v>
      </c>
      <c r="AC151">
        <v>0.6208609271523179</v>
      </c>
      <c r="AD151">
        <v>0.6738410596026491</v>
      </c>
    </row>
    <row r="152" spans="1:30">
      <c r="A152" s="1" t="s">
        <v>159</v>
      </c>
      <c r="B152">
        <f>HYPERLINK("https://www.suredividend.com/sure-analysis-BAYRY/","Bayer AG")</f>
        <v>0</v>
      </c>
      <c r="C152">
        <v>15.53</v>
      </c>
      <c r="D152">
        <v>57932.61504</v>
      </c>
      <c r="E152" t="s">
        <v>643</v>
      </c>
      <c r="F152" t="s">
        <v>613</v>
      </c>
      <c r="G152" t="s">
        <v>656</v>
      </c>
      <c r="H152" t="s">
        <v>684</v>
      </c>
      <c r="I152" t="s">
        <v>836</v>
      </c>
      <c r="J152" t="s">
        <v>1280</v>
      </c>
      <c r="K152">
        <v>43950</v>
      </c>
      <c r="L152">
        <v>0.04910495814552401</v>
      </c>
      <c r="M152">
        <v>0.06220799957134493</v>
      </c>
      <c r="N152">
        <v>0.035</v>
      </c>
      <c r="O152">
        <v>0.1367630307140413</v>
      </c>
      <c r="P152" t="s">
        <v>618</v>
      </c>
      <c r="Q152" t="s">
        <v>618</v>
      </c>
      <c r="R152">
        <v>0</v>
      </c>
      <c r="S152">
        <v>0.4013684210526317</v>
      </c>
      <c r="T152">
        <v>21</v>
      </c>
      <c r="U152">
        <v>0.7395238095238095</v>
      </c>
      <c r="V152">
        <v>0.7053</v>
      </c>
      <c r="W152">
        <v>1.9</v>
      </c>
      <c r="X152">
        <v>0.7626000000000001</v>
      </c>
      <c r="Y152">
        <v>-0.0239</v>
      </c>
      <c r="Z152">
        <v>0.5711864406779661</v>
      </c>
      <c r="AA152">
        <v>0.7495854063018242</v>
      </c>
      <c r="AB152">
        <v>0.2706953642384106</v>
      </c>
      <c r="AC152">
        <v>0.7251655629139073</v>
      </c>
      <c r="AD152">
        <v>0.662251655629139</v>
      </c>
    </row>
    <row r="153" spans="1:30">
      <c r="A153" s="1" t="s">
        <v>160</v>
      </c>
      <c r="B153">
        <f>HYPERLINK("https://www.suredividend.com/sure-analysis-LMT/","Lockheed Martin Corp.")</f>
        <v>0</v>
      </c>
      <c r="C153">
        <v>360.4</v>
      </c>
      <c r="D153">
        <v>101068.774</v>
      </c>
      <c r="E153" t="s">
        <v>645</v>
      </c>
      <c r="F153" t="s">
        <v>613</v>
      </c>
      <c r="G153" t="s">
        <v>653</v>
      </c>
      <c r="H153" t="s">
        <v>682</v>
      </c>
      <c r="I153" t="s">
        <v>837</v>
      </c>
      <c r="J153" t="s">
        <v>1278</v>
      </c>
      <c r="K153">
        <v>43964</v>
      </c>
      <c r="L153">
        <v>0.025527192008879</v>
      </c>
      <c r="M153">
        <v>0.01117899301149583</v>
      </c>
      <c r="N153">
        <v>0.1</v>
      </c>
      <c r="O153">
        <v>0.1335270255737016</v>
      </c>
      <c r="P153" t="s">
        <v>618</v>
      </c>
      <c r="Q153" t="s">
        <v>375</v>
      </c>
      <c r="R153">
        <v>17</v>
      </c>
      <c r="S153">
        <v>0.3865546218487395</v>
      </c>
      <c r="T153">
        <v>381</v>
      </c>
      <c r="U153">
        <v>0.9459317585301836</v>
      </c>
      <c r="V153">
        <v>22.1612</v>
      </c>
      <c r="W153">
        <v>23.8</v>
      </c>
      <c r="X153">
        <v>9.199999999999999</v>
      </c>
      <c r="Y153">
        <v>0.0786</v>
      </c>
      <c r="Z153">
        <v>0.3</v>
      </c>
      <c r="AA153">
        <v>0.8358208955223881</v>
      </c>
      <c r="AB153">
        <v>0.8981788079470199</v>
      </c>
      <c r="AC153">
        <v>0.4884105960264901</v>
      </c>
      <c r="AD153">
        <v>0.6523178807947019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26.06</v>
      </c>
      <c r="D154">
        <v>15732.9432</v>
      </c>
      <c r="E154" t="s">
        <v>651</v>
      </c>
      <c r="F154" t="s">
        <v>613</v>
      </c>
      <c r="G154" t="s">
        <v>653</v>
      </c>
      <c r="H154" t="s">
        <v>683</v>
      </c>
      <c r="I154" t="s">
        <v>838</v>
      </c>
      <c r="J154" t="s">
        <v>1282</v>
      </c>
      <c r="K154">
        <v>43875</v>
      </c>
      <c r="L154">
        <v>0.017651573292402</v>
      </c>
      <c r="M154">
        <v>0.08397193762938504</v>
      </c>
      <c r="N154">
        <v>0.031</v>
      </c>
      <c r="O154">
        <v>0.1305777441031692</v>
      </c>
      <c r="P154" t="s">
        <v>618</v>
      </c>
      <c r="Q154" t="s">
        <v>375</v>
      </c>
      <c r="R154">
        <v>0</v>
      </c>
      <c r="S154">
        <v>0.1769230769230769</v>
      </c>
      <c r="T154">
        <v>39</v>
      </c>
      <c r="U154">
        <v>0.6682051282051281</v>
      </c>
      <c r="V154">
        <v>2.1443</v>
      </c>
      <c r="W154">
        <v>2.6</v>
      </c>
      <c r="X154">
        <v>0.46</v>
      </c>
      <c r="Y154">
        <v>-0.3089</v>
      </c>
      <c r="Z154">
        <v>0.1508474576271187</v>
      </c>
      <c r="AA154">
        <v>0.3714759535655058</v>
      </c>
      <c r="AB154">
        <v>0.2549668874172186</v>
      </c>
      <c r="AC154">
        <v>0.8112582781456953</v>
      </c>
      <c r="AD154">
        <v>0.6341059602649007</v>
      </c>
    </row>
    <row r="155" spans="1:30">
      <c r="A155" s="1" t="s">
        <v>162</v>
      </c>
      <c r="B155">
        <f>HYPERLINK("https://www.suredividend.com/sure-analysis-HII/","Huntington Ingalls Industries, Inc.")</f>
        <v>0</v>
      </c>
      <c r="C155">
        <v>170.54</v>
      </c>
      <c r="D155">
        <v>6902.487122</v>
      </c>
      <c r="E155" t="s">
        <v>645</v>
      </c>
      <c r="F155" t="s">
        <v>613</v>
      </c>
      <c r="G155" t="s">
        <v>653</v>
      </c>
      <c r="H155" t="s">
        <v>682</v>
      </c>
      <c r="I155" t="s">
        <v>839</v>
      </c>
      <c r="J155" t="s">
        <v>1278</v>
      </c>
      <c r="K155">
        <v>43964</v>
      </c>
      <c r="L155">
        <v>0.022164888002814</v>
      </c>
      <c r="M155">
        <v>0.05320570520064516</v>
      </c>
      <c r="N155">
        <v>0.05</v>
      </c>
      <c r="O155">
        <v>0.127951089172655</v>
      </c>
      <c r="P155" t="s">
        <v>618</v>
      </c>
      <c r="Q155" t="s">
        <v>375</v>
      </c>
      <c r="R155">
        <v>8</v>
      </c>
      <c r="S155">
        <v>0.2567934782608696</v>
      </c>
      <c r="T155">
        <v>221</v>
      </c>
      <c r="U155">
        <v>0.7716742081447964</v>
      </c>
      <c r="V155">
        <v>14.6854</v>
      </c>
      <c r="W155">
        <v>14.72</v>
      </c>
      <c r="X155">
        <v>3.78</v>
      </c>
      <c r="Y155">
        <v>-0.1681</v>
      </c>
      <c r="Z155">
        <v>0.2254237288135593</v>
      </c>
      <c r="AA155">
        <v>0.5688225538971807</v>
      </c>
      <c r="AB155">
        <v>0.4991721854304636</v>
      </c>
      <c r="AC155">
        <v>0.6821192052980132</v>
      </c>
      <c r="AD155">
        <v>0.6158940397350993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64.23999999999999</v>
      </c>
      <c r="D156">
        <v>4018.430416</v>
      </c>
      <c r="E156" t="s">
        <v>641</v>
      </c>
      <c r="F156" t="s">
        <v>613</v>
      </c>
      <c r="G156" t="s">
        <v>653</v>
      </c>
      <c r="H156" t="s">
        <v>682</v>
      </c>
      <c r="I156" t="s">
        <v>840</v>
      </c>
      <c r="J156" t="s">
        <v>1277</v>
      </c>
      <c r="K156">
        <v>43958</v>
      </c>
      <c r="L156">
        <v>0.044209215442092</v>
      </c>
      <c r="M156">
        <v>0.03957975671606273</v>
      </c>
      <c r="N156">
        <v>0.05</v>
      </c>
      <c r="O156">
        <v>0.1254889042396199</v>
      </c>
      <c r="P156" t="s">
        <v>618</v>
      </c>
      <c r="Q156" t="s">
        <v>618</v>
      </c>
      <c r="R156">
        <v>26</v>
      </c>
      <c r="S156">
        <v>0.6311111111111111</v>
      </c>
      <c r="T156">
        <v>78</v>
      </c>
      <c r="U156">
        <v>0.8235897435897436</v>
      </c>
      <c r="V156">
        <v>5.8276</v>
      </c>
      <c r="W156">
        <v>4.5</v>
      </c>
      <c r="X156">
        <v>2.84</v>
      </c>
      <c r="Y156">
        <v>-0.3373</v>
      </c>
      <c r="Z156">
        <v>0.5186440677966102</v>
      </c>
      <c r="AA156">
        <v>0.3383084577114427</v>
      </c>
      <c r="AB156">
        <v>0.4991721854304636</v>
      </c>
      <c r="AC156">
        <v>0.6258278145695364</v>
      </c>
      <c r="AD156">
        <v>0.6026490066225165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52.04</v>
      </c>
      <c r="D157">
        <v>47788.5922</v>
      </c>
      <c r="E157" t="s">
        <v>649</v>
      </c>
      <c r="F157" t="s">
        <v>613</v>
      </c>
      <c r="G157" t="s">
        <v>653</v>
      </c>
      <c r="H157" t="s">
        <v>683</v>
      </c>
      <c r="I157" t="s">
        <v>841</v>
      </c>
      <c r="J157" t="s">
        <v>1286</v>
      </c>
      <c r="K157">
        <v>43967</v>
      </c>
      <c r="L157">
        <v>0.016333589546502</v>
      </c>
      <c r="M157">
        <v>0.01837449406061098</v>
      </c>
      <c r="N157">
        <v>0.09</v>
      </c>
      <c r="O157">
        <v>0.1237766514574488</v>
      </c>
      <c r="P157" t="s">
        <v>618</v>
      </c>
      <c r="Q157" t="s">
        <v>316</v>
      </c>
      <c r="R157">
        <v>3</v>
      </c>
      <c r="S157">
        <v>0.2236842105263158</v>
      </c>
      <c r="T157">
        <v>57</v>
      </c>
      <c r="U157">
        <v>0.9129824561403509</v>
      </c>
      <c r="V157">
        <v>3.1705</v>
      </c>
      <c r="W157">
        <v>3.8</v>
      </c>
      <c r="X157">
        <v>0.85</v>
      </c>
      <c r="Y157">
        <v>0.254</v>
      </c>
      <c r="Z157">
        <v>0.1254237288135593</v>
      </c>
      <c r="AA157">
        <v>0.9303482587064678</v>
      </c>
      <c r="AB157">
        <v>0.8600993377483444</v>
      </c>
      <c r="AC157">
        <v>0.5331125827814569</v>
      </c>
      <c r="AD157">
        <v>0.5894039735099338</v>
      </c>
    </row>
    <row r="158" spans="1:30">
      <c r="A158" s="1" t="s">
        <v>165</v>
      </c>
      <c r="B158">
        <f>HYPERLINK("https://www.suredividend.com/sure-analysis-CVS/","CVS Health Corp.")</f>
        <v>0</v>
      </c>
      <c r="C158">
        <v>63.19</v>
      </c>
      <c r="D158">
        <v>82595.0171</v>
      </c>
      <c r="E158" t="s">
        <v>642</v>
      </c>
      <c r="F158" t="s">
        <v>613</v>
      </c>
      <c r="G158" t="s">
        <v>653</v>
      </c>
      <c r="H158" t="s">
        <v>682</v>
      </c>
      <c r="I158" t="s">
        <v>842</v>
      </c>
      <c r="J158" t="s">
        <v>1280</v>
      </c>
      <c r="K158">
        <v>43957</v>
      </c>
      <c r="L158">
        <v>0.031650577623041</v>
      </c>
      <c r="M158">
        <v>0.0430118664476884</v>
      </c>
      <c r="N158">
        <v>0.05</v>
      </c>
      <c r="O158">
        <v>0.119565586607923</v>
      </c>
      <c r="P158" t="s">
        <v>618</v>
      </c>
      <c r="Q158" t="s">
        <v>618</v>
      </c>
      <c r="R158">
        <v>0</v>
      </c>
      <c r="S158">
        <v>0.2812939521800281</v>
      </c>
      <c r="T158">
        <v>78</v>
      </c>
      <c r="U158">
        <v>0.810128205128205</v>
      </c>
      <c r="V158">
        <v>5.5411</v>
      </c>
      <c r="W158">
        <v>7.11</v>
      </c>
      <c r="X158">
        <v>2</v>
      </c>
      <c r="Y158">
        <v>0.197</v>
      </c>
      <c r="Z158">
        <v>0.3711864406779661</v>
      </c>
      <c r="AA158">
        <v>0.9121061359867331</v>
      </c>
      <c r="AB158">
        <v>0.4991721854304636</v>
      </c>
      <c r="AC158">
        <v>0.6456953642384106</v>
      </c>
      <c r="AD158">
        <v>0.5629139072847682</v>
      </c>
    </row>
    <row r="159" spans="1:30">
      <c r="A159" s="1" t="s">
        <v>166</v>
      </c>
      <c r="B159">
        <f>HYPERLINK("https://www.suredividend.com/sure-analysis-SRE/","Sempra Energy")</f>
        <v>0</v>
      </c>
      <c r="C159">
        <v>119.2</v>
      </c>
      <c r="D159">
        <v>34853.2456</v>
      </c>
      <c r="E159" t="s">
        <v>644</v>
      </c>
      <c r="F159" t="s">
        <v>613</v>
      </c>
      <c r="G159" t="s">
        <v>653</v>
      </c>
      <c r="H159" t="s">
        <v>682</v>
      </c>
      <c r="I159" t="s">
        <v>843</v>
      </c>
      <c r="J159" t="s">
        <v>1287</v>
      </c>
      <c r="K159">
        <v>43964</v>
      </c>
      <c r="L159">
        <v>0.033116610738255</v>
      </c>
      <c r="M159">
        <v>0.02822666527339268</v>
      </c>
      <c r="N159">
        <v>0.06</v>
      </c>
      <c r="O159">
        <v>0.1181084771295908</v>
      </c>
      <c r="P159" t="s">
        <v>618</v>
      </c>
      <c r="Q159" t="s">
        <v>375</v>
      </c>
      <c r="R159">
        <v>10</v>
      </c>
      <c r="S159">
        <v>0.5482638888888889</v>
      </c>
      <c r="T159">
        <v>137</v>
      </c>
      <c r="U159">
        <v>0.8700729927007299</v>
      </c>
      <c r="V159">
        <v>8.384600000000001</v>
      </c>
      <c r="W159">
        <v>7.2</v>
      </c>
      <c r="X159">
        <v>3.9475</v>
      </c>
      <c r="Y159">
        <v>-0.08220000000000001</v>
      </c>
      <c r="Z159">
        <v>0.3915254237288135</v>
      </c>
      <c r="AA159">
        <v>0.6998341625207297</v>
      </c>
      <c r="AB159">
        <v>0.6341059602649007</v>
      </c>
      <c r="AC159">
        <v>0.5811258278145695</v>
      </c>
      <c r="AD159">
        <v>0.554635761589404</v>
      </c>
    </row>
    <row r="160" spans="1:30">
      <c r="A160" s="1" t="s">
        <v>167</v>
      </c>
      <c r="B160">
        <f>HYPERLINK("https://www.suredividend.com/sure-analysis-TRV/","The Travelers Cos., Inc.")</f>
        <v>0</v>
      </c>
      <c r="C160">
        <v>90.31</v>
      </c>
      <c r="D160">
        <v>22833.61916</v>
      </c>
      <c r="E160" t="s">
        <v>649</v>
      </c>
      <c r="F160" t="s">
        <v>613</v>
      </c>
      <c r="G160" t="s">
        <v>653</v>
      </c>
      <c r="H160" t="s">
        <v>682</v>
      </c>
      <c r="I160" t="s">
        <v>844</v>
      </c>
      <c r="J160" t="s">
        <v>1277</v>
      </c>
      <c r="K160">
        <v>43949</v>
      </c>
      <c r="L160">
        <v>0.036319344480124</v>
      </c>
      <c r="M160">
        <v>0.02262664976541351</v>
      </c>
      <c r="N160">
        <v>0.06</v>
      </c>
      <c r="O160">
        <v>0.1165411140912258</v>
      </c>
      <c r="P160" t="s">
        <v>618</v>
      </c>
      <c r="Q160" t="s">
        <v>618</v>
      </c>
      <c r="R160">
        <v>15</v>
      </c>
      <c r="S160">
        <v>0.3565217391304348</v>
      </c>
      <c r="T160">
        <v>101</v>
      </c>
      <c r="U160">
        <v>0.8941584158415842</v>
      </c>
      <c r="V160">
        <v>9.337300000000001</v>
      </c>
      <c r="W160">
        <v>9.199999999999999</v>
      </c>
      <c r="X160">
        <v>3.28</v>
      </c>
      <c r="Y160">
        <v>-0.3836</v>
      </c>
      <c r="Z160">
        <v>0.4203389830508475</v>
      </c>
      <c r="AA160">
        <v>0.2835820895522388</v>
      </c>
      <c r="AB160">
        <v>0.6341059602649007</v>
      </c>
      <c r="AC160">
        <v>0.554635761589404</v>
      </c>
      <c r="AD160">
        <v>0.5447019867549669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64.09</v>
      </c>
      <c r="D161">
        <v>145015.8021</v>
      </c>
      <c r="E161" t="s">
        <v>642</v>
      </c>
      <c r="F161" t="s">
        <v>613</v>
      </c>
      <c r="G161" t="s">
        <v>653</v>
      </c>
      <c r="H161" t="s">
        <v>682</v>
      </c>
      <c r="I161" t="s">
        <v>845</v>
      </c>
      <c r="J161" t="s">
        <v>1280</v>
      </c>
      <c r="K161">
        <v>43961</v>
      </c>
      <c r="L161">
        <v>0.02683726010298</v>
      </c>
      <c r="M161">
        <v>0.05052094617738678</v>
      </c>
      <c r="N161">
        <v>0.04</v>
      </c>
      <c r="O161">
        <v>0.1145288622822149</v>
      </c>
      <c r="P161" t="s">
        <v>618</v>
      </c>
      <c r="Q161" t="s">
        <v>618</v>
      </c>
      <c r="R161">
        <v>11</v>
      </c>
      <c r="S161">
        <v>0.2819672131147541</v>
      </c>
      <c r="T161">
        <v>82</v>
      </c>
      <c r="U161">
        <v>0.7815853658536586</v>
      </c>
      <c r="V161">
        <v>0.8106</v>
      </c>
      <c r="W161">
        <v>6.1</v>
      </c>
      <c r="X161">
        <v>1.72</v>
      </c>
      <c r="Y161">
        <v>0.3744</v>
      </c>
      <c r="Z161">
        <v>0.3135593220338983</v>
      </c>
      <c r="AA161">
        <v>0.9601990049751243</v>
      </c>
      <c r="AB161">
        <v>0.3493377483443709</v>
      </c>
      <c r="AC161">
        <v>0.6688741721854305</v>
      </c>
      <c r="AD161">
        <v>0.5331125827814569</v>
      </c>
    </row>
    <row r="162" spans="1:30">
      <c r="A162" s="1" t="s">
        <v>169</v>
      </c>
      <c r="B162">
        <f>HYPERLINK("https://www.suredividend.com/sure-analysis-TSN/","Tyson Foods, Inc.")</f>
        <v>0</v>
      </c>
      <c r="C162">
        <v>58.21</v>
      </c>
      <c r="D162">
        <v>17131.7851</v>
      </c>
      <c r="E162" t="s">
        <v>641</v>
      </c>
      <c r="F162" t="s">
        <v>613</v>
      </c>
      <c r="G162" t="s">
        <v>653</v>
      </c>
      <c r="H162" t="s">
        <v>682</v>
      </c>
      <c r="I162" t="s">
        <v>846</v>
      </c>
      <c r="J162" t="s">
        <v>1285</v>
      </c>
      <c r="K162">
        <v>43958</v>
      </c>
      <c r="L162">
        <v>0.028087957395636</v>
      </c>
      <c r="M162">
        <v>0.02543766956183902</v>
      </c>
      <c r="N162">
        <v>0.06</v>
      </c>
      <c r="O162">
        <v>0.1106310665764274</v>
      </c>
      <c r="P162" t="s">
        <v>618</v>
      </c>
      <c r="Q162" t="s">
        <v>618</v>
      </c>
      <c r="R162">
        <v>8</v>
      </c>
      <c r="S162">
        <v>0.2972727272727273</v>
      </c>
      <c r="T162">
        <v>66</v>
      </c>
      <c r="U162">
        <v>0.881969696969697</v>
      </c>
      <c r="V162">
        <v>5.5225</v>
      </c>
      <c r="W162">
        <v>5.5</v>
      </c>
      <c r="X162">
        <v>1.635</v>
      </c>
      <c r="Y162">
        <v>-0.2922</v>
      </c>
      <c r="Z162">
        <v>0.3305084745762712</v>
      </c>
      <c r="AA162">
        <v>0.4029850746268657</v>
      </c>
      <c r="AB162">
        <v>0.6341059602649007</v>
      </c>
      <c r="AC162">
        <v>0.5678807947019867</v>
      </c>
      <c r="AD162">
        <v>0.5231788079470199</v>
      </c>
    </row>
    <row r="163" spans="1:30">
      <c r="A163" s="1" t="s">
        <v>170</v>
      </c>
      <c r="B163">
        <f>HYPERLINK("https://www.suredividend.com/sure-analysis-JW.A/","John Wiley &amp; Sons, Inc.")</f>
        <v>0</v>
      </c>
      <c r="C163">
        <v>35.46</v>
      </c>
      <c r="D163">
        <v>1988.5968</v>
      </c>
      <c r="E163" t="s">
        <v>643</v>
      </c>
      <c r="F163" t="s">
        <v>613</v>
      </c>
      <c r="G163" t="s">
        <v>653</v>
      </c>
      <c r="H163" t="s">
        <v>682</v>
      </c>
      <c r="I163" t="s">
        <v>847</v>
      </c>
      <c r="J163" t="s">
        <v>1282</v>
      </c>
      <c r="K163">
        <v>43903</v>
      </c>
      <c r="L163">
        <v>0.038071065989847</v>
      </c>
      <c r="M163">
        <v>0.03931200751513719</v>
      </c>
      <c r="N163">
        <v>0.04</v>
      </c>
      <c r="O163">
        <v>0.1100398369129136</v>
      </c>
      <c r="P163" t="s">
        <v>618</v>
      </c>
      <c r="Q163" t="s">
        <v>618</v>
      </c>
      <c r="R163">
        <v>21</v>
      </c>
      <c r="S163">
        <v>0.54</v>
      </c>
      <c r="T163">
        <v>43</v>
      </c>
      <c r="U163">
        <v>0.8246511627906977</v>
      </c>
      <c r="V163">
        <v>2.5998</v>
      </c>
      <c r="W163">
        <v>2.5</v>
      </c>
      <c r="X163">
        <v>1.35</v>
      </c>
      <c r="Y163">
        <v>-0.2318</v>
      </c>
      <c r="Z163">
        <v>0.440677966101695</v>
      </c>
      <c r="AA163">
        <v>0.4742951907131012</v>
      </c>
      <c r="AB163">
        <v>0.3493377483443709</v>
      </c>
      <c r="AC163">
        <v>0.6241721854304636</v>
      </c>
      <c r="AD163">
        <v>0.5215231788079471</v>
      </c>
    </row>
    <row r="164" spans="1:30">
      <c r="A164" s="1" t="s">
        <v>171</v>
      </c>
      <c r="B164">
        <f>HYPERLINK("https://www.suredividend.com/sure-analysis-RDEIY/","Red Eléctrica Corp. SA")</f>
        <v>0</v>
      </c>
      <c r="C164">
        <v>8.470000000000001</v>
      </c>
      <c r="D164">
        <v>9144.097062000001</v>
      </c>
      <c r="E164" t="s">
        <v>642</v>
      </c>
      <c r="F164" t="s">
        <v>613</v>
      </c>
      <c r="G164" t="s">
        <v>661</v>
      </c>
      <c r="H164" t="s">
        <v>684</v>
      </c>
      <c r="I164" t="s">
        <v>848</v>
      </c>
      <c r="J164" t="s">
        <v>1287</v>
      </c>
      <c r="K164">
        <v>43966</v>
      </c>
      <c r="L164">
        <v>0.065419126328217</v>
      </c>
      <c r="M164">
        <v>0.00398232329071857</v>
      </c>
      <c r="N164">
        <v>0.05</v>
      </c>
      <c r="O164">
        <v>0.1090678903884272</v>
      </c>
      <c r="P164" t="s">
        <v>618</v>
      </c>
      <c r="Q164" t="s">
        <v>617</v>
      </c>
      <c r="R164">
        <v>4</v>
      </c>
      <c r="S164">
        <v>0.3847916666666667</v>
      </c>
      <c r="T164">
        <v>8.640000000000001</v>
      </c>
      <c r="U164">
        <v>0.9803240740740741</v>
      </c>
      <c r="V164">
        <v>0.745</v>
      </c>
      <c r="W164">
        <v>1.44</v>
      </c>
      <c r="X164">
        <v>0.5541</v>
      </c>
      <c r="Y164">
        <v>-0.2143</v>
      </c>
      <c r="Z164">
        <v>0.6745762711864407</v>
      </c>
      <c r="AA164">
        <v>0.5008291873963515</v>
      </c>
      <c r="AB164">
        <v>0.4991721854304636</v>
      </c>
      <c r="AC164">
        <v>0.4486754966887417</v>
      </c>
      <c r="AD164">
        <v>0.5182119205298013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44.27</v>
      </c>
      <c r="D165">
        <v>187743.7576</v>
      </c>
      <c r="E165" t="s">
        <v>642</v>
      </c>
      <c r="F165" t="s">
        <v>613</v>
      </c>
      <c r="G165" t="s">
        <v>653</v>
      </c>
      <c r="H165" t="s">
        <v>683</v>
      </c>
      <c r="I165" t="s">
        <v>849</v>
      </c>
      <c r="J165" t="s">
        <v>1286</v>
      </c>
      <c r="K165">
        <v>43966</v>
      </c>
      <c r="L165">
        <v>0.03185001129433</v>
      </c>
      <c r="M165">
        <v>0.02051011014924731</v>
      </c>
      <c r="N165">
        <v>0.06</v>
      </c>
      <c r="O165">
        <v>0.108771810602633</v>
      </c>
      <c r="P165" t="s">
        <v>618</v>
      </c>
      <c r="Q165" t="s">
        <v>375</v>
      </c>
      <c r="R165">
        <v>10</v>
      </c>
      <c r="S165">
        <v>0.4351851851851852</v>
      </c>
      <c r="T165">
        <v>49</v>
      </c>
      <c r="U165">
        <v>0.9034693877551021</v>
      </c>
      <c r="V165">
        <v>2.5442</v>
      </c>
      <c r="W165">
        <v>3.24</v>
      </c>
      <c r="X165">
        <v>1.41</v>
      </c>
      <c r="Y165">
        <v>-0.1558</v>
      </c>
      <c r="Z165">
        <v>0.376271186440678</v>
      </c>
      <c r="AA165">
        <v>0.593698175787728</v>
      </c>
      <c r="AB165">
        <v>0.6341059602649007</v>
      </c>
      <c r="AC165">
        <v>0.5413907284768212</v>
      </c>
      <c r="AD165">
        <v>0.5165562913907285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19.86</v>
      </c>
      <c r="D166">
        <v>3982.36692</v>
      </c>
      <c r="E166" t="s">
        <v>649</v>
      </c>
      <c r="F166" t="s">
        <v>613</v>
      </c>
      <c r="G166" t="s">
        <v>653</v>
      </c>
      <c r="H166" t="s">
        <v>682</v>
      </c>
      <c r="I166" t="s">
        <v>850</v>
      </c>
      <c r="J166" t="s">
        <v>1283</v>
      </c>
      <c r="K166">
        <v>43964</v>
      </c>
      <c r="L166">
        <v>0.041289023162134</v>
      </c>
      <c r="M166">
        <v>0.05535560436283005</v>
      </c>
      <c r="N166">
        <v>0.02</v>
      </c>
      <c r="O166">
        <v>0.1073242057577264</v>
      </c>
      <c r="P166" t="s">
        <v>618</v>
      </c>
      <c r="Q166" t="s">
        <v>618</v>
      </c>
      <c r="R166">
        <v>28</v>
      </c>
      <c r="S166">
        <v>0.4969696969696971</v>
      </c>
      <c r="T166">
        <v>26</v>
      </c>
      <c r="U166">
        <v>0.7638461538461538</v>
      </c>
      <c r="V166">
        <v>1.6022</v>
      </c>
      <c r="W166">
        <v>1.65</v>
      </c>
      <c r="X166">
        <v>0.8200000000000001</v>
      </c>
      <c r="Y166">
        <v>-0.2163</v>
      </c>
      <c r="Z166">
        <v>0.4796610169491525</v>
      </c>
      <c r="AA166">
        <v>0.4975124378109453</v>
      </c>
      <c r="AB166">
        <v>0.1274834437086093</v>
      </c>
      <c r="AC166">
        <v>0.6870860927152317</v>
      </c>
      <c r="AD166">
        <v>0.5099337748344371</v>
      </c>
    </row>
    <row r="167" spans="1:30">
      <c r="A167" s="1" t="s">
        <v>174</v>
      </c>
      <c r="B167">
        <f>HYPERLINK("https://www.suredividend.com/sure-analysis-XYL/","Xylem, Inc.")</f>
        <v>0</v>
      </c>
      <c r="C167">
        <v>58.19</v>
      </c>
      <c r="D167">
        <v>10469.25385</v>
      </c>
      <c r="E167" t="s">
        <v>643</v>
      </c>
      <c r="F167" t="s">
        <v>613</v>
      </c>
      <c r="G167" t="s">
        <v>653</v>
      </c>
      <c r="H167" t="s">
        <v>682</v>
      </c>
      <c r="I167" t="s">
        <v>851</v>
      </c>
      <c r="J167" t="s">
        <v>1278</v>
      </c>
      <c r="K167">
        <v>43867</v>
      </c>
      <c r="L167">
        <v>0.016841381680701</v>
      </c>
      <c r="M167">
        <v>-0.0006538877465994686</v>
      </c>
      <c r="N167">
        <v>0.09</v>
      </c>
      <c r="O167">
        <v>0.1062837530572682</v>
      </c>
      <c r="P167" t="s">
        <v>618</v>
      </c>
      <c r="Q167" t="s">
        <v>316</v>
      </c>
      <c r="R167">
        <v>9</v>
      </c>
      <c r="S167">
        <v>0.3202614379084967</v>
      </c>
      <c r="T167">
        <v>58</v>
      </c>
      <c r="U167">
        <v>1.003275862068965</v>
      </c>
      <c r="V167">
        <v>1.9969</v>
      </c>
      <c r="W167">
        <v>3.06</v>
      </c>
      <c r="X167">
        <v>0.98</v>
      </c>
      <c r="Y167">
        <v>-0.2388</v>
      </c>
      <c r="Z167">
        <v>0.1423728813559322</v>
      </c>
      <c r="AA167">
        <v>0.4660033167495854</v>
      </c>
      <c r="AB167">
        <v>0.8600993377483444</v>
      </c>
      <c r="AC167">
        <v>0.4188741721854305</v>
      </c>
      <c r="AD167">
        <v>0.5066225165562914</v>
      </c>
    </row>
    <row r="168" spans="1:30">
      <c r="A168" s="1" t="s">
        <v>175</v>
      </c>
      <c r="B168">
        <f>HYPERLINK("https://www.suredividend.com/sure-analysis-DNKN/","Dunkin' Brands Group, Inc.")</f>
        <v>0</v>
      </c>
      <c r="C168">
        <v>63.2</v>
      </c>
      <c r="D168">
        <v>5189.44048</v>
      </c>
      <c r="E168" t="s">
        <v>645</v>
      </c>
      <c r="F168" t="s">
        <v>613</v>
      </c>
      <c r="G168" t="s">
        <v>653</v>
      </c>
      <c r="H168" t="s">
        <v>683</v>
      </c>
      <c r="I168" t="s">
        <v>852</v>
      </c>
      <c r="J168" t="s">
        <v>1279</v>
      </c>
      <c r="K168">
        <v>43901</v>
      </c>
      <c r="L168">
        <v>0.024169303797468</v>
      </c>
      <c r="M168">
        <v>0.002518923611994461</v>
      </c>
      <c r="N168">
        <v>0.08</v>
      </c>
      <c r="O168">
        <v>0.1052781755478429</v>
      </c>
      <c r="P168" t="s">
        <v>618</v>
      </c>
      <c r="Q168" t="s">
        <v>316</v>
      </c>
      <c r="R168">
        <v>8</v>
      </c>
      <c r="S168">
        <v>0.4788401253918496</v>
      </c>
      <c r="T168">
        <v>64</v>
      </c>
      <c r="U168">
        <v>0.9875</v>
      </c>
      <c r="V168">
        <v>2.9204</v>
      </c>
      <c r="W168">
        <v>3.19</v>
      </c>
      <c r="X168">
        <v>1.5275</v>
      </c>
      <c r="Y168">
        <v>-0.1515</v>
      </c>
      <c r="Z168">
        <v>0.2762711864406779</v>
      </c>
      <c r="AA168">
        <v>0.6053067993366501</v>
      </c>
      <c r="AB168">
        <v>0.8038079470198676</v>
      </c>
      <c r="AC168">
        <v>0.4354304635761589</v>
      </c>
      <c r="AD168">
        <v>0.4983443708609271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26.3</v>
      </c>
      <c r="D169">
        <v>37008.045</v>
      </c>
      <c r="E169" t="s">
        <v>645</v>
      </c>
      <c r="F169" t="s">
        <v>613</v>
      </c>
      <c r="G169" t="s">
        <v>653</v>
      </c>
      <c r="H169" t="s">
        <v>682</v>
      </c>
      <c r="I169" t="s">
        <v>853</v>
      </c>
      <c r="J169" t="s">
        <v>1285</v>
      </c>
      <c r="K169">
        <v>43922</v>
      </c>
      <c r="L169">
        <v>0.022813688212927</v>
      </c>
      <c r="M169">
        <v>-0.01008740028129462</v>
      </c>
      <c r="N169">
        <v>0.1</v>
      </c>
      <c r="O169">
        <v>0.1046677485239156</v>
      </c>
      <c r="P169" t="s">
        <v>618</v>
      </c>
      <c r="Q169" t="s">
        <v>316</v>
      </c>
      <c r="R169">
        <v>0</v>
      </c>
      <c r="S169">
        <v>0.4316546762589929</v>
      </c>
      <c r="T169">
        <v>25</v>
      </c>
      <c r="U169">
        <v>1.052</v>
      </c>
      <c r="V169">
        <v>0.8388</v>
      </c>
      <c r="W169">
        <v>1.39</v>
      </c>
      <c r="X169">
        <v>0.6000000000000001</v>
      </c>
      <c r="Y169">
        <v>-0.1097</v>
      </c>
      <c r="Z169">
        <v>0.2406779661016949</v>
      </c>
      <c r="AA169">
        <v>0.6683250414593698</v>
      </c>
      <c r="AB169">
        <v>0.8981788079470199</v>
      </c>
      <c r="AC169">
        <v>0.3857615894039735</v>
      </c>
      <c r="AD169">
        <v>0.4917218543046358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54.71</v>
      </c>
      <c r="D170">
        <v>226389.98</v>
      </c>
      <c r="E170" t="s">
        <v>642</v>
      </c>
      <c r="F170" t="s">
        <v>613</v>
      </c>
      <c r="G170" t="s">
        <v>653</v>
      </c>
      <c r="H170" t="s">
        <v>682</v>
      </c>
      <c r="I170" t="s">
        <v>854</v>
      </c>
      <c r="J170" t="s">
        <v>1282</v>
      </c>
      <c r="K170">
        <v>43945</v>
      </c>
      <c r="L170">
        <v>0.044735880095046</v>
      </c>
      <c r="M170">
        <v>0.02861953258404348</v>
      </c>
      <c r="N170">
        <v>0.04</v>
      </c>
      <c r="O170">
        <v>0.1039851653812611</v>
      </c>
      <c r="P170" t="s">
        <v>618</v>
      </c>
      <c r="Q170" t="s">
        <v>618</v>
      </c>
      <c r="R170">
        <v>15</v>
      </c>
      <c r="S170">
        <v>0.5088357588357588</v>
      </c>
      <c r="T170">
        <v>63</v>
      </c>
      <c r="U170">
        <v>0.8684126984126984</v>
      </c>
      <c r="V170">
        <v>4.4434</v>
      </c>
      <c r="W170">
        <v>4.81</v>
      </c>
      <c r="X170">
        <v>2.4475</v>
      </c>
      <c r="Y170">
        <v>-0.037</v>
      </c>
      <c r="Z170">
        <v>0.5271186440677966</v>
      </c>
      <c r="AA170">
        <v>0.7263681592039801</v>
      </c>
      <c r="AB170">
        <v>0.3493377483443709</v>
      </c>
      <c r="AC170">
        <v>0.5827814569536424</v>
      </c>
      <c r="AD170">
        <v>0.4867549668874173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36.03</v>
      </c>
      <c r="D171">
        <v>16728.729</v>
      </c>
      <c r="E171" t="s">
        <v>650</v>
      </c>
      <c r="F171" t="s">
        <v>613</v>
      </c>
      <c r="G171" t="s">
        <v>659</v>
      </c>
      <c r="H171" t="s">
        <v>682</v>
      </c>
      <c r="I171" t="s">
        <v>855</v>
      </c>
      <c r="J171" t="s">
        <v>1287</v>
      </c>
      <c r="K171">
        <v>43878</v>
      </c>
      <c r="L171">
        <v>0.038685447747328</v>
      </c>
      <c r="M171">
        <v>0.01596809314053926</v>
      </c>
      <c r="N171">
        <v>0.05</v>
      </c>
      <c r="O171">
        <v>0.1017448009664756</v>
      </c>
      <c r="P171" t="s">
        <v>618</v>
      </c>
      <c r="Q171" t="s">
        <v>618</v>
      </c>
      <c r="R171">
        <v>46</v>
      </c>
      <c r="S171">
        <v>0.690018159572401</v>
      </c>
      <c r="T171">
        <v>39</v>
      </c>
      <c r="U171">
        <v>0.9238461538461539</v>
      </c>
      <c r="V171">
        <v>2.8101</v>
      </c>
      <c r="W171">
        <v>2.02</v>
      </c>
      <c r="X171">
        <v>1.39383668233625</v>
      </c>
      <c r="Y171">
        <v>-0.03870000000000001</v>
      </c>
      <c r="Z171">
        <v>0.4474576271186441</v>
      </c>
      <c r="AA171">
        <v>0.7230514096185737</v>
      </c>
      <c r="AB171">
        <v>0.4991721854304636</v>
      </c>
      <c r="AC171">
        <v>0.5149006622516556</v>
      </c>
      <c r="AD171">
        <v>0.4735099337748344</v>
      </c>
    </row>
    <row r="172" spans="1:30">
      <c r="A172" s="1" t="s">
        <v>179</v>
      </c>
      <c r="B172">
        <f>HYPERLINK("https://www.suredividend.com/sure-analysis-HON/","Honeywell International, Inc.")</f>
        <v>0</v>
      </c>
      <c r="C172">
        <v>125.41</v>
      </c>
      <c r="D172">
        <v>88018.75768</v>
      </c>
      <c r="E172" t="s">
        <v>642</v>
      </c>
      <c r="F172" t="s">
        <v>613</v>
      </c>
      <c r="G172" t="s">
        <v>653</v>
      </c>
      <c r="H172" t="s">
        <v>682</v>
      </c>
      <c r="I172" t="s">
        <v>856</v>
      </c>
      <c r="J172" t="s">
        <v>1278</v>
      </c>
      <c r="K172">
        <v>43956</v>
      </c>
      <c r="L172">
        <v>0.027430029503229</v>
      </c>
      <c r="M172">
        <v>-0.01378696414031977</v>
      </c>
      <c r="N172">
        <v>0.09</v>
      </c>
      <c r="O172">
        <v>0.1016631619620596</v>
      </c>
      <c r="P172" t="s">
        <v>618</v>
      </c>
      <c r="Q172" t="s">
        <v>375</v>
      </c>
      <c r="R172">
        <v>10</v>
      </c>
      <c r="S172">
        <v>0.445019404915912</v>
      </c>
      <c r="T172">
        <v>117</v>
      </c>
      <c r="U172">
        <v>1.071880341880342</v>
      </c>
      <c r="V172">
        <v>8.8103</v>
      </c>
      <c r="W172">
        <v>7.73</v>
      </c>
      <c r="X172">
        <v>3.44</v>
      </c>
      <c r="Y172">
        <v>-0.2596</v>
      </c>
      <c r="Z172">
        <v>0.3203389830508475</v>
      </c>
      <c r="AA172">
        <v>0.4444444444444444</v>
      </c>
      <c r="AB172">
        <v>0.8600993377483444</v>
      </c>
      <c r="AC172">
        <v>0.3625827814569537</v>
      </c>
      <c r="AD172">
        <v>0.4718543046357616</v>
      </c>
    </row>
    <row r="173" spans="1:30">
      <c r="A173" s="1" t="s">
        <v>180</v>
      </c>
      <c r="B173">
        <f>HYPERLINK("https://www.suredividend.com/sure-analysis-EIX/","Edison International")</f>
        <v>0</v>
      </c>
      <c r="C173">
        <v>55.95</v>
      </c>
      <c r="D173">
        <v>21145.79895</v>
      </c>
      <c r="E173" t="s">
        <v>646</v>
      </c>
      <c r="F173" t="s">
        <v>613</v>
      </c>
      <c r="G173" t="s">
        <v>653</v>
      </c>
      <c r="H173" t="s">
        <v>682</v>
      </c>
      <c r="I173" t="s">
        <v>857</v>
      </c>
      <c r="J173" t="s">
        <v>1287</v>
      </c>
      <c r="K173">
        <v>43912</v>
      </c>
      <c r="L173">
        <v>0.044682752457551</v>
      </c>
      <c r="M173">
        <v>0.02074748777390245</v>
      </c>
      <c r="N173">
        <v>0.04</v>
      </c>
      <c r="O173">
        <v>0.09922129056791773</v>
      </c>
      <c r="P173" t="s">
        <v>618</v>
      </c>
      <c r="Q173" t="s">
        <v>618</v>
      </c>
      <c r="R173">
        <v>15</v>
      </c>
      <c r="S173">
        <v>0.5112474437627812</v>
      </c>
      <c r="T173">
        <v>62</v>
      </c>
      <c r="U173">
        <v>0.9024193548387097</v>
      </c>
      <c r="V173">
        <v>3.4612</v>
      </c>
      <c r="W173">
        <v>4.89</v>
      </c>
      <c r="X173">
        <v>2.5</v>
      </c>
      <c r="Y173">
        <v>-0.06770000000000001</v>
      </c>
      <c r="Z173">
        <v>0.523728813559322</v>
      </c>
      <c r="AA173">
        <v>0.7056384742951907</v>
      </c>
      <c r="AB173">
        <v>0.3493377483443709</v>
      </c>
      <c r="AC173">
        <v>0.543046357615894</v>
      </c>
      <c r="AD173">
        <v>0.4503311258278145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93.47</v>
      </c>
      <c r="D174">
        <v>51148.84034</v>
      </c>
      <c r="E174" t="s">
        <v>645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43901</v>
      </c>
      <c r="L174">
        <v>0.01203594736279</v>
      </c>
      <c r="M174">
        <v>-0.0306434507654515</v>
      </c>
      <c r="N174">
        <v>0.12</v>
      </c>
      <c r="O174">
        <v>0.09850328643820849</v>
      </c>
      <c r="P174" t="s">
        <v>618</v>
      </c>
      <c r="Q174" t="s">
        <v>316</v>
      </c>
      <c r="R174">
        <v>7</v>
      </c>
      <c r="S174">
        <v>0.2665876777251185</v>
      </c>
      <c r="T174">
        <v>80</v>
      </c>
      <c r="U174">
        <v>1.168375</v>
      </c>
      <c r="V174">
        <v>3.7696</v>
      </c>
      <c r="W174">
        <v>4.22</v>
      </c>
      <c r="X174">
        <v>1.125</v>
      </c>
      <c r="Y174">
        <v>0.1595</v>
      </c>
      <c r="Z174">
        <v>0.07796610169491525</v>
      </c>
      <c r="AA174">
        <v>0.8888888888888888</v>
      </c>
      <c r="AB174">
        <v>0.9321192052980132</v>
      </c>
      <c r="AC174">
        <v>0.2748344370860927</v>
      </c>
      <c r="AD174">
        <v>0.445364238410596</v>
      </c>
    </row>
    <row r="175" spans="1:30">
      <c r="A175" s="1" t="s">
        <v>182</v>
      </c>
      <c r="B175">
        <f>HYPERLINK("https://www.suredividend.com/sure-analysis-IBM/","International Business Machines Corp.")</f>
        <v>0</v>
      </c>
      <c r="C175">
        <v>116.98</v>
      </c>
      <c r="D175">
        <v>103865.60616</v>
      </c>
      <c r="E175" t="s">
        <v>645</v>
      </c>
      <c r="F175" t="s">
        <v>613</v>
      </c>
      <c r="G175" t="s">
        <v>653</v>
      </c>
      <c r="H175" t="s">
        <v>682</v>
      </c>
      <c r="I175" t="s">
        <v>859</v>
      </c>
      <c r="J175" t="s">
        <v>1286</v>
      </c>
      <c r="K175">
        <v>43958</v>
      </c>
      <c r="L175">
        <v>0.05539408445888101</v>
      </c>
      <c r="M175">
        <v>0.008439022418601727</v>
      </c>
      <c r="N175">
        <v>0.04</v>
      </c>
      <c r="O175">
        <v>0.09748823749592406</v>
      </c>
      <c r="P175" t="s">
        <v>618</v>
      </c>
      <c r="Q175" t="s">
        <v>617</v>
      </c>
      <c r="R175">
        <v>25</v>
      </c>
      <c r="S175">
        <v>0.5843101893597836</v>
      </c>
      <c r="T175">
        <v>122</v>
      </c>
      <c r="U175">
        <v>0.9588524590163935</v>
      </c>
      <c r="V175">
        <v>10.166</v>
      </c>
      <c r="W175">
        <v>11.09</v>
      </c>
      <c r="X175">
        <v>6.48</v>
      </c>
      <c r="Y175">
        <v>-0.1296</v>
      </c>
      <c r="Z175">
        <v>0.6203389830508474</v>
      </c>
      <c r="AA175">
        <v>0.6384742951907131</v>
      </c>
      <c r="AB175">
        <v>0.3493377483443709</v>
      </c>
      <c r="AC175">
        <v>0.4751655629139073</v>
      </c>
      <c r="AD175">
        <v>0.4370860927152318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46.72</v>
      </c>
      <c r="D176">
        <v>7800.810368</v>
      </c>
      <c r="E176" t="s">
        <v>646</v>
      </c>
      <c r="F176" t="s">
        <v>615</v>
      </c>
      <c r="G176" t="s">
        <v>653</v>
      </c>
      <c r="H176" t="s">
        <v>682</v>
      </c>
      <c r="I176" t="s">
        <v>860</v>
      </c>
      <c r="J176" t="s">
        <v>1287</v>
      </c>
      <c r="K176">
        <v>43858</v>
      </c>
      <c r="L176">
        <v>0.04361087328767101</v>
      </c>
      <c r="M176">
        <v>0.01768522272177275</v>
      </c>
      <c r="N176">
        <v>0.04</v>
      </c>
      <c r="O176">
        <v>0.09549229506457735</v>
      </c>
      <c r="P176" t="s">
        <v>618</v>
      </c>
      <c r="Q176" t="s">
        <v>618</v>
      </c>
      <c r="R176">
        <v>5</v>
      </c>
      <c r="S176">
        <v>0.3091805766312595</v>
      </c>
      <c r="T176">
        <v>51</v>
      </c>
      <c r="U176">
        <v>0.916078431372549</v>
      </c>
      <c r="V176">
        <v>-4.549</v>
      </c>
      <c r="W176">
        <v>6.59</v>
      </c>
      <c r="X176">
        <v>2.0375</v>
      </c>
      <c r="Y176">
        <v>0.0259</v>
      </c>
      <c r="Z176">
        <v>0.5084745762711864</v>
      </c>
      <c r="AA176">
        <v>0.7893864013266999</v>
      </c>
      <c r="AB176">
        <v>0.3493377483443709</v>
      </c>
      <c r="AC176">
        <v>0.5264900662251656</v>
      </c>
      <c r="AD176">
        <v>0.4288079470198676</v>
      </c>
    </row>
    <row r="177" spans="1:30">
      <c r="A177" s="1" t="s">
        <v>184</v>
      </c>
      <c r="B177">
        <f>HYPERLINK("https://www.suredividend.com/sure-analysis-UVV/","Universal Corp.")</f>
        <v>0</v>
      </c>
      <c r="C177">
        <v>41.39</v>
      </c>
      <c r="D177">
        <v>1021.0913</v>
      </c>
      <c r="E177" t="s">
        <v>643</v>
      </c>
      <c r="F177" t="s">
        <v>613</v>
      </c>
      <c r="G177" t="s">
        <v>653</v>
      </c>
      <c r="H177" t="s">
        <v>682</v>
      </c>
      <c r="I177" t="s">
        <v>861</v>
      </c>
      <c r="J177" t="s">
        <v>1285</v>
      </c>
      <c r="K177">
        <v>43881</v>
      </c>
      <c r="L177">
        <v>0.07320608842715601</v>
      </c>
      <c r="M177">
        <v>0.007661361171913184</v>
      </c>
      <c r="N177">
        <v>0.025</v>
      </c>
      <c r="O177">
        <v>0.09378734114396514</v>
      </c>
      <c r="P177" t="s">
        <v>618</v>
      </c>
      <c r="Q177" t="s">
        <v>617</v>
      </c>
      <c r="R177">
        <v>48</v>
      </c>
      <c r="S177">
        <v>0.7670886075949366</v>
      </c>
      <c r="T177">
        <v>43</v>
      </c>
      <c r="U177">
        <v>0.9625581395348838</v>
      </c>
      <c r="V177">
        <v>3.4906</v>
      </c>
      <c r="W177">
        <v>3.95</v>
      </c>
      <c r="X177">
        <v>3.03</v>
      </c>
      <c r="Y177">
        <v>-0.2051</v>
      </c>
      <c r="Z177">
        <v>0.728813559322034</v>
      </c>
      <c r="AA177">
        <v>0.5107794361525705</v>
      </c>
      <c r="AB177">
        <v>0.1647350993377484</v>
      </c>
      <c r="AC177">
        <v>0.4685430463576158</v>
      </c>
      <c r="AD177">
        <v>0.4205298013245033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45.95</v>
      </c>
      <c r="D178">
        <v>11464.7088</v>
      </c>
      <c r="E178" t="s">
        <v>648</v>
      </c>
      <c r="F178" t="s">
        <v>613</v>
      </c>
      <c r="G178" t="s">
        <v>653</v>
      </c>
      <c r="H178" t="s">
        <v>683</v>
      </c>
      <c r="I178" t="s">
        <v>862</v>
      </c>
      <c r="J178" t="s">
        <v>1287</v>
      </c>
      <c r="K178">
        <v>43938</v>
      </c>
      <c r="L178">
        <v>0.031447225244831</v>
      </c>
      <c r="M178">
        <v>0.008767645026956927</v>
      </c>
      <c r="N178">
        <v>0.055</v>
      </c>
      <c r="O178">
        <v>0.09261870044657061</v>
      </c>
      <c r="P178" t="s">
        <v>618</v>
      </c>
      <c r="Q178" t="s">
        <v>375</v>
      </c>
      <c r="R178">
        <v>17</v>
      </c>
      <c r="S178">
        <v>0.5995850622406639</v>
      </c>
      <c r="T178">
        <v>48</v>
      </c>
      <c r="U178">
        <v>0.9572916666666668</v>
      </c>
      <c r="V178">
        <v>2.5018</v>
      </c>
      <c r="W178">
        <v>2.41</v>
      </c>
      <c r="X178">
        <v>1.445</v>
      </c>
      <c r="Y178">
        <v>-0.0287</v>
      </c>
      <c r="Z178">
        <v>0.3694915254237288</v>
      </c>
      <c r="AA178">
        <v>0.7446102819237147</v>
      </c>
      <c r="AB178">
        <v>0.5786423841059603</v>
      </c>
      <c r="AC178">
        <v>0.4768211920529801</v>
      </c>
      <c r="AD178">
        <v>0.4155629139072847</v>
      </c>
    </row>
    <row r="179" spans="1:30">
      <c r="A179" s="1" t="s">
        <v>186</v>
      </c>
      <c r="B179">
        <f>HYPERLINK("https://www.suredividend.com/sure-analysis-MDLZ/","Mondelez International, Inc.")</f>
        <v>0</v>
      </c>
      <c r="C179">
        <v>49.96</v>
      </c>
      <c r="D179">
        <v>71315.9016</v>
      </c>
      <c r="E179" t="s">
        <v>650</v>
      </c>
      <c r="F179" t="s">
        <v>613</v>
      </c>
      <c r="G179" t="s">
        <v>653</v>
      </c>
      <c r="H179" t="s">
        <v>683</v>
      </c>
      <c r="I179" t="s">
        <v>863</v>
      </c>
      <c r="J179" t="s">
        <v>1285</v>
      </c>
      <c r="K179">
        <v>43958</v>
      </c>
      <c r="L179">
        <v>0.022317854283426</v>
      </c>
      <c r="M179">
        <v>0.0001600768450848999</v>
      </c>
      <c r="N179">
        <v>0.07000000000000001</v>
      </c>
      <c r="O179">
        <v>0.09078071839957014</v>
      </c>
      <c r="P179" t="s">
        <v>618</v>
      </c>
      <c r="Q179" t="s">
        <v>316</v>
      </c>
      <c r="R179">
        <v>7</v>
      </c>
      <c r="S179">
        <v>0.4495967741935484</v>
      </c>
      <c r="T179">
        <v>50</v>
      </c>
      <c r="U179">
        <v>0.9992</v>
      </c>
      <c r="V179">
        <v>2.5722</v>
      </c>
      <c r="W179">
        <v>2.48</v>
      </c>
      <c r="X179">
        <v>1.115</v>
      </c>
      <c r="Y179">
        <v>-0.0361</v>
      </c>
      <c r="Z179">
        <v>0.2271186440677966</v>
      </c>
      <c r="AA179">
        <v>0.7313432835820897</v>
      </c>
      <c r="AB179">
        <v>0.7259933774834437</v>
      </c>
      <c r="AC179">
        <v>0.4254966887417219</v>
      </c>
      <c r="AD179">
        <v>0.3990066225165563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160.36</v>
      </c>
      <c r="D180">
        <v>41080.86444</v>
      </c>
      <c r="E180" t="s">
        <v>643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43958</v>
      </c>
      <c r="L180">
        <v>0.022948366176103</v>
      </c>
      <c r="M180">
        <v>0.003271121084361894</v>
      </c>
      <c r="N180">
        <v>0.065</v>
      </c>
      <c r="O180">
        <v>0.09035386788043454</v>
      </c>
      <c r="P180" t="s">
        <v>618</v>
      </c>
      <c r="Q180" t="s">
        <v>316</v>
      </c>
      <c r="R180">
        <v>3</v>
      </c>
      <c r="S180">
        <v>0.4329411764705883</v>
      </c>
      <c r="T180">
        <v>163</v>
      </c>
      <c r="U180">
        <v>0.9838036809815952</v>
      </c>
      <c r="V180">
        <v>9.2597</v>
      </c>
      <c r="W180">
        <v>8.5</v>
      </c>
      <c r="X180">
        <v>3.68</v>
      </c>
      <c r="Y180">
        <v>-0.2014</v>
      </c>
      <c r="Z180">
        <v>0.2440677966101695</v>
      </c>
      <c r="AA180">
        <v>0.5223880597014925</v>
      </c>
      <c r="AB180">
        <v>0.6837748344370861</v>
      </c>
      <c r="AC180">
        <v>0.4403973509933775</v>
      </c>
      <c r="AD180">
        <v>0.3956953642384106</v>
      </c>
    </row>
    <row r="181" spans="1:30">
      <c r="A181" s="1" t="s">
        <v>188</v>
      </c>
      <c r="B181">
        <f>HYPERLINK("https://www.suredividend.com/sure-analysis-DEO/","Diageo Plc")</f>
        <v>0</v>
      </c>
      <c r="C181">
        <v>134.62</v>
      </c>
      <c r="D181">
        <v>78558.8472</v>
      </c>
      <c r="E181" t="s">
        <v>642</v>
      </c>
      <c r="F181" t="s">
        <v>613</v>
      </c>
      <c r="G181" t="s">
        <v>654</v>
      </c>
      <c r="H181" t="s">
        <v>682</v>
      </c>
      <c r="I181" t="s">
        <v>865</v>
      </c>
      <c r="J181" t="s">
        <v>1285</v>
      </c>
      <c r="K181">
        <v>43867</v>
      </c>
      <c r="L181">
        <v>0.025486183330857</v>
      </c>
      <c r="M181">
        <v>-0.01314762242304712</v>
      </c>
      <c r="N181">
        <v>0.08</v>
      </c>
      <c r="O181">
        <v>0.08852286435546097</v>
      </c>
      <c r="P181" t="s">
        <v>618</v>
      </c>
      <c r="Q181" t="s">
        <v>316</v>
      </c>
      <c r="R181">
        <v>7</v>
      </c>
      <c r="S181">
        <v>0.4972391304347826</v>
      </c>
      <c r="T181">
        <v>126</v>
      </c>
      <c r="U181">
        <v>1.068412698412698</v>
      </c>
      <c r="V181">
        <v>6.5613</v>
      </c>
      <c r="W181">
        <v>6.9</v>
      </c>
      <c r="X181">
        <v>3.43095</v>
      </c>
      <c r="Y181">
        <v>-0.2084</v>
      </c>
      <c r="Z181">
        <v>0.2983050847457627</v>
      </c>
      <c r="AA181">
        <v>0.5058043117744611</v>
      </c>
      <c r="AB181">
        <v>0.8038079470198676</v>
      </c>
      <c r="AC181">
        <v>0.3642384105960265</v>
      </c>
      <c r="AD181">
        <v>0.3857615894039735</v>
      </c>
    </row>
    <row r="182" spans="1:30">
      <c r="A182" s="1" t="s">
        <v>189</v>
      </c>
      <c r="B182">
        <f>HYPERLINK("https://www.suredividend.com/sure-analysis-KO/","The Coca-Cola Co.")</f>
        <v>0</v>
      </c>
      <c r="C182">
        <v>43.26</v>
      </c>
      <c r="D182">
        <v>185796.9414</v>
      </c>
      <c r="E182" t="s">
        <v>649</v>
      </c>
      <c r="F182" t="s">
        <v>613</v>
      </c>
      <c r="G182" t="s">
        <v>653</v>
      </c>
      <c r="H182" t="s">
        <v>682</v>
      </c>
      <c r="I182" t="s">
        <v>866</v>
      </c>
      <c r="J182" t="s">
        <v>1285</v>
      </c>
      <c r="K182">
        <v>43956</v>
      </c>
      <c r="L182">
        <v>0.037216828478964</v>
      </c>
      <c r="M182">
        <v>-0.01554766083366377</v>
      </c>
      <c r="N182">
        <v>0.07000000000000001</v>
      </c>
      <c r="O182">
        <v>0.08778901481467671</v>
      </c>
      <c r="P182" t="s">
        <v>618</v>
      </c>
      <c r="Q182" t="s">
        <v>618</v>
      </c>
      <c r="R182">
        <v>58</v>
      </c>
      <c r="S182">
        <v>0.8473684210526315</v>
      </c>
      <c r="T182">
        <v>40</v>
      </c>
      <c r="U182">
        <v>1.0815</v>
      </c>
      <c r="V182">
        <v>2.3404</v>
      </c>
      <c r="W182">
        <v>1.9</v>
      </c>
      <c r="X182">
        <v>1.61</v>
      </c>
      <c r="Y182">
        <v>-0.1204</v>
      </c>
      <c r="Z182">
        <v>0.4305084745762712</v>
      </c>
      <c r="AA182">
        <v>0.6517412935323383</v>
      </c>
      <c r="AB182">
        <v>0.7259933774834437</v>
      </c>
      <c r="AC182">
        <v>0.3509933774834437</v>
      </c>
      <c r="AD182">
        <v>0.380794701986755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106.22</v>
      </c>
      <c r="D183">
        <v>17721.31992</v>
      </c>
      <c r="E183" t="s">
        <v>646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0.01600451892299</v>
      </c>
      <c r="M183">
        <v>-0.03693572041597404</v>
      </c>
      <c r="N183">
        <v>0.112</v>
      </c>
      <c r="O183">
        <v>0.08732003843768643</v>
      </c>
      <c r="P183" t="s">
        <v>618</v>
      </c>
      <c r="Q183" t="s">
        <v>316</v>
      </c>
      <c r="R183">
        <v>5</v>
      </c>
      <c r="S183">
        <v>0.2896081771720613</v>
      </c>
      <c r="T183">
        <v>88</v>
      </c>
      <c r="U183">
        <v>1.207045454545455</v>
      </c>
      <c r="V183">
        <v>4.6409</v>
      </c>
      <c r="W183">
        <v>5.87</v>
      </c>
      <c r="X183">
        <v>1.7</v>
      </c>
      <c r="Y183">
        <v>0.3488</v>
      </c>
      <c r="Z183">
        <v>0.1203389830508475</v>
      </c>
      <c r="AA183">
        <v>0.9519071310116086</v>
      </c>
      <c r="AB183">
        <v>0.9221854304635762</v>
      </c>
      <c r="AC183">
        <v>0.2433774834437086</v>
      </c>
      <c r="AD183">
        <v>0.3791390728476822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58.28</v>
      </c>
      <c r="D184">
        <v>246757.52</v>
      </c>
      <c r="E184" t="s">
        <v>642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0.021877144818119</v>
      </c>
      <c r="M184">
        <v>0.01569707382288099</v>
      </c>
      <c r="N184">
        <v>0.05</v>
      </c>
      <c r="O184">
        <v>0.08603293373054099</v>
      </c>
      <c r="P184" t="s">
        <v>618</v>
      </c>
      <c r="Q184" t="s">
        <v>375</v>
      </c>
      <c r="R184">
        <v>6</v>
      </c>
      <c r="S184">
        <v>0.2639751552795031</v>
      </c>
      <c r="T184">
        <v>63</v>
      </c>
      <c r="U184">
        <v>0.9250793650793651</v>
      </c>
      <c r="V184">
        <v>5.2299</v>
      </c>
      <c r="W184">
        <v>4.83</v>
      </c>
      <c r="X184">
        <v>1.275</v>
      </c>
      <c r="Y184">
        <v>0.2775</v>
      </c>
      <c r="Z184">
        <v>0.2186440677966102</v>
      </c>
      <c r="AA184">
        <v>0.933665008291874</v>
      </c>
      <c r="AB184">
        <v>0.4991721854304636</v>
      </c>
      <c r="AC184">
        <v>0.5132450331125827</v>
      </c>
      <c r="AD184">
        <v>0.3708609271523178</v>
      </c>
    </row>
    <row r="185" spans="1:30">
      <c r="A185" s="1" t="s">
        <v>192</v>
      </c>
      <c r="B185">
        <f>HYPERLINK("https://www.suredividend.com/sure-analysis-DE/","Deere &amp; Co.")</f>
        <v>0</v>
      </c>
      <c r="C185">
        <v>126.01</v>
      </c>
      <c r="D185">
        <v>39519.2562</v>
      </c>
      <c r="E185" t="s">
        <v>641</v>
      </c>
      <c r="F185" t="s">
        <v>613</v>
      </c>
      <c r="G185" t="s">
        <v>653</v>
      </c>
      <c r="H185" t="s">
        <v>682</v>
      </c>
      <c r="I185" t="s">
        <v>869</v>
      </c>
      <c r="J185" t="s">
        <v>1278</v>
      </c>
      <c r="K185">
        <v>43886</v>
      </c>
      <c r="L185">
        <v>0.024125069438933</v>
      </c>
      <c r="M185">
        <v>0.003138714489082206</v>
      </c>
      <c r="N185">
        <v>0.06</v>
      </c>
      <c r="O185">
        <v>0.08488945789796176</v>
      </c>
      <c r="P185" t="s">
        <v>618</v>
      </c>
      <c r="Q185" t="s">
        <v>375</v>
      </c>
      <c r="R185">
        <v>3</v>
      </c>
      <c r="S185">
        <v>0.33224043715847</v>
      </c>
      <c r="T185">
        <v>128</v>
      </c>
      <c r="U185">
        <v>0.984453125</v>
      </c>
      <c r="V185">
        <v>10.356</v>
      </c>
      <c r="W185">
        <v>9.15</v>
      </c>
      <c r="X185">
        <v>3.04</v>
      </c>
      <c r="Y185">
        <v>-0.13</v>
      </c>
      <c r="Z185">
        <v>0.2745762711864407</v>
      </c>
      <c r="AA185">
        <v>0.6351575456053068</v>
      </c>
      <c r="AB185">
        <v>0.6341059602649007</v>
      </c>
      <c r="AC185">
        <v>0.4387417218543046</v>
      </c>
      <c r="AD185">
        <v>0.3559602649006622</v>
      </c>
    </row>
    <row r="186" spans="1:30">
      <c r="A186" s="1" t="s">
        <v>193</v>
      </c>
      <c r="B186">
        <f>HYPERLINK("https://www.suredividend.com/sure-analysis-INFY/","Infosys Ltd.")</f>
        <v>0</v>
      </c>
      <c r="C186">
        <v>8.699999999999999</v>
      </c>
      <c r="D186">
        <v>37053.213</v>
      </c>
      <c r="E186" t="s">
        <v>643</v>
      </c>
      <c r="F186" t="s">
        <v>613</v>
      </c>
      <c r="G186" t="s">
        <v>662</v>
      </c>
      <c r="H186" t="s">
        <v>682</v>
      </c>
      <c r="I186" t="s">
        <v>870</v>
      </c>
      <c r="J186" t="s">
        <v>1286</v>
      </c>
      <c r="K186">
        <v>43944</v>
      </c>
      <c r="L186">
        <v>0.027983103448275</v>
      </c>
      <c r="M186">
        <v>-0.01663635837135835</v>
      </c>
      <c r="N186">
        <v>0.07000000000000001</v>
      </c>
      <c r="O186">
        <v>0.081333097162819</v>
      </c>
      <c r="P186" t="s">
        <v>618</v>
      </c>
      <c r="Q186" t="s">
        <v>375</v>
      </c>
      <c r="R186">
        <v>4</v>
      </c>
      <c r="S186">
        <v>0.486906</v>
      </c>
      <c r="T186">
        <v>8</v>
      </c>
      <c r="U186">
        <v>1.0875</v>
      </c>
      <c r="V186">
        <v>0.5418000000000001</v>
      </c>
      <c r="W186">
        <v>0.5</v>
      </c>
      <c r="X186">
        <v>0.243453</v>
      </c>
      <c r="Y186">
        <v>-0.1627</v>
      </c>
      <c r="Z186">
        <v>0.3271186440677966</v>
      </c>
      <c r="AA186">
        <v>0.5854063018242123</v>
      </c>
      <c r="AB186">
        <v>0.7259933774834437</v>
      </c>
      <c r="AC186">
        <v>0.3427152317880794</v>
      </c>
      <c r="AD186">
        <v>0.3360927152317881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122.95</v>
      </c>
      <c r="D187">
        <v>6682.84889</v>
      </c>
      <c r="E187" t="s">
        <v>649</v>
      </c>
      <c r="F187" t="s">
        <v>613</v>
      </c>
      <c r="G187" t="s">
        <v>653</v>
      </c>
      <c r="H187" t="s">
        <v>682</v>
      </c>
      <c r="I187" t="s">
        <v>871</v>
      </c>
      <c r="J187" t="s">
        <v>1278</v>
      </c>
      <c r="K187">
        <v>43945</v>
      </c>
      <c r="L187">
        <v>0.033021553477023</v>
      </c>
      <c r="M187">
        <v>0.04606443674316885</v>
      </c>
      <c r="N187">
        <v>0</v>
      </c>
      <c r="O187">
        <v>0.08086442904257618</v>
      </c>
      <c r="P187" t="s">
        <v>618</v>
      </c>
      <c r="Q187" t="s">
        <v>375</v>
      </c>
      <c r="R187">
        <v>10</v>
      </c>
      <c r="S187">
        <v>0.4437158469945355</v>
      </c>
      <c r="T187">
        <v>154</v>
      </c>
      <c r="U187">
        <v>0.7983766233766234</v>
      </c>
      <c r="V187">
        <v>11.8945</v>
      </c>
      <c r="W187">
        <v>9.15</v>
      </c>
      <c r="X187">
        <v>4.06</v>
      </c>
      <c r="Y187">
        <v>-0.2478</v>
      </c>
      <c r="Z187">
        <v>0.388135593220339</v>
      </c>
      <c r="AA187">
        <v>0.4560530679933665</v>
      </c>
      <c r="AB187">
        <v>0.02980132450331126</v>
      </c>
      <c r="AC187">
        <v>0.6556291390728477</v>
      </c>
      <c r="AD187">
        <v>0.3344370860927153</v>
      </c>
    </row>
    <row r="188" spans="1:30">
      <c r="A188" s="1" t="s">
        <v>195</v>
      </c>
      <c r="B188">
        <f>HYPERLINK("https://www.suredividend.com/sure-analysis-WU/","The Western Union Co.")</f>
        <v>0</v>
      </c>
      <c r="C188">
        <v>18.57</v>
      </c>
      <c r="D188">
        <v>7630.50585</v>
      </c>
      <c r="E188" t="s">
        <v>645</v>
      </c>
      <c r="F188" t="s">
        <v>613</v>
      </c>
      <c r="G188" t="s">
        <v>653</v>
      </c>
      <c r="H188" t="s">
        <v>682</v>
      </c>
      <c r="I188" t="s">
        <v>872</v>
      </c>
      <c r="J188" t="s">
        <v>1277</v>
      </c>
      <c r="K188">
        <v>43878</v>
      </c>
      <c r="L188">
        <v>0.04442649434571801</v>
      </c>
      <c r="M188">
        <v>0.02489996476022993</v>
      </c>
      <c r="N188">
        <v>0.01</v>
      </c>
      <c r="O188">
        <v>0.08008945467971773</v>
      </c>
      <c r="P188" t="s">
        <v>618</v>
      </c>
      <c r="Q188" t="s">
        <v>618</v>
      </c>
      <c r="R188">
        <v>5</v>
      </c>
      <c r="S188">
        <v>0.4296875000000001</v>
      </c>
      <c r="T188">
        <v>21</v>
      </c>
      <c r="U188">
        <v>0.8842857142857143</v>
      </c>
      <c r="V188">
        <v>2.498</v>
      </c>
      <c r="W188">
        <v>1.92</v>
      </c>
      <c r="X188">
        <v>0.8250000000000001</v>
      </c>
      <c r="Y188">
        <v>-0.0448</v>
      </c>
      <c r="Z188">
        <v>0.5220338983050847</v>
      </c>
      <c r="AA188">
        <v>0.7197346600331674</v>
      </c>
      <c r="AB188">
        <v>0.05960264900662252</v>
      </c>
      <c r="AC188">
        <v>0.5645695364238411</v>
      </c>
      <c r="AD188">
        <v>0.3327814569536424</v>
      </c>
    </row>
    <row r="189" spans="1:30">
      <c r="A189" s="1" t="s">
        <v>196</v>
      </c>
      <c r="B189">
        <f>HYPERLINK("https://www.suredividend.com/sure-analysis-GILD/","Gilead Sciences, Inc.")</f>
        <v>0</v>
      </c>
      <c r="C189">
        <v>76.26000000000001</v>
      </c>
      <c r="D189">
        <v>95630.03999999999</v>
      </c>
      <c r="E189" t="s">
        <v>643</v>
      </c>
      <c r="F189" t="s">
        <v>613</v>
      </c>
      <c r="G189" t="s">
        <v>653</v>
      </c>
      <c r="H189" t="s">
        <v>683</v>
      </c>
      <c r="I189" t="s">
        <v>873</v>
      </c>
      <c r="J189" t="s">
        <v>1280</v>
      </c>
      <c r="K189">
        <v>43960</v>
      </c>
      <c r="L189">
        <v>0.03370049829530501</v>
      </c>
      <c r="M189">
        <v>-0.005998628199023082</v>
      </c>
      <c r="N189">
        <v>0.05</v>
      </c>
      <c r="O189">
        <v>0.07829290912703946</v>
      </c>
      <c r="P189" t="s">
        <v>618</v>
      </c>
      <c r="Q189" t="s">
        <v>618</v>
      </c>
      <c r="R189">
        <v>5</v>
      </c>
      <c r="S189">
        <v>0.3835820895522388</v>
      </c>
      <c r="T189">
        <v>74</v>
      </c>
      <c r="U189">
        <v>1.030540540540541</v>
      </c>
      <c r="V189">
        <v>3.9194</v>
      </c>
      <c r="W189">
        <v>6.7</v>
      </c>
      <c r="X189">
        <v>2.57</v>
      </c>
      <c r="Y189">
        <v>0.1678</v>
      </c>
      <c r="Z189">
        <v>0.4016949152542373</v>
      </c>
      <c r="AA189">
        <v>0.8938640132669984</v>
      </c>
      <c r="AB189">
        <v>0.4991721854304636</v>
      </c>
      <c r="AC189">
        <v>0.402317880794702</v>
      </c>
      <c r="AD189">
        <v>0.3228476821192053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23.4</v>
      </c>
      <c r="D190">
        <v>3036.852</v>
      </c>
      <c r="E190" t="s">
        <v>649</v>
      </c>
      <c r="F190" t="s">
        <v>613</v>
      </c>
      <c r="G190" t="s">
        <v>653</v>
      </c>
      <c r="H190" t="s">
        <v>683</v>
      </c>
      <c r="I190" t="s">
        <v>874</v>
      </c>
      <c r="J190" t="s">
        <v>1277</v>
      </c>
      <c r="K190">
        <v>43956</v>
      </c>
      <c r="L190">
        <v>0.058974358974358</v>
      </c>
      <c r="M190">
        <v>0.005076403090295889</v>
      </c>
      <c r="N190">
        <v>0.02</v>
      </c>
      <c r="O190">
        <v>0.07721871013593717</v>
      </c>
      <c r="P190" t="s">
        <v>618</v>
      </c>
      <c r="Q190" t="s">
        <v>617</v>
      </c>
      <c r="R190">
        <v>46</v>
      </c>
      <c r="S190">
        <v>0.6899999999999999</v>
      </c>
      <c r="T190">
        <v>24</v>
      </c>
      <c r="U190">
        <v>0.975</v>
      </c>
      <c r="V190">
        <v>2.3283</v>
      </c>
      <c r="W190">
        <v>2</v>
      </c>
      <c r="X190">
        <v>1.38</v>
      </c>
      <c r="Y190">
        <v>-0.3626</v>
      </c>
      <c r="Z190">
        <v>0.6491525423728813</v>
      </c>
      <c r="AA190">
        <v>0.3084577114427861</v>
      </c>
      <c r="AB190">
        <v>0.1274834437086093</v>
      </c>
      <c r="AC190">
        <v>0.4552980132450331</v>
      </c>
      <c r="AD190">
        <v>0.3178807947019868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79.78</v>
      </c>
      <c r="D191">
        <v>201372.698</v>
      </c>
      <c r="E191" t="s">
        <v>642</v>
      </c>
      <c r="F191" t="s">
        <v>613</v>
      </c>
      <c r="G191" t="s">
        <v>653</v>
      </c>
      <c r="H191" t="s">
        <v>682</v>
      </c>
      <c r="I191" t="s">
        <v>875</v>
      </c>
      <c r="J191" t="s">
        <v>1280</v>
      </c>
      <c r="K191">
        <v>43950</v>
      </c>
      <c r="L191">
        <v>0.029079969917272</v>
      </c>
      <c r="M191">
        <v>-0.001963069455829691</v>
      </c>
      <c r="N191">
        <v>0.05</v>
      </c>
      <c r="O191">
        <v>0.07581865708637925</v>
      </c>
      <c r="P191" t="s">
        <v>618</v>
      </c>
      <c r="Q191" t="s">
        <v>375</v>
      </c>
      <c r="R191">
        <v>9</v>
      </c>
      <c r="S191">
        <v>0.4402277039848198</v>
      </c>
      <c r="T191">
        <v>79</v>
      </c>
      <c r="U191">
        <v>1.009873417721519</v>
      </c>
      <c r="V191">
        <v>3.9753</v>
      </c>
      <c r="W191">
        <v>5.27</v>
      </c>
      <c r="X191">
        <v>2.32</v>
      </c>
      <c r="Y191">
        <v>0.0288</v>
      </c>
      <c r="Z191">
        <v>0.3440677966101695</v>
      </c>
      <c r="AA191">
        <v>0.7943615257048093</v>
      </c>
      <c r="AB191">
        <v>0.4991721854304636</v>
      </c>
      <c r="AC191">
        <v>0.4155629139072847</v>
      </c>
      <c r="AD191">
        <v>0.3112582781456953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240.2</v>
      </c>
      <c r="D192">
        <v>141296.9294</v>
      </c>
      <c r="E192" t="s">
        <v>642</v>
      </c>
      <c r="F192" t="s">
        <v>613</v>
      </c>
      <c r="G192" t="s">
        <v>653</v>
      </c>
      <c r="H192" t="s">
        <v>683</v>
      </c>
      <c r="I192" t="s">
        <v>876</v>
      </c>
      <c r="J192" t="s">
        <v>1280</v>
      </c>
      <c r="K192">
        <v>43953</v>
      </c>
      <c r="L192">
        <v>0.024771024146544</v>
      </c>
      <c r="M192">
        <v>-0.03985546646121818</v>
      </c>
      <c r="N192">
        <v>0.09</v>
      </c>
      <c r="O192">
        <v>0.07405627773955104</v>
      </c>
      <c r="P192" t="s">
        <v>618</v>
      </c>
      <c r="Q192" t="s">
        <v>375</v>
      </c>
      <c r="R192">
        <v>10</v>
      </c>
      <c r="S192">
        <v>0.3906762967826658</v>
      </c>
      <c r="T192">
        <v>196</v>
      </c>
      <c r="U192">
        <v>1.225510204081633</v>
      </c>
      <c r="V192">
        <v>12.8403</v>
      </c>
      <c r="W192">
        <v>15.23</v>
      </c>
      <c r="X192">
        <v>5.95</v>
      </c>
      <c r="Y192">
        <v>0.414</v>
      </c>
      <c r="Z192">
        <v>0.2830508474576272</v>
      </c>
      <c r="AA192">
        <v>0.9684908789386401</v>
      </c>
      <c r="AB192">
        <v>0.8600993377483444</v>
      </c>
      <c r="AC192">
        <v>0.2268211920529801</v>
      </c>
      <c r="AD192">
        <v>0.3062913907284768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32.75</v>
      </c>
      <c r="D193">
        <v>304.917303</v>
      </c>
      <c r="E193" t="s">
        <v>646</v>
      </c>
      <c r="F193" t="s">
        <v>613</v>
      </c>
      <c r="G193" t="s">
        <v>653</v>
      </c>
      <c r="H193" t="s">
        <v>683</v>
      </c>
      <c r="I193" t="s">
        <v>877</v>
      </c>
      <c r="J193" t="s">
        <v>1287</v>
      </c>
      <c r="K193">
        <v>43936</v>
      </c>
      <c r="L193">
        <v>0.030372519083969</v>
      </c>
      <c r="M193">
        <v>0.00751964409229755</v>
      </c>
      <c r="N193">
        <v>0.036</v>
      </c>
      <c r="O193">
        <v>0.07052931525320894</v>
      </c>
      <c r="P193" t="s">
        <v>618</v>
      </c>
      <c r="Q193" t="s">
        <v>375</v>
      </c>
      <c r="R193">
        <v>25</v>
      </c>
      <c r="S193">
        <v>0.5920833333333334</v>
      </c>
      <c r="T193">
        <v>34</v>
      </c>
      <c r="U193">
        <v>0.9632352941176471</v>
      </c>
      <c r="V193">
        <v>1.6594</v>
      </c>
      <c r="W193">
        <v>1.68</v>
      </c>
      <c r="X193">
        <v>0.9947</v>
      </c>
      <c r="Y193">
        <v>-0.0857</v>
      </c>
      <c r="Z193">
        <v>0.3559322033898305</v>
      </c>
      <c r="AA193">
        <v>0.691542288557214</v>
      </c>
      <c r="AB193">
        <v>0.2806291390728477</v>
      </c>
      <c r="AC193">
        <v>0.4652317880794702</v>
      </c>
      <c r="AD193">
        <v>0.2864238410596027</v>
      </c>
    </row>
    <row r="194" spans="1:30">
      <c r="A194" s="1" t="s">
        <v>201</v>
      </c>
      <c r="B194">
        <f>HYPERLINK("https://www.suredividend.com/sure-analysis-UNP/","Union Pacific Corp.")</f>
        <v>0</v>
      </c>
      <c r="C194">
        <v>151.24</v>
      </c>
      <c r="D194">
        <v>102626.62432</v>
      </c>
      <c r="E194" t="s">
        <v>642</v>
      </c>
      <c r="F194" t="s">
        <v>613</v>
      </c>
      <c r="G194" t="s">
        <v>653</v>
      </c>
      <c r="H194" t="s">
        <v>682</v>
      </c>
      <c r="I194" t="s">
        <v>878</v>
      </c>
      <c r="J194" t="s">
        <v>1278</v>
      </c>
      <c r="K194">
        <v>43944</v>
      </c>
      <c r="L194">
        <v>0.025059508066649</v>
      </c>
      <c r="M194">
        <v>-0.02537624050953469</v>
      </c>
      <c r="N194">
        <v>0.07000000000000001</v>
      </c>
      <c r="O194">
        <v>0.06687791650114772</v>
      </c>
      <c r="P194" t="s">
        <v>618</v>
      </c>
      <c r="Q194" t="s">
        <v>375</v>
      </c>
      <c r="R194">
        <v>13</v>
      </c>
      <c r="S194">
        <v>0.4815756035578145</v>
      </c>
      <c r="T194">
        <v>133</v>
      </c>
      <c r="U194">
        <v>1.137142857142857</v>
      </c>
      <c r="V194">
        <v>8.634600000000001</v>
      </c>
      <c r="W194">
        <v>7.87</v>
      </c>
      <c r="X194">
        <v>3.79</v>
      </c>
      <c r="Y194">
        <v>-0.1297</v>
      </c>
      <c r="Z194">
        <v>0.2864406779661017</v>
      </c>
      <c r="AA194">
        <v>0.6368159203980099</v>
      </c>
      <c r="AB194">
        <v>0.7259933774834437</v>
      </c>
      <c r="AC194">
        <v>0.3062913907284768</v>
      </c>
      <c r="AD194">
        <v>0.271523178807947</v>
      </c>
    </row>
    <row r="195" spans="1:30">
      <c r="A195" s="1" t="s">
        <v>202</v>
      </c>
      <c r="B195">
        <f>HYPERLINK("https://www.suredividend.com/sure-analysis-AROW/","Arrow Financial Corp.")</f>
        <v>0</v>
      </c>
      <c r="C195">
        <v>25.58</v>
      </c>
      <c r="D195">
        <v>383.283046</v>
      </c>
      <c r="E195" t="s">
        <v>649</v>
      </c>
      <c r="F195" t="s">
        <v>613</v>
      </c>
      <c r="G195" t="s">
        <v>653</v>
      </c>
      <c r="H195" t="s">
        <v>683</v>
      </c>
      <c r="I195" t="s">
        <v>879</v>
      </c>
      <c r="J195" t="s">
        <v>1277</v>
      </c>
      <c r="K195">
        <v>43951</v>
      </c>
      <c r="L195">
        <v>0.040064894448788</v>
      </c>
      <c r="M195">
        <v>0.01824315255500819</v>
      </c>
      <c r="N195">
        <v>0.01</v>
      </c>
      <c r="O195">
        <v>0.06653378823202516</v>
      </c>
      <c r="P195" t="s">
        <v>618</v>
      </c>
      <c r="Q195" t="s">
        <v>618</v>
      </c>
      <c r="R195">
        <v>26</v>
      </c>
      <c r="S195">
        <v>0.4455913043478262</v>
      </c>
      <c r="T195">
        <v>28</v>
      </c>
      <c r="U195">
        <v>0.9135714285714285</v>
      </c>
      <c r="V195">
        <v>2.4641</v>
      </c>
      <c r="W195">
        <v>2.3</v>
      </c>
      <c r="X195">
        <v>1.02486</v>
      </c>
      <c r="Y195">
        <v>-0.2112</v>
      </c>
      <c r="Z195">
        <v>0.4661016949152543</v>
      </c>
      <c r="AA195">
        <v>0.5041459369817578</v>
      </c>
      <c r="AB195">
        <v>0.05960264900662252</v>
      </c>
      <c r="AC195">
        <v>0.5314569536423841</v>
      </c>
      <c r="AD195">
        <v>0.2682119205298014</v>
      </c>
    </row>
    <row r="196" spans="1:30">
      <c r="A196" s="1" t="s">
        <v>203</v>
      </c>
      <c r="B196">
        <f>HYPERLINK("https://www.suredividend.com/sure-analysis-SJM/","The J. M. Smucker Co.")</f>
        <v>0</v>
      </c>
      <c r="C196">
        <v>114.73</v>
      </c>
      <c r="D196">
        <v>13083.57974</v>
      </c>
      <c r="E196" t="s">
        <v>641</v>
      </c>
      <c r="F196" t="s">
        <v>613</v>
      </c>
      <c r="G196" t="s">
        <v>653</v>
      </c>
      <c r="H196" t="s">
        <v>682</v>
      </c>
      <c r="I196" t="s">
        <v>880</v>
      </c>
      <c r="J196" t="s">
        <v>1285</v>
      </c>
      <c r="K196">
        <v>43888</v>
      </c>
      <c r="L196">
        <v>0.038089427351172</v>
      </c>
      <c r="M196">
        <v>-0.01570387733986134</v>
      </c>
      <c r="N196">
        <v>0.05</v>
      </c>
      <c r="O196">
        <v>0.06184824181598869</v>
      </c>
      <c r="P196" t="s">
        <v>618</v>
      </c>
      <c r="Q196" t="s">
        <v>375</v>
      </c>
      <c r="R196">
        <v>22</v>
      </c>
      <c r="S196">
        <v>0.6601208459214502</v>
      </c>
      <c r="T196">
        <v>106</v>
      </c>
      <c r="U196">
        <v>1.082358490566038</v>
      </c>
      <c r="V196">
        <v>5.4787</v>
      </c>
      <c r="W196">
        <v>6.62</v>
      </c>
      <c r="X196">
        <v>4.37</v>
      </c>
      <c r="Y196">
        <v>-0.1002</v>
      </c>
      <c r="Z196">
        <v>0.4423728813559322</v>
      </c>
      <c r="AA196">
        <v>0.6766169154228855</v>
      </c>
      <c r="AB196">
        <v>0.4991721854304636</v>
      </c>
      <c r="AC196">
        <v>0.3493377483443709</v>
      </c>
      <c r="AD196">
        <v>0.2533112582781457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87.23</v>
      </c>
      <c r="D197">
        <v>16540.63983</v>
      </c>
      <c r="E197" t="s">
        <v>649</v>
      </c>
      <c r="F197" t="s">
        <v>613</v>
      </c>
      <c r="G197" t="s">
        <v>653</v>
      </c>
      <c r="H197" t="s">
        <v>682</v>
      </c>
      <c r="I197" t="s">
        <v>881</v>
      </c>
      <c r="J197" t="s">
        <v>1277</v>
      </c>
      <c r="K197">
        <v>43955</v>
      </c>
      <c r="L197">
        <v>0.019947265848905</v>
      </c>
      <c r="M197">
        <v>-0.01715547463215528</v>
      </c>
      <c r="N197">
        <v>0.06</v>
      </c>
      <c r="O197">
        <v>0.06099593568133521</v>
      </c>
      <c r="P197" t="s">
        <v>618</v>
      </c>
      <c r="Q197" t="s">
        <v>316</v>
      </c>
      <c r="R197">
        <v>10</v>
      </c>
      <c r="S197">
        <v>0.435</v>
      </c>
      <c r="T197">
        <v>80</v>
      </c>
      <c r="U197">
        <v>1.090375</v>
      </c>
      <c r="V197">
        <v>3.6278</v>
      </c>
      <c r="W197">
        <v>4</v>
      </c>
      <c r="X197">
        <v>1.74</v>
      </c>
      <c r="Y197">
        <v>0.0546</v>
      </c>
      <c r="Z197">
        <v>0.1864406779661017</v>
      </c>
      <c r="AA197">
        <v>0.8126036484245439</v>
      </c>
      <c r="AB197">
        <v>0.6341059602649007</v>
      </c>
      <c r="AC197">
        <v>0.3410596026490066</v>
      </c>
      <c r="AD197">
        <v>0.25</v>
      </c>
    </row>
    <row r="198" spans="1:30">
      <c r="A198" s="1" t="s">
        <v>205</v>
      </c>
      <c r="B198">
        <f>HYPERLINK("https://www.suredividend.com/sure-analysis-CBU/","Community Bank System, Inc.")</f>
        <v>0</v>
      </c>
      <c r="C198">
        <v>51.93</v>
      </c>
      <c r="D198">
        <v>2705.288157</v>
      </c>
      <c r="E198" t="s">
        <v>649</v>
      </c>
      <c r="F198" t="s">
        <v>613</v>
      </c>
      <c r="G198" t="s">
        <v>653</v>
      </c>
      <c r="H198" t="s">
        <v>682</v>
      </c>
      <c r="I198" t="s">
        <v>882</v>
      </c>
      <c r="J198" t="s">
        <v>1277</v>
      </c>
      <c r="K198">
        <v>43945</v>
      </c>
      <c r="L198">
        <v>0.031003273637589</v>
      </c>
      <c r="M198">
        <v>-0.01154807509942213</v>
      </c>
      <c r="N198">
        <v>0.04</v>
      </c>
      <c r="O198">
        <v>0.06064845851130962</v>
      </c>
      <c r="P198" t="s">
        <v>618</v>
      </c>
      <c r="Q198" t="s">
        <v>375</v>
      </c>
      <c r="R198">
        <v>28</v>
      </c>
      <c r="S198">
        <v>0.6192307692307691</v>
      </c>
      <c r="T198">
        <v>49</v>
      </c>
      <c r="U198">
        <v>1.059795918367347</v>
      </c>
      <c r="V198">
        <v>3.2195</v>
      </c>
      <c r="W198">
        <v>2.6</v>
      </c>
      <c r="X198">
        <v>1.61</v>
      </c>
      <c r="Y198">
        <v>-0.1909</v>
      </c>
      <c r="Z198">
        <v>0.364406779661017</v>
      </c>
      <c r="AA198">
        <v>0.5422885572139303</v>
      </c>
      <c r="AB198">
        <v>0.3493377483443709</v>
      </c>
      <c r="AC198">
        <v>0.3774834437086093</v>
      </c>
      <c r="AD198">
        <v>0.2466887417218543</v>
      </c>
    </row>
    <row r="199" spans="1:30">
      <c r="A199" s="1" t="s">
        <v>206</v>
      </c>
      <c r="B199">
        <f>HYPERLINK("https://www.suredividend.com/sure-analysis-ED/","Consolidated Edison, Inc.")</f>
        <v>0</v>
      </c>
      <c r="C199">
        <v>70.36</v>
      </c>
      <c r="D199">
        <v>23507.41672</v>
      </c>
      <c r="E199" t="s">
        <v>642</v>
      </c>
      <c r="F199" t="s">
        <v>613</v>
      </c>
      <c r="G199" t="s">
        <v>653</v>
      </c>
      <c r="H199" t="s">
        <v>682</v>
      </c>
      <c r="I199" t="s">
        <v>883</v>
      </c>
      <c r="J199" t="s">
        <v>1287</v>
      </c>
      <c r="K199">
        <v>43964</v>
      </c>
      <c r="L199">
        <v>0.042779988629903</v>
      </c>
      <c r="M199">
        <v>-0.01572261860741786</v>
      </c>
      <c r="N199">
        <v>0.035</v>
      </c>
      <c r="O199">
        <v>0.06002956444720575</v>
      </c>
      <c r="P199" t="s">
        <v>618</v>
      </c>
      <c r="Q199" t="s">
        <v>618</v>
      </c>
      <c r="R199">
        <v>46</v>
      </c>
      <c r="S199">
        <v>0.708235294117647</v>
      </c>
      <c r="T199">
        <v>65</v>
      </c>
      <c r="U199">
        <v>1.082461538461538</v>
      </c>
      <c r="V199">
        <v>3.8982</v>
      </c>
      <c r="W199">
        <v>4.25</v>
      </c>
      <c r="X199">
        <v>3.01</v>
      </c>
      <c r="Y199">
        <v>-0.1772</v>
      </c>
      <c r="Z199">
        <v>0.4983050847457627</v>
      </c>
      <c r="AA199">
        <v>0.5588723051409619</v>
      </c>
      <c r="AB199">
        <v>0.2706953642384106</v>
      </c>
      <c r="AC199">
        <v>0.347682119205298</v>
      </c>
      <c r="AD199">
        <v>0.2417218543046357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239.33</v>
      </c>
      <c r="D200">
        <v>257069.1396</v>
      </c>
      <c r="E200" t="s">
        <v>647</v>
      </c>
      <c r="F200" t="s">
        <v>613</v>
      </c>
      <c r="G200" t="s">
        <v>653</v>
      </c>
      <c r="H200" t="s">
        <v>682</v>
      </c>
      <c r="I200" t="s">
        <v>884</v>
      </c>
      <c r="J200" t="s">
        <v>1279</v>
      </c>
      <c r="K200">
        <v>43916</v>
      </c>
      <c r="L200">
        <v>0.022730121589437</v>
      </c>
      <c r="M200">
        <v>-0.03623491863223016</v>
      </c>
      <c r="N200">
        <v>0.07000000000000001</v>
      </c>
      <c r="O200">
        <v>0.0571804003697518</v>
      </c>
      <c r="P200" t="s">
        <v>618</v>
      </c>
      <c r="Q200" t="s">
        <v>316</v>
      </c>
      <c r="R200">
        <v>11</v>
      </c>
      <c r="S200">
        <v>0.5205741626794259</v>
      </c>
      <c r="T200">
        <v>199</v>
      </c>
      <c r="U200">
        <v>1.202663316582915</v>
      </c>
      <c r="V200">
        <v>10.2932</v>
      </c>
      <c r="W200">
        <v>10.45</v>
      </c>
      <c r="X200">
        <v>5.44</v>
      </c>
      <c r="Y200">
        <v>0.2481</v>
      </c>
      <c r="Z200">
        <v>0.2372881355932203</v>
      </c>
      <c r="AA200">
        <v>0.9253731343283582</v>
      </c>
      <c r="AB200">
        <v>0.7259933774834437</v>
      </c>
      <c r="AC200">
        <v>0.25</v>
      </c>
      <c r="AD200">
        <v>0.228476821192053</v>
      </c>
    </row>
    <row r="201" spans="1:30">
      <c r="A201" s="1" t="s">
        <v>208</v>
      </c>
      <c r="B201">
        <f>HYPERLINK("https://www.suredividend.com/sure-analysis-HSY/","The Hershey Co.")</f>
        <v>0</v>
      </c>
      <c r="C201">
        <v>130.38</v>
      </c>
      <c r="D201">
        <v>27120.314725</v>
      </c>
      <c r="E201" t="s">
        <v>641</v>
      </c>
      <c r="F201" t="s">
        <v>613</v>
      </c>
      <c r="G201" t="s">
        <v>653</v>
      </c>
      <c r="H201" t="s">
        <v>682</v>
      </c>
      <c r="I201" t="s">
        <v>885</v>
      </c>
      <c r="J201" t="s">
        <v>1285</v>
      </c>
      <c r="K201">
        <v>43951</v>
      </c>
      <c r="L201">
        <v>0.023324129467709</v>
      </c>
      <c r="M201">
        <v>-0.02993371856243676</v>
      </c>
      <c r="N201">
        <v>0.06</v>
      </c>
      <c r="O201">
        <v>0.05245820602976092</v>
      </c>
      <c r="P201" t="s">
        <v>618</v>
      </c>
      <c r="Q201" t="s">
        <v>316</v>
      </c>
      <c r="R201">
        <v>10</v>
      </c>
      <c r="S201">
        <v>0.5154237288135592</v>
      </c>
      <c r="T201">
        <v>112</v>
      </c>
      <c r="U201">
        <v>1.164107142857143</v>
      </c>
      <c r="V201">
        <v>5.331</v>
      </c>
      <c r="W201">
        <v>5.9</v>
      </c>
      <c r="X201">
        <v>3.041</v>
      </c>
      <c r="Y201">
        <v>0.0207</v>
      </c>
      <c r="Z201">
        <v>0.2610169491525424</v>
      </c>
      <c r="AA201">
        <v>0.7827529021558872</v>
      </c>
      <c r="AB201">
        <v>0.6341059602649007</v>
      </c>
      <c r="AC201">
        <v>0.2798013245033112</v>
      </c>
      <c r="AD201">
        <v>0.2185430463576159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42.11</v>
      </c>
      <c r="D202">
        <v>29512.91983</v>
      </c>
      <c r="E202" t="s">
        <v>646</v>
      </c>
      <c r="F202" t="s">
        <v>613</v>
      </c>
      <c r="G202" t="s">
        <v>653</v>
      </c>
      <c r="H202" t="s">
        <v>683</v>
      </c>
      <c r="I202" t="s">
        <v>886</v>
      </c>
      <c r="J202" t="s">
        <v>1279</v>
      </c>
      <c r="K202">
        <v>43963</v>
      </c>
      <c r="L202">
        <v>0.01377345048682</v>
      </c>
      <c r="M202">
        <v>-0.03086684410093365</v>
      </c>
      <c r="N202">
        <v>0.07000000000000001</v>
      </c>
      <c r="O202">
        <v>0.05148141850873755</v>
      </c>
      <c r="P202" t="s">
        <v>618</v>
      </c>
      <c r="Q202" t="s">
        <v>316</v>
      </c>
      <c r="R202">
        <v>1</v>
      </c>
      <c r="S202">
        <v>0.1933333333333333</v>
      </c>
      <c r="T202">
        <v>36</v>
      </c>
      <c r="U202">
        <v>1.169722222222222</v>
      </c>
      <c r="V202">
        <v>6.0637</v>
      </c>
      <c r="W202">
        <v>3</v>
      </c>
      <c r="X202">
        <v>0.58</v>
      </c>
      <c r="Y202">
        <v>0.1369</v>
      </c>
      <c r="Z202">
        <v>0.1</v>
      </c>
      <c r="AA202">
        <v>0.8706467661691542</v>
      </c>
      <c r="AB202">
        <v>0.7259933774834437</v>
      </c>
      <c r="AC202">
        <v>0.271523178807947</v>
      </c>
      <c r="AD202">
        <v>0.2168874172185431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54.22</v>
      </c>
      <c r="D203">
        <v>6047.31926</v>
      </c>
      <c r="E203" t="s">
        <v>643</v>
      </c>
      <c r="F203" t="s">
        <v>613</v>
      </c>
      <c r="G203" t="s">
        <v>653</v>
      </c>
      <c r="H203" t="s">
        <v>683</v>
      </c>
      <c r="I203" t="s">
        <v>887</v>
      </c>
      <c r="J203" t="s">
        <v>1277</v>
      </c>
      <c r="K203">
        <v>43955</v>
      </c>
      <c r="L203">
        <v>0.018680525635459</v>
      </c>
      <c r="M203">
        <v>-0.02817589076347993</v>
      </c>
      <c r="N203">
        <v>0.06</v>
      </c>
      <c r="O203">
        <v>0.05099676579869916</v>
      </c>
      <c r="P203" t="s">
        <v>618</v>
      </c>
      <c r="Q203" t="s">
        <v>316</v>
      </c>
      <c r="R203">
        <v>10</v>
      </c>
      <c r="S203">
        <v>0.405143239981856</v>
      </c>
      <c r="T203">
        <v>47</v>
      </c>
      <c r="U203">
        <v>1.153617021276596</v>
      </c>
      <c r="V203">
        <v>3.213</v>
      </c>
      <c r="W203">
        <v>2.5</v>
      </c>
      <c r="X203">
        <v>1.01285809995464</v>
      </c>
      <c r="Y203">
        <v>-0.0368</v>
      </c>
      <c r="Z203">
        <v>0.1661016949152542</v>
      </c>
      <c r="AA203">
        <v>0.7288557213930348</v>
      </c>
      <c r="AB203">
        <v>0.6341059602649007</v>
      </c>
      <c r="AC203">
        <v>0.2947019867549669</v>
      </c>
      <c r="AD203">
        <v>0.2152317880794702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77.98</v>
      </c>
      <c r="D204">
        <v>55350.204</v>
      </c>
      <c r="E204" t="s">
        <v>642</v>
      </c>
      <c r="F204" t="s">
        <v>613</v>
      </c>
      <c r="G204" t="s">
        <v>659</v>
      </c>
      <c r="H204" t="s">
        <v>682</v>
      </c>
      <c r="I204" t="s">
        <v>888</v>
      </c>
      <c r="J204" t="s">
        <v>1278</v>
      </c>
      <c r="K204">
        <v>43951</v>
      </c>
      <c r="L204">
        <v>0.021075094508166</v>
      </c>
      <c r="M204">
        <v>-0.03874336915608134</v>
      </c>
      <c r="N204">
        <v>0.07000000000000001</v>
      </c>
      <c r="O204">
        <v>0.05069489069100319</v>
      </c>
      <c r="P204" t="s">
        <v>618</v>
      </c>
      <c r="Q204" t="s">
        <v>375</v>
      </c>
      <c r="R204">
        <v>25</v>
      </c>
      <c r="S204">
        <v>0.4313479973088714</v>
      </c>
      <c r="T204">
        <v>64</v>
      </c>
      <c r="U204">
        <v>1.2184375</v>
      </c>
      <c r="V204">
        <v>4.6502</v>
      </c>
      <c r="W204">
        <v>3.81</v>
      </c>
      <c r="X204">
        <v>1.6434358697468</v>
      </c>
      <c r="Y204">
        <v>-0.1597</v>
      </c>
      <c r="Z204">
        <v>0.2033898305084746</v>
      </c>
      <c r="AA204">
        <v>0.5887230514096186</v>
      </c>
      <c r="AB204">
        <v>0.7259933774834437</v>
      </c>
      <c r="AC204">
        <v>0.2350993377483444</v>
      </c>
      <c r="AD204">
        <v>0.2119205298013245</v>
      </c>
    </row>
    <row r="205" spans="1:30">
      <c r="A205" s="1" t="s">
        <v>212</v>
      </c>
      <c r="B205">
        <f>HYPERLINK("https://www.suredividend.com/sure-analysis-TMP/","Tompkins Financial Corp.")</f>
        <v>0</v>
      </c>
      <c r="C205">
        <v>56.24</v>
      </c>
      <c r="D205">
        <v>838.3865520000001</v>
      </c>
      <c r="E205" t="s">
        <v>649</v>
      </c>
      <c r="F205" t="s">
        <v>613</v>
      </c>
      <c r="G205" t="s">
        <v>653</v>
      </c>
      <c r="H205" t="s">
        <v>685</v>
      </c>
      <c r="I205" t="s">
        <v>889</v>
      </c>
      <c r="J205" t="s">
        <v>1277</v>
      </c>
      <c r="K205">
        <v>43955</v>
      </c>
      <c r="L205">
        <v>0.036273115220483</v>
      </c>
      <c r="M205">
        <v>0.01302738953747107</v>
      </c>
      <c r="N205">
        <v>0</v>
      </c>
      <c r="O205">
        <v>0.04981472443048696</v>
      </c>
      <c r="P205" t="s">
        <v>618</v>
      </c>
      <c r="Q205" t="s">
        <v>618</v>
      </c>
      <c r="R205">
        <v>33</v>
      </c>
      <c r="S205">
        <v>0.5666666666666667</v>
      </c>
      <c r="T205">
        <v>60</v>
      </c>
      <c r="U205">
        <v>0.9373333333333334</v>
      </c>
      <c r="V205">
        <v>4.5542</v>
      </c>
      <c r="W205">
        <v>3.6</v>
      </c>
      <c r="X205">
        <v>2.04</v>
      </c>
      <c r="Y205">
        <v>-0.2768</v>
      </c>
      <c r="Z205">
        <v>0.4186440677966102</v>
      </c>
      <c r="AA205">
        <v>0.4179104477611941</v>
      </c>
      <c r="AB205">
        <v>0.02980132450331126</v>
      </c>
      <c r="AC205">
        <v>0.5</v>
      </c>
      <c r="AD205">
        <v>0.206953642384106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94.98</v>
      </c>
      <c r="D206">
        <v>19011.38676</v>
      </c>
      <c r="E206" t="s">
        <v>643</v>
      </c>
      <c r="F206" t="s">
        <v>613</v>
      </c>
      <c r="G206" t="s">
        <v>653</v>
      </c>
      <c r="H206" t="s">
        <v>682</v>
      </c>
      <c r="I206" t="s">
        <v>890</v>
      </c>
      <c r="J206" t="s">
        <v>1287</v>
      </c>
      <c r="K206">
        <v>43884</v>
      </c>
      <c r="L206">
        <v>0.038744998947146</v>
      </c>
      <c r="M206">
        <v>-0.02427052559682907</v>
      </c>
      <c r="N206">
        <v>0.035</v>
      </c>
      <c r="O206">
        <v>0.04754622925688667</v>
      </c>
      <c r="P206" t="s">
        <v>618</v>
      </c>
      <c r="Q206" t="s">
        <v>618</v>
      </c>
      <c r="R206">
        <v>26</v>
      </c>
      <c r="S206">
        <v>0.6571428571428573</v>
      </c>
      <c r="T206">
        <v>84</v>
      </c>
      <c r="U206">
        <v>1.130714285714286</v>
      </c>
      <c r="V206">
        <v>5.5888</v>
      </c>
      <c r="W206">
        <v>5.6</v>
      </c>
      <c r="X206">
        <v>3.68</v>
      </c>
      <c r="Y206">
        <v>-0.0136</v>
      </c>
      <c r="Z206">
        <v>0.4491525423728814</v>
      </c>
      <c r="AA206">
        <v>0.7562189054726367</v>
      </c>
      <c r="AB206">
        <v>0.2706953642384106</v>
      </c>
      <c r="AC206">
        <v>0.3079470198675496</v>
      </c>
      <c r="AD206">
        <v>0.1970198675496689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182.59</v>
      </c>
      <c r="D207">
        <v>95893.52915</v>
      </c>
      <c r="E207" t="s">
        <v>643</v>
      </c>
      <c r="F207" t="s">
        <v>613</v>
      </c>
      <c r="G207" t="s">
        <v>654</v>
      </c>
      <c r="H207" t="s">
        <v>682</v>
      </c>
      <c r="I207" t="s">
        <v>891</v>
      </c>
      <c r="J207" t="s">
        <v>1283</v>
      </c>
      <c r="K207">
        <v>43959</v>
      </c>
      <c r="L207">
        <v>0.019650583274001</v>
      </c>
      <c r="M207">
        <v>-0.03348467081464401</v>
      </c>
      <c r="N207">
        <v>0.06</v>
      </c>
      <c r="O207">
        <v>0.04704672190299641</v>
      </c>
      <c r="P207" t="s">
        <v>618</v>
      </c>
      <c r="Q207" t="s">
        <v>375</v>
      </c>
      <c r="R207">
        <v>27</v>
      </c>
      <c r="S207">
        <v>0.465974025974026</v>
      </c>
      <c r="T207">
        <v>154</v>
      </c>
      <c r="U207">
        <v>1.185649350649351</v>
      </c>
      <c r="V207">
        <v>4.3545</v>
      </c>
      <c r="W207">
        <v>7.7</v>
      </c>
      <c r="X207">
        <v>3.588</v>
      </c>
      <c r="Y207">
        <v>0.009600000000000001</v>
      </c>
      <c r="Z207">
        <v>0.1830508474576271</v>
      </c>
      <c r="AA207">
        <v>0.7761194029850746</v>
      </c>
      <c r="AB207">
        <v>0.6341059602649007</v>
      </c>
      <c r="AC207">
        <v>0.2615894039735099</v>
      </c>
      <c r="AD207">
        <v>0.195364238410596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155.68</v>
      </c>
      <c r="D208">
        <v>49184.29376</v>
      </c>
      <c r="E208" t="s">
        <v>641</v>
      </c>
      <c r="F208" t="s">
        <v>613</v>
      </c>
      <c r="G208" t="s">
        <v>653</v>
      </c>
      <c r="H208" t="s">
        <v>682</v>
      </c>
      <c r="I208" t="s">
        <v>892</v>
      </c>
      <c r="J208" t="s">
        <v>1278</v>
      </c>
      <c r="K208">
        <v>43958</v>
      </c>
      <c r="L208">
        <v>0.027042651593011</v>
      </c>
      <c r="M208">
        <v>-0.06541666817063885</v>
      </c>
      <c r="N208">
        <v>0.09</v>
      </c>
      <c r="O208">
        <v>0.04519552244386338</v>
      </c>
      <c r="P208" t="s">
        <v>618</v>
      </c>
      <c r="Q208" t="s">
        <v>618</v>
      </c>
      <c r="R208">
        <v>45</v>
      </c>
      <c r="S208">
        <v>0.6476923076923077</v>
      </c>
      <c r="T208">
        <v>111</v>
      </c>
      <c r="U208">
        <v>1.402522522522523</v>
      </c>
      <c r="V208">
        <v>7.7397</v>
      </c>
      <c r="W208">
        <v>6.5</v>
      </c>
      <c r="X208">
        <v>4.21</v>
      </c>
      <c r="Y208">
        <v>0.0314</v>
      </c>
      <c r="Z208">
        <v>0.3169491525423729</v>
      </c>
      <c r="AA208">
        <v>0.7976782752902156</v>
      </c>
      <c r="AB208">
        <v>0.8600993377483444</v>
      </c>
      <c r="AC208">
        <v>0.1423841059602649</v>
      </c>
      <c r="AD208">
        <v>0.1903973509933775</v>
      </c>
    </row>
    <row r="209" spans="1:30">
      <c r="A209" s="1" t="s">
        <v>216</v>
      </c>
      <c r="B209">
        <f>HYPERLINK("https://www.suredividend.com/sure-analysis-BLK/","BlackRock, Inc.")</f>
        <v>0</v>
      </c>
      <c r="C209">
        <v>513.73</v>
      </c>
      <c r="D209">
        <v>79249.01725999999</v>
      </c>
      <c r="E209" t="s">
        <v>650</v>
      </c>
      <c r="F209" t="s">
        <v>613</v>
      </c>
      <c r="G209" t="s">
        <v>653</v>
      </c>
      <c r="H209" t="s">
        <v>682</v>
      </c>
      <c r="I209" t="s">
        <v>893</v>
      </c>
      <c r="J209" t="s">
        <v>1277</v>
      </c>
      <c r="K209">
        <v>43944</v>
      </c>
      <c r="L209">
        <v>0.02633679169992</v>
      </c>
      <c r="M209">
        <v>-0.05216765605743734</v>
      </c>
      <c r="N209">
        <v>0.07000000000000001</v>
      </c>
      <c r="O209">
        <v>0.04511788353799462</v>
      </c>
      <c r="P209" t="s">
        <v>618</v>
      </c>
      <c r="Q209" t="s">
        <v>375</v>
      </c>
      <c r="R209">
        <v>10</v>
      </c>
      <c r="S209">
        <v>0.516412213740458</v>
      </c>
      <c r="T209">
        <v>393</v>
      </c>
      <c r="U209">
        <v>1.307201017811705</v>
      </c>
      <c r="V209">
        <v>27.2411</v>
      </c>
      <c r="W209">
        <v>26.2</v>
      </c>
      <c r="X209">
        <v>13.53</v>
      </c>
      <c r="Y209">
        <v>0.1561</v>
      </c>
      <c r="Z209">
        <v>0.3084745762711865</v>
      </c>
      <c r="AA209">
        <v>0.8855721393034826</v>
      </c>
      <c r="AB209">
        <v>0.7259933774834437</v>
      </c>
      <c r="AC209">
        <v>0.1870860927152318</v>
      </c>
      <c r="AD209">
        <v>0.1870860927152318</v>
      </c>
    </row>
    <row r="210" spans="1:30">
      <c r="A210" s="1" t="s">
        <v>217</v>
      </c>
      <c r="B210">
        <f>HYPERLINK("https://www.suredividend.com/sure-analysis-K/","Kellogg Co.")</f>
        <v>0</v>
      </c>
      <c r="C210">
        <v>64.06999999999999</v>
      </c>
      <c r="D210">
        <v>21954.8669</v>
      </c>
      <c r="E210" t="s">
        <v>649</v>
      </c>
      <c r="F210" t="s">
        <v>613</v>
      </c>
      <c r="G210" t="s">
        <v>653</v>
      </c>
      <c r="H210" t="s">
        <v>682</v>
      </c>
      <c r="I210" t="s">
        <v>894</v>
      </c>
      <c r="J210" t="s">
        <v>1285</v>
      </c>
      <c r="K210">
        <v>43963</v>
      </c>
      <c r="L210">
        <v>0.035429998439207</v>
      </c>
      <c r="M210">
        <v>-0.0231136835769562</v>
      </c>
      <c r="N210">
        <v>0.03</v>
      </c>
      <c r="O210">
        <v>0.0425478691843999</v>
      </c>
      <c r="P210" t="s">
        <v>618</v>
      </c>
      <c r="Q210" t="s">
        <v>375</v>
      </c>
      <c r="R210">
        <v>16</v>
      </c>
      <c r="S210">
        <v>0.5973684210526317</v>
      </c>
      <c r="T210">
        <v>57</v>
      </c>
      <c r="U210">
        <v>1.124035087719298</v>
      </c>
      <c r="V210">
        <v>3.0042</v>
      </c>
      <c r="W210">
        <v>3.8</v>
      </c>
      <c r="X210">
        <v>2.27</v>
      </c>
      <c r="Y210">
        <v>0.1168</v>
      </c>
      <c r="Z210">
        <v>0.411864406779661</v>
      </c>
      <c r="AA210">
        <v>0.8590381426202321</v>
      </c>
      <c r="AB210">
        <v>0.2144039735099338</v>
      </c>
      <c r="AC210">
        <v>0.3129139072847682</v>
      </c>
      <c r="AD210">
        <v>0.1754966887417218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173.81</v>
      </c>
      <c r="D211">
        <v>129237.46836</v>
      </c>
      <c r="E211" t="s">
        <v>641</v>
      </c>
      <c r="F211" t="s">
        <v>613</v>
      </c>
      <c r="G211" t="s">
        <v>653</v>
      </c>
      <c r="H211" t="s">
        <v>682</v>
      </c>
      <c r="I211" t="s">
        <v>895</v>
      </c>
      <c r="J211" t="s">
        <v>1279</v>
      </c>
      <c r="K211">
        <v>43958</v>
      </c>
      <c r="L211">
        <v>0.027731430872792</v>
      </c>
      <c r="M211">
        <v>-0.03693068328449101</v>
      </c>
      <c r="N211">
        <v>0.05</v>
      </c>
      <c r="O211">
        <v>0.04129875680256667</v>
      </c>
      <c r="P211" t="s">
        <v>618</v>
      </c>
      <c r="Q211" t="s">
        <v>375</v>
      </c>
      <c r="R211">
        <v>44</v>
      </c>
      <c r="S211">
        <v>0.8033333333333333</v>
      </c>
      <c r="T211">
        <v>144</v>
      </c>
      <c r="U211">
        <v>1.207013888888889</v>
      </c>
      <c r="V211">
        <v>7.7011</v>
      </c>
      <c r="W211">
        <v>6</v>
      </c>
      <c r="X211">
        <v>4.82</v>
      </c>
      <c r="Y211">
        <v>-0.1269</v>
      </c>
      <c r="Z211">
        <v>0.323728813559322</v>
      </c>
      <c r="AA211">
        <v>0.6417910447761195</v>
      </c>
      <c r="AB211">
        <v>0.4991721854304636</v>
      </c>
      <c r="AC211">
        <v>0.2450331125827815</v>
      </c>
      <c r="AD211">
        <v>0.173841059602649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78.61</v>
      </c>
      <c r="D212">
        <v>20242.31083</v>
      </c>
      <c r="E212" t="s">
        <v>645</v>
      </c>
      <c r="F212" t="s">
        <v>613</v>
      </c>
      <c r="G212" t="s">
        <v>653</v>
      </c>
      <c r="H212" t="s">
        <v>682</v>
      </c>
      <c r="I212" t="s">
        <v>896</v>
      </c>
      <c r="J212" t="s">
        <v>1279</v>
      </c>
      <c r="K212">
        <v>43909</v>
      </c>
      <c r="L212">
        <v>0.025442055718102</v>
      </c>
      <c r="M212">
        <v>-0.04945997709341021</v>
      </c>
      <c r="N212">
        <v>0.06</v>
      </c>
      <c r="O212">
        <v>0.03983218281995038</v>
      </c>
      <c r="P212" t="s">
        <v>618</v>
      </c>
      <c r="Q212" t="s">
        <v>375</v>
      </c>
      <c r="R212">
        <v>16</v>
      </c>
      <c r="S212">
        <v>0.3636363636363636</v>
      </c>
      <c r="T212">
        <v>61</v>
      </c>
      <c r="U212">
        <v>1.288688524590164</v>
      </c>
      <c r="V212">
        <v>5.8632</v>
      </c>
      <c r="W212">
        <v>5.5</v>
      </c>
      <c r="X212">
        <v>2</v>
      </c>
      <c r="Y212">
        <v>0.1584</v>
      </c>
      <c r="Z212">
        <v>0.2966101694915254</v>
      </c>
      <c r="AA212">
        <v>0.8872305140961858</v>
      </c>
      <c r="AB212">
        <v>0.6341059602649007</v>
      </c>
      <c r="AC212">
        <v>0.1937086092715232</v>
      </c>
      <c r="AD212">
        <v>0.1672185430463576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106.72</v>
      </c>
      <c r="D213">
        <v>307358.87645</v>
      </c>
      <c r="E213" t="s">
        <v>644</v>
      </c>
      <c r="F213" t="s">
        <v>613</v>
      </c>
      <c r="G213" t="s">
        <v>655</v>
      </c>
      <c r="H213" t="s">
        <v>684</v>
      </c>
      <c r="I213" t="s">
        <v>897</v>
      </c>
      <c r="J213" t="s">
        <v>1285</v>
      </c>
      <c r="K213">
        <v>43878</v>
      </c>
      <c r="L213">
        <v>0.02172976011994</v>
      </c>
      <c r="M213">
        <v>-0.0335056076492628</v>
      </c>
      <c r="N213">
        <v>0.05</v>
      </c>
      <c r="O213">
        <v>0.03982197408947052</v>
      </c>
      <c r="P213" t="s">
        <v>618</v>
      </c>
      <c r="Q213" t="s">
        <v>375</v>
      </c>
      <c r="R213">
        <v>25</v>
      </c>
      <c r="S213">
        <v>0.4638</v>
      </c>
      <c r="T213">
        <v>90</v>
      </c>
      <c r="U213">
        <v>1.185777777777778</v>
      </c>
      <c r="V213">
        <v>4.3373</v>
      </c>
      <c r="W213">
        <v>5</v>
      </c>
      <c r="X213">
        <v>2.319</v>
      </c>
      <c r="Y213">
        <v>0.0901</v>
      </c>
      <c r="Z213">
        <v>0.2152542372881356</v>
      </c>
      <c r="AA213">
        <v>0.8424543946932006</v>
      </c>
      <c r="AB213">
        <v>0.4991721854304636</v>
      </c>
      <c r="AC213">
        <v>0.2599337748344371</v>
      </c>
      <c r="AD213">
        <v>0.1655629139072848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128.22</v>
      </c>
      <c r="D214">
        <v>13700.43522</v>
      </c>
      <c r="E214" t="s">
        <v>645</v>
      </c>
      <c r="F214" t="s">
        <v>613</v>
      </c>
      <c r="G214" t="s">
        <v>653</v>
      </c>
      <c r="H214" t="s">
        <v>682</v>
      </c>
      <c r="I214" t="s">
        <v>898</v>
      </c>
      <c r="J214" t="s">
        <v>1283</v>
      </c>
      <c r="K214">
        <v>43875</v>
      </c>
      <c r="L214">
        <v>0.023241304008734</v>
      </c>
      <c r="M214">
        <v>-0.02323561528312068</v>
      </c>
      <c r="N214">
        <v>0.04</v>
      </c>
      <c r="O214">
        <v>0.03946376444196908</v>
      </c>
      <c r="P214" t="s">
        <v>618</v>
      </c>
      <c r="Q214" t="s">
        <v>375</v>
      </c>
      <c r="R214">
        <v>17</v>
      </c>
      <c r="S214">
        <v>0.4707740916271722</v>
      </c>
      <c r="T214">
        <v>114</v>
      </c>
      <c r="U214">
        <v>1.124736842105263</v>
      </c>
      <c r="V214">
        <v>4.2304</v>
      </c>
      <c r="W214">
        <v>6.33</v>
      </c>
      <c r="X214">
        <v>2.98</v>
      </c>
      <c r="Y214">
        <v>-0.0544</v>
      </c>
      <c r="Z214">
        <v>0.2576271186440678</v>
      </c>
      <c r="AA214">
        <v>0.714759535655058</v>
      </c>
      <c r="AB214">
        <v>0.3493377483443709</v>
      </c>
      <c r="AC214">
        <v>0.3112582781456953</v>
      </c>
      <c r="AD214">
        <v>0.1622516556291391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54.65</v>
      </c>
      <c r="D215">
        <v>1472.232745</v>
      </c>
      <c r="E215" t="s">
        <v>642</v>
      </c>
      <c r="F215" t="s">
        <v>613</v>
      </c>
      <c r="G215" t="s">
        <v>653</v>
      </c>
      <c r="H215" t="s">
        <v>683</v>
      </c>
      <c r="I215" t="s">
        <v>899</v>
      </c>
      <c r="J215" t="s">
        <v>1277</v>
      </c>
      <c r="K215">
        <v>43937</v>
      </c>
      <c r="L215">
        <v>0.030009149130832</v>
      </c>
      <c r="M215">
        <v>-0.009891849814301135</v>
      </c>
      <c r="N215">
        <v>0.02</v>
      </c>
      <c r="O215">
        <v>0.03882554100862068</v>
      </c>
      <c r="P215" t="s">
        <v>618</v>
      </c>
      <c r="Q215" t="s">
        <v>375</v>
      </c>
      <c r="R215">
        <v>28</v>
      </c>
      <c r="S215">
        <v>0.563573883161512</v>
      </c>
      <c r="T215">
        <v>52</v>
      </c>
      <c r="U215">
        <v>1.050961538461539</v>
      </c>
      <c r="V215">
        <v>2.8769</v>
      </c>
      <c r="W215">
        <v>2.91</v>
      </c>
      <c r="X215">
        <v>1.64</v>
      </c>
      <c r="Y215">
        <v>-0.1174</v>
      </c>
      <c r="Z215">
        <v>0.3491525423728814</v>
      </c>
      <c r="AA215">
        <v>0.6550580431177445</v>
      </c>
      <c r="AB215">
        <v>0.1274834437086093</v>
      </c>
      <c r="AC215">
        <v>0.3874172185430463</v>
      </c>
      <c r="AD215">
        <v>0.1605960264900662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135.95</v>
      </c>
      <c r="D216">
        <v>188630.625</v>
      </c>
      <c r="E216" t="s">
        <v>642</v>
      </c>
      <c r="F216" t="s">
        <v>613</v>
      </c>
      <c r="G216" t="s">
        <v>653</v>
      </c>
      <c r="H216" t="s">
        <v>683</v>
      </c>
      <c r="I216" t="s">
        <v>900</v>
      </c>
      <c r="J216" t="s">
        <v>1285</v>
      </c>
      <c r="K216">
        <v>43949</v>
      </c>
      <c r="L216">
        <v>0.028098565649135</v>
      </c>
      <c r="M216">
        <v>-0.04676295179492573</v>
      </c>
      <c r="N216">
        <v>0.055</v>
      </c>
      <c r="O216">
        <v>0.03815189210870584</v>
      </c>
      <c r="P216" t="s">
        <v>618</v>
      </c>
      <c r="Q216" t="s">
        <v>618</v>
      </c>
      <c r="R216">
        <v>48</v>
      </c>
      <c r="S216">
        <v>0.6773049645390071</v>
      </c>
      <c r="T216">
        <v>107</v>
      </c>
      <c r="U216">
        <v>1.270560747663551</v>
      </c>
      <c r="V216">
        <v>5.1854</v>
      </c>
      <c r="W216">
        <v>5.64</v>
      </c>
      <c r="X216">
        <v>3.82</v>
      </c>
      <c r="Y216">
        <v>0.051</v>
      </c>
      <c r="Z216">
        <v>0.3338983050847457</v>
      </c>
      <c r="AA216">
        <v>0.8092868988391376</v>
      </c>
      <c r="AB216">
        <v>0.5786423841059603</v>
      </c>
      <c r="AC216">
        <v>0.1986754966887417</v>
      </c>
      <c r="AD216">
        <v>0.1572847682119205</v>
      </c>
    </row>
    <row r="217" spans="1:30">
      <c r="A217" s="1" t="s">
        <v>224</v>
      </c>
      <c r="B217">
        <f>HYPERLINK("https://www.suredividend.com/sure-analysis-NVO/","Novo Nordisk A/S")</f>
        <v>0</v>
      </c>
      <c r="C217">
        <v>63.91</v>
      </c>
      <c r="D217">
        <v>112773.0296</v>
      </c>
      <c r="E217" t="s">
        <v>645</v>
      </c>
      <c r="F217" t="s">
        <v>613</v>
      </c>
      <c r="G217" t="s">
        <v>663</v>
      </c>
      <c r="H217" t="s">
        <v>682</v>
      </c>
      <c r="I217" t="s">
        <v>901</v>
      </c>
      <c r="J217" t="s">
        <v>1280</v>
      </c>
      <c r="K217">
        <v>43964</v>
      </c>
      <c r="L217">
        <v>0.013711891722735</v>
      </c>
      <c r="M217">
        <v>-0.04412683008767959</v>
      </c>
      <c r="N217">
        <v>0.06</v>
      </c>
      <c r="O217">
        <v>0.03625971570995334</v>
      </c>
      <c r="P217" t="s">
        <v>618</v>
      </c>
      <c r="Q217" t="s">
        <v>316</v>
      </c>
      <c r="R217">
        <v>0</v>
      </c>
      <c r="S217">
        <v>0.3463743083003953</v>
      </c>
      <c r="T217">
        <v>51</v>
      </c>
      <c r="U217">
        <v>1.253137254901961</v>
      </c>
      <c r="V217">
        <v>2.4604</v>
      </c>
      <c r="W217">
        <v>2.53</v>
      </c>
      <c r="X217">
        <v>0.876327</v>
      </c>
      <c r="Y217">
        <v>0.3615</v>
      </c>
      <c r="Z217">
        <v>0.09491525423728814</v>
      </c>
      <c r="AA217">
        <v>0.955223880597015</v>
      </c>
      <c r="AB217">
        <v>0.6341059602649007</v>
      </c>
      <c r="AC217">
        <v>0.2119205298013245</v>
      </c>
      <c r="AD217">
        <v>0.1490066225165563</v>
      </c>
    </row>
    <row r="218" spans="1:30">
      <c r="A218" s="1" t="s">
        <v>225</v>
      </c>
      <c r="B218">
        <f>HYPERLINK("https://www.suredividend.com/sure-analysis-NUE/","Nucor Corp.")</f>
        <v>0</v>
      </c>
      <c r="C218">
        <v>38.07</v>
      </c>
      <c r="D218">
        <v>11464.20945</v>
      </c>
      <c r="E218" t="s">
        <v>646</v>
      </c>
      <c r="F218" t="s">
        <v>613</v>
      </c>
      <c r="G218" t="s">
        <v>653</v>
      </c>
      <c r="H218" t="s">
        <v>682</v>
      </c>
      <c r="I218" t="s">
        <v>902</v>
      </c>
      <c r="J218" t="s">
        <v>1283</v>
      </c>
      <c r="K218">
        <v>43963</v>
      </c>
      <c r="L218">
        <v>0.042159180457052</v>
      </c>
      <c r="M218">
        <v>-0.1933742255270561</v>
      </c>
      <c r="N218">
        <v>0.231</v>
      </c>
      <c r="O218">
        <v>0.03565977196956216</v>
      </c>
      <c r="P218" t="s">
        <v>618</v>
      </c>
      <c r="Q218" t="s">
        <v>618</v>
      </c>
      <c r="R218">
        <v>46</v>
      </c>
      <c r="S218">
        <v>0.8025</v>
      </c>
      <c r="T218">
        <v>13</v>
      </c>
      <c r="U218">
        <v>2.928461538461538</v>
      </c>
      <c r="V218">
        <v>2.5725</v>
      </c>
      <c r="W218">
        <v>2</v>
      </c>
      <c r="X218">
        <v>1.605</v>
      </c>
      <c r="Y218">
        <v>-0.3062</v>
      </c>
      <c r="Z218">
        <v>0.4932203389830508</v>
      </c>
      <c r="AA218">
        <v>0.3764510779436153</v>
      </c>
      <c r="AB218">
        <v>0.9884105960264901</v>
      </c>
      <c r="AC218">
        <v>0.01490066225165563</v>
      </c>
      <c r="AD218">
        <v>0.1473509933774834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197.87</v>
      </c>
      <c r="D219">
        <v>22918.09488</v>
      </c>
      <c r="E219" t="s">
        <v>643</v>
      </c>
      <c r="F219" t="s">
        <v>613</v>
      </c>
      <c r="G219" t="s">
        <v>653</v>
      </c>
      <c r="H219" t="s">
        <v>682</v>
      </c>
      <c r="I219" t="s">
        <v>903</v>
      </c>
      <c r="J219" t="s">
        <v>1278</v>
      </c>
      <c r="K219">
        <v>43958</v>
      </c>
      <c r="L219">
        <v>0.02011421640471</v>
      </c>
      <c r="M219">
        <v>-0.05013410318811273</v>
      </c>
      <c r="N219">
        <v>0.065</v>
      </c>
      <c r="O219">
        <v>0.03474845888498379</v>
      </c>
      <c r="P219" t="s">
        <v>618</v>
      </c>
      <c r="Q219" t="s">
        <v>316</v>
      </c>
      <c r="R219">
        <v>10</v>
      </c>
      <c r="S219">
        <v>0.5452054794520548</v>
      </c>
      <c r="T219">
        <v>153</v>
      </c>
      <c r="U219">
        <v>1.293267973856209</v>
      </c>
      <c r="V219">
        <v>6.1127</v>
      </c>
      <c r="W219">
        <v>7.3</v>
      </c>
      <c r="X219">
        <v>3.98</v>
      </c>
      <c r="Y219">
        <v>0.2198</v>
      </c>
      <c r="Z219">
        <v>0.1898305084745763</v>
      </c>
      <c r="AA219">
        <v>0.9187396351575455</v>
      </c>
      <c r="AB219">
        <v>0.6837748344370861</v>
      </c>
      <c r="AC219">
        <v>0.1903973509933775</v>
      </c>
      <c r="AD219">
        <v>0.1456953642384106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70.78</v>
      </c>
      <c r="D220">
        <v>9924.4177</v>
      </c>
      <c r="E220" t="s">
        <v>645</v>
      </c>
      <c r="F220" t="s">
        <v>613</v>
      </c>
      <c r="G220" t="s">
        <v>653</v>
      </c>
      <c r="H220" t="s">
        <v>682</v>
      </c>
      <c r="I220" t="s">
        <v>904</v>
      </c>
      <c r="J220" t="s">
        <v>1278</v>
      </c>
      <c r="K220">
        <v>43901</v>
      </c>
      <c r="L220">
        <v>0.013563153433173</v>
      </c>
      <c r="M220">
        <v>-0.06344793977351038</v>
      </c>
      <c r="N220">
        <v>0.08</v>
      </c>
      <c r="O220">
        <v>0.02926607427733252</v>
      </c>
      <c r="P220" t="s">
        <v>618</v>
      </c>
      <c r="Q220" t="s">
        <v>316</v>
      </c>
      <c r="R220">
        <v>8</v>
      </c>
      <c r="S220">
        <v>0.3037974683544303</v>
      </c>
      <c r="T220">
        <v>51</v>
      </c>
      <c r="U220">
        <v>1.387843137254902</v>
      </c>
      <c r="V220">
        <v>3.0792</v>
      </c>
      <c r="W220">
        <v>3.16</v>
      </c>
      <c r="X220">
        <v>0.96</v>
      </c>
      <c r="Y220">
        <v>0.1664</v>
      </c>
      <c r="Z220">
        <v>0.09322033898305085</v>
      </c>
      <c r="AA220">
        <v>0.8905472636815921</v>
      </c>
      <c r="AB220">
        <v>0.8038079470198676</v>
      </c>
      <c r="AC220">
        <v>0.1490066225165563</v>
      </c>
      <c r="AD220">
        <v>0.1374172185430464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39.11</v>
      </c>
      <c r="D221">
        <v>9583.55351</v>
      </c>
      <c r="E221" t="s">
        <v>644</v>
      </c>
      <c r="F221" t="s">
        <v>613</v>
      </c>
      <c r="G221" t="s">
        <v>653</v>
      </c>
      <c r="H221" t="s">
        <v>682</v>
      </c>
      <c r="I221" t="s">
        <v>905</v>
      </c>
      <c r="J221" t="s">
        <v>1287</v>
      </c>
      <c r="K221">
        <v>43894</v>
      </c>
      <c r="L221">
        <v>0.023571976476604</v>
      </c>
      <c r="M221">
        <v>-0.06465023152829819</v>
      </c>
      <c r="N221">
        <v>0.07000000000000001</v>
      </c>
      <c r="O221">
        <v>0.02878695016547206</v>
      </c>
      <c r="P221" t="s">
        <v>618</v>
      </c>
      <c r="Q221" t="s">
        <v>375</v>
      </c>
      <c r="R221">
        <v>28</v>
      </c>
      <c r="S221">
        <v>0.5909615384615384</v>
      </c>
      <c r="T221">
        <v>28</v>
      </c>
      <c r="U221">
        <v>1.396785714285714</v>
      </c>
      <c r="V221">
        <v>1.128</v>
      </c>
      <c r="W221">
        <v>1.56</v>
      </c>
      <c r="X221">
        <v>0.9219000000000001</v>
      </c>
      <c r="Y221">
        <v>0.0044</v>
      </c>
      <c r="Z221">
        <v>0.2661016949152542</v>
      </c>
      <c r="AA221">
        <v>0.7728026533996684</v>
      </c>
      <c r="AB221">
        <v>0.7259933774834437</v>
      </c>
      <c r="AC221">
        <v>0.1456953642384106</v>
      </c>
      <c r="AD221">
        <v>0.1357615894039735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227.85</v>
      </c>
      <c r="D222">
        <v>111521.1825</v>
      </c>
      <c r="E222" t="s">
        <v>650</v>
      </c>
      <c r="F222" t="s">
        <v>613</v>
      </c>
      <c r="G222" t="s">
        <v>653</v>
      </c>
      <c r="H222" t="s">
        <v>682</v>
      </c>
      <c r="I222" t="s">
        <v>860</v>
      </c>
      <c r="J222" t="s">
        <v>1287</v>
      </c>
      <c r="K222">
        <v>43951</v>
      </c>
      <c r="L222">
        <v>0.022602589422865</v>
      </c>
      <c r="M222">
        <v>-0.06709940810262238</v>
      </c>
      <c r="N222">
        <v>0.07000000000000001</v>
      </c>
      <c r="O222">
        <v>0.0269536182912371</v>
      </c>
      <c r="P222" t="s">
        <v>618</v>
      </c>
      <c r="Q222" t="s">
        <v>316</v>
      </c>
      <c r="R222">
        <v>25</v>
      </c>
      <c r="S222">
        <v>0.5754189944134079</v>
      </c>
      <c r="T222">
        <v>161</v>
      </c>
      <c r="U222">
        <v>1.415217391304348</v>
      </c>
      <c r="V222">
        <v>7.2583</v>
      </c>
      <c r="W222">
        <v>8.949999999999999</v>
      </c>
      <c r="X222">
        <v>5.15</v>
      </c>
      <c r="Y222">
        <v>0.1693</v>
      </c>
      <c r="Z222">
        <v>0.2322033898305085</v>
      </c>
      <c r="AA222">
        <v>0.8955223880597015</v>
      </c>
      <c r="AB222">
        <v>0.7259933774834437</v>
      </c>
      <c r="AC222">
        <v>0.1390728476821192</v>
      </c>
      <c r="AD222">
        <v>0.1291390728476821</v>
      </c>
    </row>
    <row r="223" spans="1:30">
      <c r="A223" s="1" t="s">
        <v>230</v>
      </c>
      <c r="B223">
        <f>HYPERLINK("https://www.suredividend.com/sure-analysis-BAM/","Brookfield Asset Management, Inc.")</f>
        <v>0</v>
      </c>
      <c r="C223">
        <v>29.95</v>
      </c>
      <c r="D223">
        <v>45347.747844</v>
      </c>
      <c r="E223" t="s">
        <v>649</v>
      </c>
      <c r="F223" t="s">
        <v>613</v>
      </c>
      <c r="G223" t="s">
        <v>659</v>
      </c>
      <c r="H223" t="s">
        <v>682</v>
      </c>
      <c r="I223" t="s">
        <v>906</v>
      </c>
      <c r="J223" t="s">
        <v>1277</v>
      </c>
      <c r="K223">
        <v>43967</v>
      </c>
      <c r="L223">
        <v>0.022120877749027</v>
      </c>
      <c r="M223">
        <v>-0.02052492806933714</v>
      </c>
      <c r="N223">
        <v>0.03</v>
      </c>
      <c r="O223">
        <v>0.02666635451122779</v>
      </c>
      <c r="P223" t="s">
        <v>618</v>
      </c>
      <c r="Q223" t="s">
        <v>375</v>
      </c>
      <c r="R223">
        <v>8</v>
      </c>
      <c r="S223">
        <v>0.3785830220476395</v>
      </c>
      <c r="T223">
        <v>27</v>
      </c>
      <c r="U223">
        <v>1.109259259259259</v>
      </c>
      <c r="V223">
        <v>1.2752</v>
      </c>
      <c r="W223">
        <v>1.75</v>
      </c>
      <c r="X223">
        <v>0.6625202885833691</v>
      </c>
      <c r="Y223">
        <v>-0.0558</v>
      </c>
      <c r="Z223">
        <v>0.2220338983050847</v>
      </c>
      <c r="AA223">
        <v>0.713101160862355</v>
      </c>
      <c r="AB223">
        <v>0.2144039735099338</v>
      </c>
      <c r="AC223">
        <v>0.3311258278145695</v>
      </c>
      <c r="AD223">
        <v>0.1274834437086093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95.93000000000001</v>
      </c>
      <c r="D224">
        <v>40484.85825</v>
      </c>
      <c r="E224" t="s">
        <v>641</v>
      </c>
      <c r="F224" t="s">
        <v>613</v>
      </c>
      <c r="G224" t="s">
        <v>653</v>
      </c>
      <c r="H224" t="s">
        <v>682</v>
      </c>
      <c r="I224" t="s">
        <v>907</v>
      </c>
      <c r="J224" t="s">
        <v>1278</v>
      </c>
      <c r="K224">
        <v>43958</v>
      </c>
      <c r="L224">
        <v>0.021708537475242</v>
      </c>
      <c r="M224">
        <v>-0.04550901797066698</v>
      </c>
      <c r="N224">
        <v>0.05</v>
      </c>
      <c r="O224">
        <v>0.02573664220755068</v>
      </c>
      <c r="P224" t="s">
        <v>618</v>
      </c>
      <c r="Q224" t="s">
        <v>316</v>
      </c>
      <c r="R224">
        <v>17</v>
      </c>
      <c r="S224">
        <v>0.520625</v>
      </c>
      <c r="T224">
        <v>76</v>
      </c>
      <c r="U224">
        <v>1.262236842105263</v>
      </c>
      <c r="V224">
        <v>3.9701</v>
      </c>
      <c r="W224">
        <v>4</v>
      </c>
      <c r="X224">
        <v>2.0825</v>
      </c>
      <c r="Y224">
        <v>-0.1059</v>
      </c>
      <c r="Z224">
        <v>0.2135593220338983</v>
      </c>
      <c r="AA224">
        <v>0.669983416252073</v>
      </c>
      <c r="AB224">
        <v>0.4991721854304636</v>
      </c>
      <c r="AC224">
        <v>0.2052980132450331</v>
      </c>
      <c r="AD224">
        <v>0.1241721854304636</v>
      </c>
    </row>
    <row r="225" spans="1:30">
      <c r="A225" s="1" t="s">
        <v>232</v>
      </c>
      <c r="B225">
        <f>HYPERLINK("https://www.suredividend.com/sure-analysis-RMD/","ResMed, Inc.")</f>
        <v>0</v>
      </c>
      <c r="C225">
        <v>164.12</v>
      </c>
      <c r="D225">
        <v>23742.91216</v>
      </c>
      <c r="E225" t="s">
        <v>643</v>
      </c>
      <c r="F225" t="s">
        <v>613</v>
      </c>
      <c r="G225" t="s">
        <v>653</v>
      </c>
      <c r="H225" t="s">
        <v>682</v>
      </c>
      <c r="I225" t="s">
        <v>908</v>
      </c>
      <c r="J225" t="s">
        <v>1280</v>
      </c>
      <c r="K225">
        <v>43955</v>
      </c>
      <c r="L225">
        <v>0.009383378016085001</v>
      </c>
      <c r="M225">
        <v>-0.09798675751556762</v>
      </c>
      <c r="N225">
        <v>0.12</v>
      </c>
      <c r="O225">
        <v>0.02221689495666146</v>
      </c>
      <c r="P225" t="s">
        <v>618</v>
      </c>
      <c r="Q225" t="s">
        <v>316</v>
      </c>
      <c r="R225">
        <v>7</v>
      </c>
      <c r="S225">
        <v>0.3460674157303371</v>
      </c>
      <c r="T225">
        <v>98</v>
      </c>
      <c r="U225">
        <v>1.674693877551021</v>
      </c>
      <c r="V225">
        <v>3.5568</v>
      </c>
      <c r="W225">
        <v>4.45</v>
      </c>
      <c r="X225">
        <v>1.54</v>
      </c>
      <c r="Y225">
        <v>0.4547</v>
      </c>
      <c r="Z225">
        <v>0.05254237288135594</v>
      </c>
      <c r="AA225">
        <v>0.976782752902156</v>
      </c>
      <c r="AB225">
        <v>0.9321192052980132</v>
      </c>
      <c r="AC225">
        <v>0.05960264900662252</v>
      </c>
      <c r="AD225">
        <v>0.1142384105960265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229.58</v>
      </c>
      <c r="D226">
        <v>101774.19148</v>
      </c>
      <c r="E226" t="s">
        <v>641</v>
      </c>
      <c r="F226" t="s">
        <v>614</v>
      </c>
      <c r="G226" t="s">
        <v>653</v>
      </c>
      <c r="H226" t="s">
        <v>682</v>
      </c>
      <c r="I226" t="s">
        <v>909</v>
      </c>
      <c r="J226" t="s">
        <v>1281</v>
      </c>
      <c r="K226">
        <v>43958</v>
      </c>
      <c r="L226">
        <v>0.017248889276069</v>
      </c>
      <c r="M226">
        <v>-0.05721554787582683</v>
      </c>
      <c r="N226">
        <v>0.06</v>
      </c>
      <c r="O226">
        <v>0.02094143895026557</v>
      </c>
      <c r="P226" t="s">
        <v>618</v>
      </c>
      <c r="Q226" t="s">
        <v>316</v>
      </c>
      <c r="R226">
        <v>9</v>
      </c>
      <c r="S226">
        <v>0.4858895705521472</v>
      </c>
      <c r="T226">
        <v>171</v>
      </c>
      <c r="U226">
        <v>1.342573099415205</v>
      </c>
      <c r="V226">
        <v>4.3032</v>
      </c>
      <c r="W226">
        <v>8.15</v>
      </c>
      <c r="X226">
        <v>3.96</v>
      </c>
      <c r="Y226">
        <v>0.1452</v>
      </c>
      <c r="Z226">
        <v>0.1474576271186441</v>
      </c>
      <c r="AA226">
        <v>0.8756218905472637</v>
      </c>
      <c r="AB226">
        <v>0.6341059602649007</v>
      </c>
      <c r="AC226">
        <v>0.1672185430463576</v>
      </c>
      <c r="AD226">
        <v>0.1109271523178808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57.89</v>
      </c>
      <c r="D227">
        <v>30393.92881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1287</v>
      </c>
      <c r="K227">
        <v>43964</v>
      </c>
      <c r="L227">
        <v>0.028415961305925</v>
      </c>
      <c r="M227">
        <v>-0.05339275216326334</v>
      </c>
      <c r="N227">
        <v>0.04</v>
      </c>
      <c r="O227">
        <v>0.01775166457878541</v>
      </c>
      <c r="P227" t="s">
        <v>618</v>
      </c>
      <c r="Q227" t="s">
        <v>375</v>
      </c>
      <c r="R227">
        <v>17</v>
      </c>
      <c r="S227">
        <v>0.5981818181818181</v>
      </c>
      <c r="T227">
        <v>44</v>
      </c>
      <c r="U227">
        <v>1.315681818181818</v>
      </c>
      <c r="V227">
        <v>2.5924</v>
      </c>
      <c r="W227">
        <v>2.75</v>
      </c>
      <c r="X227">
        <v>1.645</v>
      </c>
      <c r="Y227">
        <v>0.0117</v>
      </c>
      <c r="Z227">
        <v>0.3389830508474577</v>
      </c>
      <c r="AA227">
        <v>0.7777777777777777</v>
      </c>
      <c r="AB227">
        <v>0.3493377483443709</v>
      </c>
      <c r="AC227">
        <v>0.1821192052980133</v>
      </c>
      <c r="AD227">
        <v>0.1009933774834437</v>
      </c>
    </row>
    <row r="228" spans="1:30">
      <c r="A228" s="1" t="s">
        <v>235</v>
      </c>
      <c r="B228">
        <f>HYPERLINK("https://www.suredividend.com/sure-analysis-MSFT/","Microsoft Corp.")</f>
        <v>0</v>
      </c>
      <c r="C228">
        <v>183.16</v>
      </c>
      <c r="D228">
        <v>1388982.8704</v>
      </c>
      <c r="E228" t="s">
        <v>641</v>
      </c>
      <c r="F228" t="s">
        <v>613</v>
      </c>
      <c r="G228" t="s">
        <v>653</v>
      </c>
      <c r="H228" t="s">
        <v>683</v>
      </c>
      <c r="I228" t="s">
        <v>911</v>
      </c>
      <c r="J228" t="s">
        <v>1286</v>
      </c>
      <c r="K228">
        <v>43958</v>
      </c>
      <c r="L228">
        <v>0.010864817645774</v>
      </c>
      <c r="M228">
        <v>-0.07956961490161163</v>
      </c>
      <c r="N228">
        <v>0.09</v>
      </c>
      <c r="O228">
        <v>0.01738588176580413</v>
      </c>
      <c r="P228" t="s">
        <v>618</v>
      </c>
      <c r="Q228" t="s">
        <v>316</v>
      </c>
      <c r="R228">
        <v>18</v>
      </c>
      <c r="S228">
        <v>0.3618181818181818</v>
      </c>
      <c r="T228">
        <v>121</v>
      </c>
      <c r="U228">
        <v>1.513719008264463</v>
      </c>
      <c r="V228">
        <v>6.0629</v>
      </c>
      <c r="W228">
        <v>5.5</v>
      </c>
      <c r="X228">
        <v>1.99</v>
      </c>
      <c r="Y228">
        <v>0.4534</v>
      </c>
      <c r="Z228">
        <v>0.06440677966101695</v>
      </c>
      <c r="AA228">
        <v>0.9751243781094527</v>
      </c>
      <c r="AB228">
        <v>0.8600993377483444</v>
      </c>
      <c r="AC228">
        <v>0.1009933774834437</v>
      </c>
      <c r="AD228">
        <v>0.09933774834437087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145.1</v>
      </c>
      <c r="D229">
        <v>6209.27881</v>
      </c>
      <c r="E229" t="s">
        <v>649</v>
      </c>
      <c r="F229" t="s">
        <v>613</v>
      </c>
      <c r="G229" t="s">
        <v>653</v>
      </c>
      <c r="H229" t="s">
        <v>683</v>
      </c>
      <c r="I229" t="s">
        <v>912</v>
      </c>
      <c r="J229" t="s">
        <v>1277</v>
      </c>
      <c r="K229">
        <v>43890</v>
      </c>
      <c r="L229">
        <v>0.007994486560992001</v>
      </c>
      <c r="M229">
        <v>-0.05734827063500747</v>
      </c>
      <c r="N229">
        <v>0.06</v>
      </c>
      <c r="O229">
        <v>0.009497792529355786</v>
      </c>
      <c r="P229" t="s">
        <v>618</v>
      </c>
      <c r="Q229" t="s">
        <v>316</v>
      </c>
      <c r="R229">
        <v>10</v>
      </c>
      <c r="S229">
        <v>0.29</v>
      </c>
      <c r="T229">
        <v>108</v>
      </c>
      <c r="U229">
        <v>1.343518518518519</v>
      </c>
      <c r="V229">
        <v>3.3351</v>
      </c>
      <c r="W229">
        <v>4</v>
      </c>
      <c r="X229">
        <v>1.16</v>
      </c>
      <c r="Y229">
        <v>0.0887</v>
      </c>
      <c r="Z229">
        <v>0.03220338983050847</v>
      </c>
      <c r="AA229">
        <v>0.8407960199004976</v>
      </c>
      <c r="AB229">
        <v>0.6341059602649007</v>
      </c>
      <c r="AC229">
        <v>0.1655629139072848</v>
      </c>
      <c r="AD229">
        <v>0.08443708609271523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86.98999999999999</v>
      </c>
      <c r="D230">
        <v>135271.1898</v>
      </c>
      <c r="E230" t="s">
        <v>641</v>
      </c>
      <c r="F230" t="s">
        <v>613</v>
      </c>
      <c r="G230" t="s">
        <v>653</v>
      </c>
      <c r="H230" t="s">
        <v>682</v>
      </c>
      <c r="I230" t="s">
        <v>913</v>
      </c>
      <c r="J230" t="s">
        <v>1279</v>
      </c>
      <c r="K230">
        <v>43916</v>
      </c>
      <c r="L230">
        <v>0.010690884009656</v>
      </c>
      <c r="M230">
        <v>-0.0876138759341677</v>
      </c>
      <c r="N230">
        <v>0.09</v>
      </c>
      <c r="O230">
        <v>0.009045261312254471</v>
      </c>
      <c r="P230" t="s">
        <v>618</v>
      </c>
      <c r="Q230" t="s">
        <v>316</v>
      </c>
      <c r="R230">
        <v>18</v>
      </c>
      <c r="S230">
        <v>0.372</v>
      </c>
      <c r="T230">
        <v>55</v>
      </c>
      <c r="U230">
        <v>1.581636363636364</v>
      </c>
      <c r="V230">
        <v>2.7635</v>
      </c>
      <c r="W230">
        <v>2.5</v>
      </c>
      <c r="X230">
        <v>0.93</v>
      </c>
      <c r="Y230">
        <v>0.0355</v>
      </c>
      <c r="Z230">
        <v>0.06271186440677966</v>
      </c>
      <c r="AA230">
        <v>0.8009950248756219</v>
      </c>
      <c r="AB230">
        <v>0.8600993377483444</v>
      </c>
      <c r="AC230">
        <v>0.07947019867549669</v>
      </c>
      <c r="AD230">
        <v>0.08112582781456953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228.04</v>
      </c>
      <c r="D231">
        <v>50363.7742</v>
      </c>
      <c r="E231" t="s">
        <v>643</v>
      </c>
      <c r="F231" t="s">
        <v>613</v>
      </c>
      <c r="G231" t="s">
        <v>653</v>
      </c>
      <c r="H231" t="s">
        <v>682</v>
      </c>
      <c r="I231" t="s">
        <v>914</v>
      </c>
      <c r="J231" t="s">
        <v>1283</v>
      </c>
      <c r="K231">
        <v>43946</v>
      </c>
      <c r="L231">
        <v>0.021136642694264</v>
      </c>
      <c r="M231">
        <v>-0.07671436269750764</v>
      </c>
      <c r="N231">
        <v>0.06</v>
      </c>
      <c r="O231">
        <v>0.006704761769635414</v>
      </c>
      <c r="P231" t="s">
        <v>618</v>
      </c>
      <c r="Q231" t="s">
        <v>375</v>
      </c>
      <c r="R231">
        <v>38</v>
      </c>
      <c r="S231">
        <v>0.5670588235294118</v>
      </c>
      <c r="T231">
        <v>153</v>
      </c>
      <c r="U231">
        <v>1.490457516339869</v>
      </c>
      <c r="V231">
        <v>8.867699999999999</v>
      </c>
      <c r="W231">
        <v>8.5</v>
      </c>
      <c r="X231">
        <v>4.82</v>
      </c>
      <c r="Y231">
        <v>0.1123</v>
      </c>
      <c r="Z231">
        <v>0.2067796610169492</v>
      </c>
      <c r="AA231">
        <v>0.857379767827529</v>
      </c>
      <c r="AB231">
        <v>0.6341059602649007</v>
      </c>
      <c r="AC231">
        <v>0.1059602649006623</v>
      </c>
      <c r="AD231">
        <v>0.07781456953642384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164.48</v>
      </c>
      <c r="D232">
        <v>7597.183168</v>
      </c>
      <c r="E232" t="s">
        <v>643</v>
      </c>
      <c r="F232" t="s">
        <v>613</v>
      </c>
      <c r="G232" t="s">
        <v>653</v>
      </c>
      <c r="H232" t="s">
        <v>683</v>
      </c>
      <c r="I232" t="s">
        <v>915</v>
      </c>
      <c r="J232" t="s">
        <v>1277</v>
      </c>
      <c r="K232">
        <v>43961</v>
      </c>
      <c r="L232">
        <v>0.022677529182879</v>
      </c>
      <c r="M232">
        <v>-0.07563822833445932</v>
      </c>
      <c r="N232">
        <v>0.055</v>
      </c>
      <c r="O232">
        <v>0.003619076432920698</v>
      </c>
      <c r="P232" t="s">
        <v>618</v>
      </c>
      <c r="Q232" t="s">
        <v>375</v>
      </c>
      <c r="R232">
        <v>30</v>
      </c>
      <c r="S232">
        <v>0.6065040650406504</v>
      </c>
      <c r="T232">
        <v>111</v>
      </c>
      <c r="U232">
        <v>1.481801801801802</v>
      </c>
      <c r="V232">
        <v>6.4598</v>
      </c>
      <c r="W232">
        <v>6.15</v>
      </c>
      <c r="X232">
        <v>3.73</v>
      </c>
      <c r="Y232">
        <v>-0.1786</v>
      </c>
      <c r="Z232">
        <v>0.2338983050847458</v>
      </c>
      <c r="AA232">
        <v>0.5572139303482587</v>
      </c>
      <c r="AB232">
        <v>0.5786423841059603</v>
      </c>
      <c r="AC232">
        <v>0.1076158940397351</v>
      </c>
      <c r="AD232">
        <v>0.06953642384105961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111.72</v>
      </c>
      <c r="D233">
        <v>12918.1836</v>
      </c>
      <c r="E233" t="s">
        <v>646</v>
      </c>
      <c r="F233" t="s">
        <v>613</v>
      </c>
      <c r="G233" t="s">
        <v>653</v>
      </c>
      <c r="H233" t="s">
        <v>683</v>
      </c>
      <c r="I233" t="s">
        <v>916</v>
      </c>
      <c r="J233" t="s">
        <v>1279</v>
      </c>
      <c r="K233">
        <v>43963</v>
      </c>
      <c r="L233">
        <v>0.012531328320802</v>
      </c>
      <c r="M233">
        <v>-0.07415873596442657</v>
      </c>
      <c r="N233">
        <v>0.065</v>
      </c>
      <c r="O233">
        <v>0.00199910292903982</v>
      </c>
      <c r="P233" t="s">
        <v>618</v>
      </c>
      <c r="Q233" t="s">
        <v>316</v>
      </c>
      <c r="R233">
        <v>9</v>
      </c>
      <c r="S233">
        <v>0.35</v>
      </c>
      <c r="T233">
        <v>76</v>
      </c>
      <c r="U233">
        <v>1.47</v>
      </c>
      <c r="V233">
        <v>4.7835</v>
      </c>
      <c r="W233">
        <v>4</v>
      </c>
      <c r="X233">
        <v>1.4</v>
      </c>
      <c r="Y233">
        <v>0.1255</v>
      </c>
      <c r="Z233">
        <v>0.08305084745762711</v>
      </c>
      <c r="AA233">
        <v>0.8656716417910448</v>
      </c>
      <c r="AB233">
        <v>0.6837748344370861</v>
      </c>
      <c r="AC233">
        <v>0.1125827814569536</v>
      </c>
      <c r="AD233">
        <v>0.06456953642384106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66.52</v>
      </c>
      <c r="D234">
        <v>5136.24202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1279</v>
      </c>
      <c r="K234">
        <v>43916</v>
      </c>
      <c r="L234">
        <v>0.028863499699338</v>
      </c>
      <c r="M234">
        <v>-0.07111677854915988</v>
      </c>
      <c r="N234">
        <v>0.04</v>
      </c>
      <c r="O234">
        <v>0.0008189261387174795</v>
      </c>
      <c r="P234" t="s">
        <v>618</v>
      </c>
      <c r="Q234" t="s">
        <v>375</v>
      </c>
      <c r="R234">
        <v>14</v>
      </c>
      <c r="S234">
        <v>0.5485714285714286</v>
      </c>
      <c r="T234">
        <v>46</v>
      </c>
      <c r="U234">
        <v>1.446086956521739</v>
      </c>
      <c r="V234">
        <v>4.5728</v>
      </c>
      <c r="W234">
        <v>3.5</v>
      </c>
      <c r="X234">
        <v>1.92</v>
      </c>
      <c r="Y234">
        <v>0.2504</v>
      </c>
      <c r="Z234">
        <v>0.3406779661016949</v>
      </c>
      <c r="AA234">
        <v>0.9286898839137645</v>
      </c>
      <c r="AB234">
        <v>0.3493377483443709</v>
      </c>
      <c r="AC234">
        <v>0.1208609271523179</v>
      </c>
      <c r="AD234">
        <v>0.06125827814569536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209.83</v>
      </c>
      <c r="D235">
        <v>26249.733</v>
      </c>
      <c r="E235" t="s">
        <v>649</v>
      </c>
      <c r="F235" t="s">
        <v>613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0.020206834103798</v>
      </c>
      <c r="M235">
        <v>-0.0803929307214204</v>
      </c>
      <c r="N235">
        <v>0.04</v>
      </c>
      <c r="O235">
        <v>-0.01782288361912765</v>
      </c>
      <c r="P235" t="s">
        <v>618</v>
      </c>
      <c r="Q235" t="s">
        <v>375</v>
      </c>
      <c r="R235">
        <v>42</v>
      </c>
      <c r="S235">
        <v>0.6144927536231884</v>
      </c>
      <c r="T235">
        <v>138</v>
      </c>
      <c r="U235">
        <v>1.520507246376812</v>
      </c>
      <c r="V235">
        <v>6.9087</v>
      </c>
      <c r="W235">
        <v>6.9</v>
      </c>
      <c r="X235">
        <v>4.24</v>
      </c>
      <c r="Y235">
        <v>0.4147</v>
      </c>
      <c r="Z235">
        <v>0.1915254237288136</v>
      </c>
      <c r="AA235">
        <v>0.9701492537313433</v>
      </c>
      <c r="AB235">
        <v>0.3493377483443709</v>
      </c>
      <c r="AC235">
        <v>0.09602649006622517</v>
      </c>
      <c r="AD235">
        <v>0.03642384105960265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159.23</v>
      </c>
      <c r="D236">
        <v>152389.16074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1280</v>
      </c>
      <c r="K236">
        <v>43944</v>
      </c>
      <c r="L236">
        <v>0.016799598065691</v>
      </c>
      <c r="M236">
        <v>-0.07990455480423442</v>
      </c>
      <c r="N236">
        <v>0.04</v>
      </c>
      <c r="O236">
        <v>-0.02225277933531189</v>
      </c>
      <c r="P236" t="s">
        <v>618</v>
      </c>
      <c r="Q236" t="s">
        <v>316</v>
      </c>
      <c r="R236">
        <v>6</v>
      </c>
      <c r="S236">
        <v>0.3933823529411765</v>
      </c>
      <c r="T236">
        <v>105</v>
      </c>
      <c r="U236">
        <v>1.51647619047619</v>
      </c>
      <c r="V236">
        <v>6.051</v>
      </c>
      <c r="W236">
        <v>6.8</v>
      </c>
      <c r="X236">
        <v>2.675</v>
      </c>
      <c r="Y236">
        <v>0.3772</v>
      </c>
      <c r="Z236">
        <v>0.1372881355932203</v>
      </c>
      <c r="AA236">
        <v>0.9618573797678275</v>
      </c>
      <c r="AB236">
        <v>0.3493377483443709</v>
      </c>
      <c r="AC236">
        <v>0.09933774834437087</v>
      </c>
      <c r="AD236">
        <v>0.03476821192052981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10.98</v>
      </c>
      <c r="D237">
        <v>149.89896</v>
      </c>
      <c r="E237" t="s">
        <v>642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0.273224043715846</v>
      </c>
      <c r="M237">
        <v>0.3014764179083869</v>
      </c>
      <c r="N237">
        <v>0.02</v>
      </c>
      <c r="O237">
        <v>0.4057105286731373</v>
      </c>
      <c r="P237" t="s">
        <v>375</v>
      </c>
      <c r="Q237" t="s">
        <v>617</v>
      </c>
      <c r="R237">
        <v>0</v>
      </c>
      <c r="S237">
        <v>0.7317073170731708</v>
      </c>
      <c r="T237">
        <v>41</v>
      </c>
      <c r="U237">
        <v>0.2678048780487805</v>
      </c>
      <c r="V237">
        <v>-0.3854</v>
      </c>
      <c r="W237">
        <v>4.1</v>
      </c>
      <c r="X237">
        <v>3</v>
      </c>
      <c r="Y237">
        <v>-0.7316</v>
      </c>
      <c r="Z237">
        <v>0.9830508474576272</v>
      </c>
      <c r="AA237">
        <v>0.02653399668325042</v>
      </c>
      <c r="AB237">
        <v>0.1274834437086093</v>
      </c>
      <c r="AC237">
        <v>0.9966887417218543</v>
      </c>
      <c r="AD237">
        <v>0.9933774834437087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37.45</v>
      </c>
      <c r="D238">
        <v>7831.43165</v>
      </c>
      <c r="E238" t="s">
        <v>649</v>
      </c>
      <c r="F238" t="s">
        <v>613</v>
      </c>
      <c r="G238" t="s">
        <v>653</v>
      </c>
      <c r="H238" t="s">
        <v>682</v>
      </c>
      <c r="I238" t="s">
        <v>921</v>
      </c>
      <c r="J238" t="s">
        <v>1279</v>
      </c>
      <c r="K238">
        <v>43869</v>
      </c>
      <c r="L238">
        <v>0.081174899866488</v>
      </c>
      <c r="M238">
        <v>0.2705564716135282</v>
      </c>
      <c r="N238">
        <v>0.08</v>
      </c>
      <c r="O238">
        <v>0.4007470914732059</v>
      </c>
      <c r="P238" t="s">
        <v>375</v>
      </c>
      <c r="Q238" t="s">
        <v>618</v>
      </c>
      <c r="R238">
        <v>8</v>
      </c>
      <c r="S238">
        <v>0.2951456310679612</v>
      </c>
      <c r="T238">
        <v>124</v>
      </c>
      <c r="U238">
        <v>0.3020161290322581</v>
      </c>
      <c r="V238">
        <v>0.8652000000000001</v>
      </c>
      <c r="W238">
        <v>10.3</v>
      </c>
      <c r="X238">
        <v>3.04</v>
      </c>
      <c r="Y238">
        <v>-0.6974</v>
      </c>
      <c r="Z238">
        <v>0.7830508474576271</v>
      </c>
      <c r="AA238">
        <v>0.03980099502487562</v>
      </c>
      <c r="AB238">
        <v>0.8038079470198676</v>
      </c>
      <c r="AC238">
        <v>0.9933774834437087</v>
      </c>
      <c r="AD238">
        <v>0.9917218543046357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5.01</v>
      </c>
      <c r="D239">
        <v>1676.57646</v>
      </c>
      <c r="E239" t="s">
        <v>642</v>
      </c>
      <c r="F239" t="s">
        <v>613</v>
      </c>
      <c r="G239" t="s">
        <v>654</v>
      </c>
      <c r="H239" t="s">
        <v>682</v>
      </c>
      <c r="I239" t="s">
        <v>922</v>
      </c>
      <c r="J239" t="s">
        <v>1286</v>
      </c>
      <c r="K239">
        <v>43872</v>
      </c>
      <c r="L239">
        <v>0.222931337325349</v>
      </c>
      <c r="M239">
        <v>0.2100996220266345</v>
      </c>
      <c r="N239">
        <v>0.04</v>
      </c>
      <c r="O239">
        <v>0.3491832734174443</v>
      </c>
      <c r="P239" t="s">
        <v>375</v>
      </c>
      <c r="Q239" t="s">
        <v>617</v>
      </c>
      <c r="R239">
        <v>2</v>
      </c>
      <c r="S239">
        <v>0.6204922222222222</v>
      </c>
      <c r="T239">
        <v>13</v>
      </c>
      <c r="U239">
        <v>0.3853846153846154</v>
      </c>
      <c r="V239">
        <v>-0.7031000000000001</v>
      </c>
      <c r="W239">
        <v>1.8</v>
      </c>
      <c r="X239">
        <v>1.116886</v>
      </c>
      <c r="Y239">
        <v>-0.7852</v>
      </c>
      <c r="Z239">
        <v>0.9677966101694915</v>
      </c>
      <c r="AA239">
        <v>0.01160862354892206</v>
      </c>
      <c r="AB239">
        <v>0.3493377483443709</v>
      </c>
      <c r="AC239">
        <v>0.978476821192053</v>
      </c>
      <c r="AD239">
        <v>0.9867549668874172</v>
      </c>
    </row>
    <row r="240" spans="1:30">
      <c r="A240" s="1" t="s">
        <v>247</v>
      </c>
      <c r="B240">
        <f>HYPERLINK("https://www.suredividend.com/sure-analysis-MDP/","Meredith Corp.")</f>
        <v>0</v>
      </c>
      <c r="C240">
        <v>11.57</v>
      </c>
      <c r="D240">
        <v>524.588659</v>
      </c>
      <c r="E240" t="s">
        <v>642</v>
      </c>
      <c r="F240" t="s">
        <v>613</v>
      </c>
      <c r="G240" t="s">
        <v>653</v>
      </c>
      <c r="H240" t="s">
        <v>682</v>
      </c>
      <c r="I240" t="s">
        <v>923</v>
      </c>
      <c r="J240" t="s">
        <v>1282</v>
      </c>
      <c r="K240">
        <v>43868</v>
      </c>
      <c r="L240">
        <v>0.200518582541054</v>
      </c>
      <c r="M240">
        <v>0.2332073832180277</v>
      </c>
      <c r="N240">
        <v>0.036</v>
      </c>
      <c r="O240">
        <v>0.3476639088529394</v>
      </c>
      <c r="P240" t="s">
        <v>375</v>
      </c>
      <c r="Q240" t="s">
        <v>617</v>
      </c>
      <c r="R240">
        <v>27</v>
      </c>
      <c r="S240">
        <v>0.8498168498168498</v>
      </c>
      <c r="T240">
        <v>33</v>
      </c>
      <c r="U240">
        <v>0.3506060606060606</v>
      </c>
      <c r="V240">
        <v>-6.9068</v>
      </c>
      <c r="W240">
        <v>2.73</v>
      </c>
      <c r="X240">
        <v>2.32</v>
      </c>
      <c r="Y240">
        <v>-0.7974</v>
      </c>
      <c r="Z240">
        <v>0.9593220338983051</v>
      </c>
      <c r="AA240">
        <v>0.009950248756218905</v>
      </c>
      <c r="AB240">
        <v>0.2806291390728477</v>
      </c>
      <c r="AC240">
        <v>0.9817880794701986</v>
      </c>
      <c r="AD240">
        <v>0.9850993377483444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17.3</v>
      </c>
      <c r="D241">
        <v>10645.96328</v>
      </c>
      <c r="E241" t="s">
        <v>648</v>
      </c>
      <c r="F241" t="s">
        <v>613</v>
      </c>
      <c r="G241" t="s">
        <v>653</v>
      </c>
      <c r="H241" t="s">
        <v>683</v>
      </c>
      <c r="I241" t="s">
        <v>924</v>
      </c>
      <c r="J241" t="s">
        <v>1282</v>
      </c>
      <c r="K241">
        <v>43906</v>
      </c>
      <c r="L241">
        <v>0.048554913294797</v>
      </c>
      <c r="M241">
        <v>0.2509672879347515</v>
      </c>
      <c r="N241">
        <v>0.05</v>
      </c>
      <c r="O241">
        <v>0.3345168479681209</v>
      </c>
      <c r="P241" t="s">
        <v>375</v>
      </c>
      <c r="Q241" t="s">
        <v>375</v>
      </c>
      <c r="R241">
        <v>1</v>
      </c>
      <c r="S241">
        <v>0.1584905660377358</v>
      </c>
      <c r="T241">
        <v>53</v>
      </c>
      <c r="U241">
        <v>0.3264150943396227</v>
      </c>
      <c r="V241">
        <v>2.4538</v>
      </c>
      <c r="W241">
        <v>5.3</v>
      </c>
      <c r="X241">
        <v>0.84</v>
      </c>
      <c r="Y241">
        <v>-0.6384000000000001</v>
      </c>
      <c r="Z241">
        <v>0.5644067796610169</v>
      </c>
      <c r="AA241">
        <v>0.06965174129353234</v>
      </c>
      <c r="AB241">
        <v>0.4991721854304636</v>
      </c>
      <c r="AC241">
        <v>0.9884105960264901</v>
      </c>
      <c r="AD241">
        <v>0.9801324503311258</v>
      </c>
    </row>
    <row r="242" spans="1:30">
      <c r="A242" s="1" t="s">
        <v>249</v>
      </c>
      <c r="B242">
        <f>HYPERLINK("https://www.suredividend.com/sure-analysis-PBR/","Petróleo Brasileiro SA")</f>
        <v>0</v>
      </c>
      <c r="C242">
        <v>6.1</v>
      </c>
      <c r="D242">
        <v>22698.793082</v>
      </c>
      <c r="E242" t="s">
        <v>645</v>
      </c>
      <c r="F242" t="s">
        <v>613</v>
      </c>
      <c r="G242" t="s">
        <v>664</v>
      </c>
      <c r="H242" t="s">
        <v>682</v>
      </c>
      <c r="I242" t="s">
        <v>925</v>
      </c>
      <c r="J242" t="s">
        <v>1284</v>
      </c>
      <c r="K242">
        <v>43886</v>
      </c>
      <c r="L242">
        <v>0.046082786885245</v>
      </c>
      <c r="M242">
        <v>0.1633829734886234</v>
      </c>
      <c r="N242">
        <v>0.1</v>
      </c>
      <c r="O242">
        <v>0.2906467336618479</v>
      </c>
      <c r="P242" t="s">
        <v>375</v>
      </c>
      <c r="Q242" t="s">
        <v>375</v>
      </c>
      <c r="R242">
        <v>0</v>
      </c>
      <c r="S242">
        <v>0.2342541666666667</v>
      </c>
      <c r="T242">
        <v>13</v>
      </c>
      <c r="U242">
        <v>0.4692307692307692</v>
      </c>
      <c r="V242">
        <v>1.5567</v>
      </c>
      <c r="W242">
        <v>1.2</v>
      </c>
      <c r="X242">
        <v>0.281105</v>
      </c>
      <c r="Y242">
        <v>-0.5692</v>
      </c>
      <c r="Z242">
        <v>0.5406779661016949</v>
      </c>
      <c r="AA242">
        <v>0.1061359867330017</v>
      </c>
      <c r="AB242">
        <v>0.8981788079470199</v>
      </c>
      <c r="AC242">
        <v>0.945364238410596</v>
      </c>
      <c r="AD242">
        <v>0.966887417218543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8.220000000000001</v>
      </c>
      <c r="D243">
        <v>3528.024</v>
      </c>
      <c r="E243" t="s">
        <v>650</v>
      </c>
      <c r="F243" t="s">
        <v>613</v>
      </c>
      <c r="G243" t="s">
        <v>659</v>
      </c>
      <c r="H243" t="s">
        <v>684</v>
      </c>
      <c r="I243" t="s">
        <v>926</v>
      </c>
      <c r="J243" t="s">
        <v>1284</v>
      </c>
      <c r="K243">
        <v>43886</v>
      </c>
      <c r="L243">
        <v>0.156317567107551</v>
      </c>
      <c r="M243">
        <v>0.1564195385116272</v>
      </c>
      <c r="N243">
        <v>0.05</v>
      </c>
      <c r="O243">
        <v>0.2846826598352385</v>
      </c>
      <c r="P243" t="s">
        <v>375</v>
      </c>
      <c r="Q243" t="s">
        <v>617</v>
      </c>
      <c r="R243">
        <v>11</v>
      </c>
      <c r="S243">
        <v>0.778745697953982</v>
      </c>
      <c r="T243">
        <v>17</v>
      </c>
      <c r="U243">
        <v>0.4835294117647059</v>
      </c>
      <c r="V243">
        <v>0.9586</v>
      </c>
      <c r="W243">
        <v>1.65</v>
      </c>
      <c r="X243">
        <v>1.28493040162407</v>
      </c>
      <c r="Y243">
        <v>-0.4652</v>
      </c>
      <c r="Z243">
        <v>0.9237288135593221</v>
      </c>
      <c r="AA243">
        <v>0.208955223880597</v>
      </c>
      <c r="AB243">
        <v>0.4991721854304636</v>
      </c>
      <c r="AC243">
        <v>0.9354304635761589</v>
      </c>
      <c r="AD243">
        <v>0.9652317880794702</v>
      </c>
    </row>
    <row r="244" spans="1:30">
      <c r="A244" s="1" t="s">
        <v>251</v>
      </c>
      <c r="B244">
        <f>HYPERLINK("https://www.suredividend.com/sure-analysis-KTB/","Kontoor Brands, Inc.")</f>
        <v>0</v>
      </c>
      <c r="C244">
        <v>13.84</v>
      </c>
      <c r="D244">
        <v>790.331816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1279</v>
      </c>
      <c r="K244">
        <v>43907</v>
      </c>
      <c r="L244">
        <v>0.121387283236994</v>
      </c>
      <c r="M244">
        <v>0.1673391012571213</v>
      </c>
      <c r="N244">
        <v>0.03</v>
      </c>
      <c r="O244">
        <v>0.2751471311091471</v>
      </c>
      <c r="P244" t="s">
        <v>375</v>
      </c>
      <c r="Q244" t="s">
        <v>617</v>
      </c>
      <c r="R244">
        <v>0</v>
      </c>
      <c r="S244">
        <v>0.5694915254237288</v>
      </c>
      <c r="T244">
        <v>30</v>
      </c>
      <c r="U244">
        <v>0.4613333333333333</v>
      </c>
      <c r="V244">
        <v>1.3852</v>
      </c>
      <c r="W244">
        <v>2.95</v>
      </c>
      <c r="X244">
        <v>1.68</v>
      </c>
      <c r="Y244">
        <v>-0.6415000000000001</v>
      </c>
      <c r="Z244">
        <v>0.8779661016949153</v>
      </c>
      <c r="AA244">
        <v>0.06799336650082918</v>
      </c>
      <c r="AB244">
        <v>0.2144039735099338</v>
      </c>
      <c r="AC244">
        <v>0.9519867549668873</v>
      </c>
      <c r="AD244">
        <v>0.9602649006622517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2.23</v>
      </c>
      <c r="D245">
        <v>4545.98211</v>
      </c>
      <c r="E245" t="s">
        <v>644</v>
      </c>
      <c r="F245" t="s">
        <v>613</v>
      </c>
      <c r="G245" t="s">
        <v>665</v>
      </c>
      <c r="H245" t="s">
        <v>682</v>
      </c>
      <c r="I245" t="s">
        <v>928</v>
      </c>
      <c r="J245" t="s">
        <v>1277</v>
      </c>
      <c r="K245">
        <v>43878</v>
      </c>
      <c r="L245">
        <v>0.129686098654708</v>
      </c>
      <c r="M245">
        <v>0.1657012840713803</v>
      </c>
      <c r="N245">
        <v>0.03</v>
      </c>
      <c r="O245">
        <v>0.2732341568736798</v>
      </c>
      <c r="P245" t="s">
        <v>375</v>
      </c>
      <c r="Q245" t="s">
        <v>617</v>
      </c>
      <c r="R245">
        <v>4</v>
      </c>
      <c r="S245">
        <v>0.3615</v>
      </c>
      <c r="T245">
        <v>4.8</v>
      </c>
      <c r="U245">
        <v>0.4645833333333333</v>
      </c>
      <c r="V245">
        <v>0.8313</v>
      </c>
      <c r="W245">
        <v>0.8</v>
      </c>
      <c r="X245">
        <v>0.2892</v>
      </c>
      <c r="Y245">
        <v>-0.5295</v>
      </c>
      <c r="Z245">
        <v>0.8949152542372881</v>
      </c>
      <c r="AA245">
        <v>0.1260364842454395</v>
      </c>
      <c r="AB245">
        <v>0.2144039735099338</v>
      </c>
      <c r="AC245">
        <v>0.9486754966887417</v>
      </c>
      <c r="AD245">
        <v>0.9586092715231789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38</v>
      </c>
      <c r="D246">
        <v>11639.438</v>
      </c>
      <c r="E246" t="s">
        <v>643</v>
      </c>
      <c r="F246" t="s">
        <v>613</v>
      </c>
      <c r="G246" t="s">
        <v>653</v>
      </c>
      <c r="H246" t="s">
        <v>682</v>
      </c>
      <c r="I246" t="s">
        <v>929</v>
      </c>
      <c r="J246" t="s">
        <v>1277</v>
      </c>
      <c r="K246">
        <v>43946</v>
      </c>
      <c r="L246">
        <v>0.04526315789473601</v>
      </c>
      <c r="M246">
        <v>0.1634300702005214</v>
      </c>
      <c r="N246">
        <v>0.075</v>
      </c>
      <c r="O246">
        <v>0.2725588318455421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0.4691358024691358</v>
      </c>
      <c r="V246">
        <v>6.689</v>
      </c>
      <c r="W246">
        <v>4.9</v>
      </c>
      <c r="X246">
        <v>1.72</v>
      </c>
      <c r="Y246">
        <v>-0.508</v>
      </c>
      <c r="Z246">
        <v>0.5305084745762713</v>
      </c>
      <c r="AA246">
        <v>0.1525704809286899</v>
      </c>
      <c r="AB246">
        <v>0.7665562913907285</v>
      </c>
      <c r="AC246">
        <v>0.9470198675496688</v>
      </c>
      <c r="AD246">
        <v>0.9569536423841059</v>
      </c>
    </row>
    <row r="247" spans="1:30">
      <c r="A247" s="1" t="s">
        <v>254</v>
      </c>
      <c r="B247">
        <f>HYPERLINK("https://www.suredividend.com/sure-analysis-TFC/","Truist Financial Corp.")</f>
        <v>0</v>
      </c>
      <c r="C247">
        <v>31.35</v>
      </c>
      <c r="D247">
        <v>42243.1845</v>
      </c>
      <c r="E247" t="s">
        <v>647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43867</v>
      </c>
      <c r="L247">
        <v>0.05598086124401901</v>
      </c>
      <c r="M247">
        <v>0.1461219469623711</v>
      </c>
      <c r="N247">
        <v>0.07000000000000001</v>
      </c>
      <c r="O247">
        <v>0.2569188214645182</v>
      </c>
      <c r="P247" t="s">
        <v>375</v>
      </c>
      <c r="Q247" t="s">
        <v>375</v>
      </c>
      <c r="R247">
        <v>10</v>
      </c>
      <c r="S247">
        <v>0.3934977578475336</v>
      </c>
      <c r="T247">
        <v>62</v>
      </c>
      <c r="U247">
        <v>0.5056451612903226</v>
      </c>
      <c r="V247">
        <v>3.5527</v>
      </c>
      <c r="W247">
        <v>4.46</v>
      </c>
      <c r="X247">
        <v>1.755</v>
      </c>
      <c r="Y247">
        <v>-0.3412</v>
      </c>
      <c r="Z247">
        <v>0.6254237288135593</v>
      </c>
      <c r="AA247">
        <v>0.3325041459369817</v>
      </c>
      <c r="AB247">
        <v>0.7259933774834437</v>
      </c>
      <c r="AC247">
        <v>0.9254966887417219</v>
      </c>
      <c r="AD247">
        <v>0.9470198675496688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2.42</v>
      </c>
      <c r="D248">
        <v>538.60246</v>
      </c>
      <c r="E248" t="s">
        <v>648</v>
      </c>
      <c r="F248" t="s">
        <v>613</v>
      </c>
      <c r="G248" t="s">
        <v>659</v>
      </c>
      <c r="H248" t="s">
        <v>682</v>
      </c>
      <c r="I248" t="s">
        <v>931</v>
      </c>
      <c r="J248" t="s">
        <v>1284</v>
      </c>
      <c r="K248">
        <v>43896</v>
      </c>
      <c r="L248">
        <v>0.03726055971071601</v>
      </c>
      <c r="M248">
        <v>0.1529389482951018</v>
      </c>
      <c r="N248">
        <v>0.066</v>
      </c>
      <c r="O248">
        <v>0.2483383787761564</v>
      </c>
      <c r="P248" t="s">
        <v>375</v>
      </c>
      <c r="Q248" t="s">
        <v>316</v>
      </c>
      <c r="R248">
        <v>0</v>
      </c>
      <c r="S248">
        <v>0.2003790099998534</v>
      </c>
      <c r="T248">
        <v>4.93</v>
      </c>
      <c r="U248">
        <v>0.4908722109533469</v>
      </c>
      <c r="V248">
        <v>-0.9676</v>
      </c>
      <c r="W248">
        <v>0.45</v>
      </c>
      <c r="X248">
        <v>0.09017055449993401</v>
      </c>
      <c r="Y248">
        <v>-0.725</v>
      </c>
      <c r="Z248">
        <v>0.4322033898305084</v>
      </c>
      <c r="AA248">
        <v>0.03150912106135986</v>
      </c>
      <c r="AB248">
        <v>0.6887417218543047</v>
      </c>
      <c r="AC248">
        <v>0.9321192052980132</v>
      </c>
      <c r="AD248">
        <v>0.9354304635761589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7.6</v>
      </c>
      <c r="D249">
        <v>2832.0564</v>
      </c>
      <c r="E249" t="s">
        <v>648</v>
      </c>
      <c r="F249" t="s">
        <v>613</v>
      </c>
      <c r="G249" t="s">
        <v>653</v>
      </c>
      <c r="H249" t="s">
        <v>682</v>
      </c>
      <c r="I249" t="s">
        <v>932</v>
      </c>
      <c r="J249" t="s">
        <v>1279</v>
      </c>
      <c r="K249">
        <v>43904</v>
      </c>
      <c r="L249">
        <v>0.127631578947368</v>
      </c>
      <c r="M249">
        <v>0.1747002625514502</v>
      </c>
      <c r="N249">
        <v>0.01</v>
      </c>
      <c r="O249">
        <v>0.2448245089154819</v>
      </c>
      <c r="P249" t="s">
        <v>375</v>
      </c>
      <c r="Q249" t="s">
        <v>617</v>
      </c>
      <c r="R249">
        <v>1</v>
      </c>
      <c r="S249">
        <v>0.521505376344086</v>
      </c>
      <c r="T249">
        <v>17</v>
      </c>
      <c r="U249">
        <v>0.4470588235294117</v>
      </c>
      <c r="V249">
        <v>0.9234</v>
      </c>
      <c r="W249">
        <v>1.86</v>
      </c>
      <c r="X249">
        <v>0.97</v>
      </c>
      <c r="Y249">
        <v>-0.6606000000000001</v>
      </c>
      <c r="Z249">
        <v>0.8915254237288136</v>
      </c>
      <c r="AA249">
        <v>0.05472636815920398</v>
      </c>
      <c r="AB249">
        <v>0.05960264900662252</v>
      </c>
      <c r="AC249">
        <v>0.9602649006622517</v>
      </c>
      <c r="AD249">
        <v>0.9288079470198676</v>
      </c>
    </row>
    <row r="250" spans="1:30">
      <c r="A250" s="1" t="s">
        <v>257</v>
      </c>
      <c r="B250">
        <f>HYPERLINK("https://www.suredividend.com/sure-analysis-SBRA/","Sabra Health Care REIT, Inc.")</f>
        <v>0</v>
      </c>
      <c r="C250">
        <v>11.7</v>
      </c>
      <c r="D250">
        <v>2405.0403</v>
      </c>
      <c r="E250" t="s">
        <v>652</v>
      </c>
      <c r="F250" t="s">
        <v>614</v>
      </c>
      <c r="G250" t="s">
        <v>653</v>
      </c>
      <c r="H250" t="s">
        <v>683</v>
      </c>
      <c r="I250" t="s">
        <v>933</v>
      </c>
      <c r="J250" t="s">
        <v>1281</v>
      </c>
      <c r="K250">
        <v>43800</v>
      </c>
      <c r="L250">
        <v>0.153846153846153</v>
      </c>
      <c r="M250">
        <v>0.08997698704834534</v>
      </c>
      <c r="N250">
        <v>0.043</v>
      </c>
      <c r="O250">
        <v>0.2355440855269129</v>
      </c>
      <c r="P250" t="s">
        <v>375</v>
      </c>
      <c r="Q250" t="s">
        <v>617</v>
      </c>
      <c r="R250">
        <v>8</v>
      </c>
      <c r="S250">
        <v>0.8910891089108911</v>
      </c>
      <c r="T250">
        <v>18</v>
      </c>
      <c r="U250">
        <v>0.6499999999999999</v>
      </c>
      <c r="V250">
        <v>0.9553</v>
      </c>
      <c r="W250">
        <v>2.02</v>
      </c>
      <c r="X250">
        <v>1.8</v>
      </c>
      <c r="Y250">
        <v>-0.4156</v>
      </c>
      <c r="Z250">
        <v>0.9169491525423729</v>
      </c>
      <c r="AA250">
        <v>0.2537313432835821</v>
      </c>
      <c r="AB250">
        <v>0.4097682119205298</v>
      </c>
      <c r="AC250">
        <v>0.8327814569536425</v>
      </c>
      <c r="AD250">
        <v>0.9238410596026491</v>
      </c>
    </row>
    <row r="251" spans="1:30">
      <c r="A251" s="1" t="s">
        <v>258</v>
      </c>
      <c r="B251">
        <f>HYPERLINK("https://www.suredividend.com/sure-analysis-VTR/","Ventas, Inc.")</f>
        <v>0</v>
      </c>
      <c r="C251">
        <v>27.97</v>
      </c>
      <c r="D251">
        <v>10434.90775</v>
      </c>
      <c r="E251" t="s">
        <v>644</v>
      </c>
      <c r="F251" t="s">
        <v>614</v>
      </c>
      <c r="G251" t="s">
        <v>653</v>
      </c>
      <c r="H251" t="s">
        <v>682</v>
      </c>
      <c r="I251" t="s">
        <v>934</v>
      </c>
      <c r="J251" t="s">
        <v>1281</v>
      </c>
      <c r="K251">
        <v>43886</v>
      </c>
      <c r="L251">
        <v>0.11333571683947</v>
      </c>
      <c r="M251">
        <v>0.1363619429078138</v>
      </c>
      <c r="N251">
        <v>0.04</v>
      </c>
      <c r="O251">
        <v>0.2355363254783795</v>
      </c>
      <c r="P251" t="s">
        <v>375</v>
      </c>
      <c r="Q251" t="s">
        <v>617</v>
      </c>
      <c r="R251">
        <v>18</v>
      </c>
      <c r="S251">
        <v>0.8684931506849315</v>
      </c>
      <c r="T251">
        <v>53</v>
      </c>
      <c r="U251">
        <v>0.5277358490566038</v>
      </c>
      <c r="V251">
        <v>2.1106</v>
      </c>
      <c r="W251">
        <v>3.65</v>
      </c>
      <c r="X251">
        <v>3.17</v>
      </c>
      <c r="Y251">
        <v>-0.5643</v>
      </c>
      <c r="Z251">
        <v>0.8627118644067796</v>
      </c>
      <c r="AA251">
        <v>0.1111111111111111</v>
      </c>
      <c r="AB251">
        <v>0.3493377483443709</v>
      </c>
      <c r="AC251">
        <v>0.9155629139072847</v>
      </c>
      <c r="AD251">
        <v>0.9221854304635762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33.85</v>
      </c>
      <c r="D252">
        <v>9270.4318</v>
      </c>
      <c r="E252" t="s">
        <v>643</v>
      </c>
      <c r="F252" t="s">
        <v>613</v>
      </c>
      <c r="G252" t="s">
        <v>653</v>
      </c>
      <c r="H252" t="s">
        <v>683</v>
      </c>
      <c r="I252" t="s">
        <v>935</v>
      </c>
      <c r="J252" t="s">
        <v>1277</v>
      </c>
      <c r="K252">
        <v>43951</v>
      </c>
      <c r="L252">
        <v>0.064992614475627</v>
      </c>
      <c r="M252">
        <v>0.1322866197678509</v>
      </c>
      <c r="N252">
        <v>0.05</v>
      </c>
      <c r="O252">
        <v>0.2261006160855907</v>
      </c>
      <c r="P252" t="s">
        <v>375</v>
      </c>
      <c r="Q252" t="s">
        <v>375</v>
      </c>
      <c r="R252">
        <v>12</v>
      </c>
      <c r="S252">
        <v>0.4583333333333334</v>
      </c>
      <c r="T252">
        <v>63</v>
      </c>
      <c r="U252">
        <v>0.5373015873015873</v>
      </c>
      <c r="V252">
        <v>4.5162</v>
      </c>
      <c r="W252">
        <v>4.8</v>
      </c>
      <c r="X252">
        <v>2.2</v>
      </c>
      <c r="Y252">
        <v>-0.3821</v>
      </c>
      <c r="Z252">
        <v>0.6711864406779661</v>
      </c>
      <c r="AA252">
        <v>0.2852404643449419</v>
      </c>
      <c r="AB252">
        <v>0.4991721854304636</v>
      </c>
      <c r="AC252">
        <v>0.9056291390728477</v>
      </c>
      <c r="AD252">
        <v>0.9105960264900662</v>
      </c>
    </row>
    <row r="253" spans="1:30">
      <c r="A253" s="1" t="s">
        <v>260</v>
      </c>
      <c r="B253">
        <f>HYPERLINK("https://www.suredividend.com/sure-analysis-STOR/","STORE Capital Corp.")</f>
        <v>0</v>
      </c>
      <c r="C253">
        <v>17.15</v>
      </c>
      <c r="D253">
        <v>4193.26075</v>
      </c>
      <c r="E253" t="s">
        <v>646</v>
      </c>
      <c r="F253" t="s">
        <v>614</v>
      </c>
      <c r="G253" t="s">
        <v>653</v>
      </c>
      <c r="H253" t="s">
        <v>682</v>
      </c>
      <c r="I253" t="s">
        <v>936</v>
      </c>
      <c r="J253" t="s">
        <v>1281</v>
      </c>
      <c r="K253">
        <v>43910</v>
      </c>
      <c r="L253">
        <v>0.08046647230320701</v>
      </c>
      <c r="M253">
        <v>0.1256918294694294</v>
      </c>
      <c r="N253">
        <v>0.046</v>
      </c>
      <c r="O253">
        <v>0.222685836721519</v>
      </c>
      <c r="P253" t="s">
        <v>375</v>
      </c>
      <c r="Q253" t="s">
        <v>617</v>
      </c>
      <c r="R253">
        <v>5</v>
      </c>
      <c r="S253">
        <v>0.06252831898504757</v>
      </c>
      <c r="T253">
        <v>31</v>
      </c>
      <c r="U253">
        <v>0.5532258064516129</v>
      </c>
      <c r="V253">
        <v>1.2879</v>
      </c>
      <c r="W253">
        <v>22.07</v>
      </c>
      <c r="X253">
        <v>1.38</v>
      </c>
      <c r="Y253">
        <v>-0.495</v>
      </c>
      <c r="Z253">
        <v>0.7796610169491526</v>
      </c>
      <c r="AA253">
        <v>0.1641791044776119</v>
      </c>
      <c r="AB253">
        <v>0.4246688741721855</v>
      </c>
      <c r="AC253">
        <v>0.8956953642384106</v>
      </c>
      <c r="AD253">
        <v>0.9056291390728477</v>
      </c>
    </row>
    <row r="254" spans="1:30">
      <c r="A254" s="1" t="s">
        <v>261</v>
      </c>
      <c r="B254">
        <f>HYPERLINK("https://www.suredividend.com/sure-analysis-MT/","ArcelorMittal SA")</f>
        <v>0</v>
      </c>
      <c r="C254">
        <v>8.51</v>
      </c>
      <c r="D254">
        <v>8612.765041000001</v>
      </c>
      <c r="E254" t="s">
        <v>644</v>
      </c>
      <c r="F254" t="s">
        <v>613</v>
      </c>
      <c r="G254" t="s">
        <v>666</v>
      </c>
      <c r="H254" t="s">
        <v>682</v>
      </c>
      <c r="I254" t="s">
        <v>937</v>
      </c>
      <c r="J254" t="s">
        <v>1283</v>
      </c>
      <c r="K254">
        <v>43874</v>
      </c>
      <c r="L254">
        <v>0.023501762632197</v>
      </c>
      <c r="M254">
        <v>-0.01228400813148267</v>
      </c>
      <c r="N254">
        <v>0.201</v>
      </c>
      <c r="O254">
        <v>0.206787138172023</v>
      </c>
      <c r="P254" t="s">
        <v>375</v>
      </c>
      <c r="Q254" t="s">
        <v>316</v>
      </c>
      <c r="R254">
        <v>1</v>
      </c>
      <c r="S254">
        <v>0.1666666666666667</v>
      </c>
      <c r="T254">
        <v>8</v>
      </c>
      <c r="U254">
        <v>1.06375</v>
      </c>
      <c r="V254">
        <v>2.0269</v>
      </c>
      <c r="W254">
        <v>1.2</v>
      </c>
      <c r="X254">
        <v>0.2</v>
      </c>
      <c r="Y254">
        <v>-0.5038</v>
      </c>
      <c r="Z254">
        <v>0.2644067796610169</v>
      </c>
      <c r="AA254">
        <v>0.1575456053067993</v>
      </c>
      <c r="AB254">
        <v>0.9850993377483444</v>
      </c>
      <c r="AC254">
        <v>0.369205298013245</v>
      </c>
      <c r="AD254">
        <v>0.8907284768211921</v>
      </c>
    </row>
    <row r="255" spans="1:30">
      <c r="A255" s="1" t="s">
        <v>262</v>
      </c>
      <c r="B255">
        <f>HYPERLINK("https://www.suredividend.com/sure-analysis-OKE/","ONEOK, Inc.")</f>
        <v>0</v>
      </c>
      <c r="C255">
        <v>32.39</v>
      </c>
      <c r="D255">
        <v>13406.44773</v>
      </c>
      <c r="E255" t="s">
        <v>643</v>
      </c>
      <c r="F255" t="s">
        <v>613</v>
      </c>
      <c r="G255" t="s">
        <v>653</v>
      </c>
      <c r="H255" t="s">
        <v>682</v>
      </c>
      <c r="I255" t="s">
        <v>938</v>
      </c>
      <c r="J255" t="s">
        <v>1284</v>
      </c>
      <c r="K255">
        <v>43962</v>
      </c>
      <c r="L255">
        <v>0.113460944736029</v>
      </c>
      <c r="M255">
        <v>0.07730179132230619</v>
      </c>
      <c r="N255">
        <v>0.05</v>
      </c>
      <c r="O255">
        <v>0.2050857275834461</v>
      </c>
      <c r="P255" t="s">
        <v>375</v>
      </c>
      <c r="Q255" t="s">
        <v>617</v>
      </c>
      <c r="R255">
        <v>18</v>
      </c>
      <c r="S255">
        <v>0.7903225806451611</v>
      </c>
      <c r="T255">
        <v>47</v>
      </c>
      <c r="U255">
        <v>0.6891489361702128</v>
      </c>
      <c r="V255">
        <v>1.9312</v>
      </c>
      <c r="W255">
        <v>4.65</v>
      </c>
      <c r="X255">
        <v>3.675</v>
      </c>
      <c r="Y255">
        <v>-0.5184</v>
      </c>
      <c r="Z255">
        <v>0.8644067796610169</v>
      </c>
      <c r="AA255">
        <v>0.1409618573797678</v>
      </c>
      <c r="AB255">
        <v>0.4991721854304636</v>
      </c>
      <c r="AC255">
        <v>0.7897350993377483</v>
      </c>
      <c r="AD255">
        <v>0.8857615894039735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6.68</v>
      </c>
      <c r="D256">
        <v>1294.67752</v>
      </c>
      <c r="E256" t="s">
        <v>643</v>
      </c>
      <c r="F256" t="s">
        <v>613</v>
      </c>
      <c r="G256" t="s">
        <v>653</v>
      </c>
      <c r="H256" t="s">
        <v>683</v>
      </c>
      <c r="I256" t="s">
        <v>939</v>
      </c>
      <c r="J256" t="s">
        <v>1277</v>
      </c>
      <c r="K256">
        <v>43946</v>
      </c>
      <c r="L256">
        <v>0.09580838323353201</v>
      </c>
      <c r="M256">
        <v>0.1424399405780268</v>
      </c>
      <c r="N256">
        <v>0.01</v>
      </c>
      <c r="O256">
        <v>0.2034619078332451</v>
      </c>
      <c r="P256" t="s">
        <v>375</v>
      </c>
      <c r="Q256" t="s">
        <v>618</v>
      </c>
      <c r="R256">
        <v>0</v>
      </c>
      <c r="S256">
        <v>0.3047619047619047</v>
      </c>
      <c r="T256">
        <v>13</v>
      </c>
      <c r="U256">
        <v>0.5138461538461538</v>
      </c>
      <c r="V256">
        <v>1.5555</v>
      </c>
      <c r="W256">
        <v>2.1</v>
      </c>
      <c r="X256">
        <v>0.64</v>
      </c>
      <c r="Y256">
        <v>-0.507</v>
      </c>
      <c r="Z256">
        <v>0.823728813559322</v>
      </c>
      <c r="AA256">
        <v>0.154228855721393</v>
      </c>
      <c r="AB256">
        <v>0.05960264900662252</v>
      </c>
      <c r="AC256">
        <v>0.9221854304635762</v>
      </c>
      <c r="AD256">
        <v>0.8824503311258277</v>
      </c>
    </row>
    <row r="257" spans="1:30">
      <c r="A257" s="1" t="s">
        <v>264</v>
      </c>
      <c r="B257">
        <f>HYPERLINK("https://www.suredividend.com/sure-analysis-MGA/","Magna International, Inc.")</f>
        <v>0</v>
      </c>
      <c r="C257">
        <v>36.72</v>
      </c>
      <c r="D257">
        <v>10976.526</v>
      </c>
      <c r="E257" t="s">
        <v>650</v>
      </c>
      <c r="F257" t="s">
        <v>613</v>
      </c>
      <c r="G257" t="s">
        <v>659</v>
      </c>
      <c r="H257" t="s">
        <v>682</v>
      </c>
      <c r="I257" t="s">
        <v>940</v>
      </c>
      <c r="J257" t="s">
        <v>1279</v>
      </c>
      <c r="K257">
        <v>43896</v>
      </c>
      <c r="L257">
        <v>0.04087195684007</v>
      </c>
      <c r="M257">
        <v>0.09948641534142078</v>
      </c>
      <c r="N257">
        <v>0.06</v>
      </c>
      <c r="O257">
        <v>0.1923958971557733</v>
      </c>
      <c r="P257" t="s">
        <v>375</v>
      </c>
      <c r="Q257" t="s">
        <v>375</v>
      </c>
      <c r="R257">
        <v>9</v>
      </c>
      <c r="S257">
        <v>0.2345028523699047</v>
      </c>
      <c r="T257">
        <v>59</v>
      </c>
      <c r="U257">
        <v>0.6223728813559322</v>
      </c>
      <c r="V257">
        <v>2.9762</v>
      </c>
      <c r="W257">
        <v>6.4</v>
      </c>
      <c r="X257">
        <v>1.50081825516739</v>
      </c>
      <c r="Y257">
        <v>-0.1926</v>
      </c>
      <c r="Z257">
        <v>0.4745762711864407</v>
      </c>
      <c r="AA257">
        <v>0.5356550580431177</v>
      </c>
      <c r="AB257">
        <v>0.6341059602649007</v>
      </c>
      <c r="AC257">
        <v>0.8559602649006622</v>
      </c>
      <c r="AD257">
        <v>0.8642384105960265</v>
      </c>
    </row>
    <row r="258" spans="1:30">
      <c r="A258" s="1" t="s">
        <v>265</v>
      </c>
      <c r="B258">
        <f>HYPERLINK("https://www.suredividend.com/sure-analysis-PRU/","Prudential Financial, Inc.")</f>
        <v>0</v>
      </c>
      <c r="C258">
        <v>52.93</v>
      </c>
      <c r="D258">
        <v>20907.35</v>
      </c>
      <c r="E258" t="s">
        <v>641</v>
      </c>
      <c r="F258" t="s">
        <v>613</v>
      </c>
      <c r="G258" t="s">
        <v>653</v>
      </c>
      <c r="H258" t="s">
        <v>682</v>
      </c>
      <c r="I258" t="s">
        <v>941</v>
      </c>
      <c r="J258" t="s">
        <v>1277</v>
      </c>
      <c r="K258">
        <v>43958</v>
      </c>
      <c r="L258">
        <v>0.07746079727942501</v>
      </c>
      <c r="M258">
        <v>0.09676978722706808</v>
      </c>
      <c r="N258">
        <v>0.04</v>
      </c>
      <c r="O258">
        <v>0.1912502258375304</v>
      </c>
      <c r="P258" t="s">
        <v>375</v>
      </c>
      <c r="Q258" t="s">
        <v>618</v>
      </c>
      <c r="R258">
        <v>12</v>
      </c>
      <c r="S258">
        <v>0.3904761904761904</v>
      </c>
      <c r="T258">
        <v>84</v>
      </c>
      <c r="U258">
        <v>0.6301190476190476</v>
      </c>
      <c r="V258">
        <v>7.2864</v>
      </c>
      <c r="W258">
        <v>10.5</v>
      </c>
      <c r="X258">
        <v>4.1</v>
      </c>
      <c r="Y258">
        <v>-0.4612</v>
      </c>
      <c r="Z258">
        <v>0.7542372881355932</v>
      </c>
      <c r="AA258">
        <v>0.2122719734660033</v>
      </c>
      <c r="AB258">
        <v>0.3493377483443709</v>
      </c>
      <c r="AC258">
        <v>0.8476821192052981</v>
      </c>
      <c r="AD258">
        <v>0.8609271523178808</v>
      </c>
    </row>
    <row r="259" spans="1:30">
      <c r="A259" s="1" t="s">
        <v>266</v>
      </c>
      <c r="B259">
        <f>HYPERLINK("https://www.suredividend.com/sure-analysis-NOV/","National Oilwell Varco, Inc.")</f>
        <v>0</v>
      </c>
      <c r="C259">
        <v>11.52</v>
      </c>
      <c r="D259">
        <v>4472.32896</v>
      </c>
      <c r="E259" t="s">
        <v>644</v>
      </c>
      <c r="F259" t="s">
        <v>613</v>
      </c>
      <c r="G259" t="s">
        <v>653</v>
      </c>
      <c r="H259" t="s">
        <v>682</v>
      </c>
      <c r="I259" t="s">
        <v>942</v>
      </c>
      <c r="J259" t="s">
        <v>1284</v>
      </c>
      <c r="K259">
        <v>43872</v>
      </c>
      <c r="L259">
        <v>0.017361111111111</v>
      </c>
      <c r="M259">
        <v>0.1482992241310128</v>
      </c>
      <c r="N259">
        <v>0.018</v>
      </c>
      <c r="O259">
        <v>0.1872417597641547</v>
      </c>
      <c r="P259" t="s">
        <v>375</v>
      </c>
      <c r="Q259" t="s">
        <v>516</v>
      </c>
      <c r="R259">
        <v>0</v>
      </c>
      <c r="S259">
        <v>0.2857142857142858</v>
      </c>
      <c r="T259">
        <v>23</v>
      </c>
      <c r="U259">
        <v>0.5008695652173912</v>
      </c>
      <c r="V259">
        <v>-21.0986</v>
      </c>
      <c r="W259">
        <v>0.7</v>
      </c>
      <c r="X259">
        <v>0.2</v>
      </c>
      <c r="Y259">
        <v>-0.5338000000000001</v>
      </c>
      <c r="Z259">
        <v>0.1491525423728813</v>
      </c>
      <c r="AA259">
        <v>0.1243781094527363</v>
      </c>
      <c r="AB259">
        <v>0.08857615894039736</v>
      </c>
      <c r="AC259">
        <v>0.9304635761589404</v>
      </c>
      <c r="AD259">
        <v>0.8526490066225166</v>
      </c>
    </row>
    <row r="260" spans="1:30">
      <c r="A260" s="1" t="s">
        <v>267</v>
      </c>
      <c r="B260">
        <f>HYPERLINK("https://www.suredividend.com/sure-analysis-MTB/","M&amp;T Bank Corp.")</f>
        <v>0</v>
      </c>
      <c r="C260">
        <v>89.12</v>
      </c>
      <c r="D260">
        <v>11433.261926</v>
      </c>
      <c r="E260" t="s">
        <v>642</v>
      </c>
      <c r="F260" t="s">
        <v>613</v>
      </c>
      <c r="G260" t="s">
        <v>653</v>
      </c>
      <c r="H260" t="s">
        <v>682</v>
      </c>
      <c r="I260" t="s">
        <v>943</v>
      </c>
      <c r="J260" t="s">
        <v>1277</v>
      </c>
      <c r="K260">
        <v>43944</v>
      </c>
      <c r="L260">
        <v>0.047127468581687</v>
      </c>
      <c r="M260">
        <v>0.08821008422389243</v>
      </c>
      <c r="N260">
        <v>0.057</v>
      </c>
      <c r="O260">
        <v>0.179716960204851</v>
      </c>
      <c r="P260" t="s">
        <v>375</v>
      </c>
      <c r="Q260" t="s">
        <v>618</v>
      </c>
      <c r="R260">
        <v>4</v>
      </c>
      <c r="S260">
        <v>0.4952830188679245</v>
      </c>
      <c r="T260">
        <v>136</v>
      </c>
      <c r="U260">
        <v>0.6552941176470588</v>
      </c>
      <c r="V260">
        <v>12.3448</v>
      </c>
      <c r="W260">
        <v>8.48</v>
      </c>
      <c r="X260">
        <v>4.2</v>
      </c>
      <c r="Y260">
        <v>-0.4475</v>
      </c>
      <c r="Z260">
        <v>0.5491525423728814</v>
      </c>
      <c r="AA260">
        <v>0.2189054726368159</v>
      </c>
      <c r="AB260">
        <v>0.5877483443708609</v>
      </c>
      <c r="AC260">
        <v>0.8228476821192053</v>
      </c>
      <c r="AD260">
        <v>0.8394039735099338</v>
      </c>
    </row>
    <row r="261" spans="1:30">
      <c r="A261" s="1" t="s">
        <v>268</v>
      </c>
      <c r="B261">
        <f>HYPERLINK("https://www.suredividend.com/sure-analysis-GM/","General Motors Co.")</f>
        <v>0</v>
      </c>
      <c r="C261">
        <v>22.63</v>
      </c>
      <c r="D261">
        <v>32385.3404</v>
      </c>
      <c r="E261" t="s">
        <v>648</v>
      </c>
      <c r="F261" t="s">
        <v>613</v>
      </c>
      <c r="G261" t="s">
        <v>653</v>
      </c>
      <c r="H261" t="s">
        <v>682</v>
      </c>
      <c r="I261" t="s">
        <v>944</v>
      </c>
      <c r="J261" t="s">
        <v>1279</v>
      </c>
      <c r="K261">
        <v>43875</v>
      </c>
      <c r="L261">
        <v>0.067167476800707</v>
      </c>
      <c r="M261">
        <v>0.1092254068017076</v>
      </c>
      <c r="N261">
        <v>0.03</v>
      </c>
      <c r="O261">
        <v>0.1794545639635008</v>
      </c>
      <c r="P261" t="s">
        <v>375</v>
      </c>
      <c r="Q261" t="s">
        <v>618</v>
      </c>
      <c r="R261">
        <v>0</v>
      </c>
      <c r="S261">
        <v>0.2533333333333334</v>
      </c>
      <c r="T261">
        <v>38</v>
      </c>
      <c r="U261">
        <v>0.5955263157894737</v>
      </c>
      <c r="V261">
        <v>3.3065</v>
      </c>
      <c r="W261">
        <v>6</v>
      </c>
      <c r="X261">
        <v>1.52</v>
      </c>
      <c r="Y261">
        <v>-0.3944</v>
      </c>
      <c r="Z261">
        <v>0.6864406779661018</v>
      </c>
      <c r="AA261">
        <v>0.2719734660033167</v>
      </c>
      <c r="AB261">
        <v>0.2144039735099338</v>
      </c>
      <c r="AC261">
        <v>0.8692052980132451</v>
      </c>
      <c r="AD261">
        <v>0.837748344370861</v>
      </c>
    </row>
    <row r="262" spans="1:30">
      <c r="A262" s="1" t="s">
        <v>269</v>
      </c>
      <c r="B262">
        <f>HYPERLINK("https://www.suredividend.com/sure-analysis-MMP/","Magellan Midstream Partners LP")</f>
        <v>0</v>
      </c>
      <c r="C262">
        <v>41.84</v>
      </c>
      <c r="D262">
        <v>9416.34304</v>
      </c>
      <c r="E262" t="s">
        <v>644</v>
      </c>
      <c r="F262" t="s">
        <v>615</v>
      </c>
      <c r="G262" t="s">
        <v>653</v>
      </c>
      <c r="H262" t="s">
        <v>682</v>
      </c>
      <c r="I262" t="s">
        <v>945</v>
      </c>
      <c r="J262" t="s">
        <v>1284</v>
      </c>
      <c r="K262">
        <v>43956</v>
      </c>
      <c r="L262">
        <v>0.09715583173996101</v>
      </c>
      <c r="M262">
        <v>0.0600327185409677</v>
      </c>
      <c r="N262">
        <v>0.05</v>
      </c>
      <c r="O262">
        <v>0.1790380291258125</v>
      </c>
      <c r="P262" t="s">
        <v>375</v>
      </c>
      <c r="Q262" t="s">
        <v>617</v>
      </c>
      <c r="R262">
        <v>20</v>
      </c>
      <c r="S262">
        <v>0.8648936170212767</v>
      </c>
      <c r="T262">
        <v>56</v>
      </c>
      <c r="U262">
        <v>0.7471428571428572</v>
      </c>
      <c r="V262">
        <v>4.8194</v>
      </c>
      <c r="W262">
        <v>4.7</v>
      </c>
      <c r="X262">
        <v>4.065</v>
      </c>
      <c r="Y262">
        <v>-0.3191</v>
      </c>
      <c r="Z262">
        <v>0.8254237288135593</v>
      </c>
      <c r="AA262">
        <v>0.3598673300165837</v>
      </c>
      <c r="AB262">
        <v>0.4991721854304636</v>
      </c>
      <c r="AC262">
        <v>0.7102649006622517</v>
      </c>
      <c r="AD262">
        <v>0.8360927152317881</v>
      </c>
    </row>
    <row r="263" spans="1:30">
      <c r="A263" s="1" t="s">
        <v>270</v>
      </c>
      <c r="B263">
        <f>HYPERLINK("https://www.suredividend.com/sure-analysis-MPLX/","MPLX LP")</f>
        <v>0</v>
      </c>
      <c r="C263">
        <v>18.15</v>
      </c>
      <c r="D263">
        <v>19213.59</v>
      </c>
      <c r="E263" t="s">
        <v>641</v>
      </c>
      <c r="F263" t="s">
        <v>615</v>
      </c>
      <c r="G263" t="s">
        <v>653</v>
      </c>
      <c r="H263" t="s">
        <v>682</v>
      </c>
      <c r="I263" t="s">
        <v>946</v>
      </c>
      <c r="J263" t="s">
        <v>1284</v>
      </c>
      <c r="K263">
        <v>43958</v>
      </c>
      <c r="L263">
        <v>0.148209366391184</v>
      </c>
      <c r="M263">
        <v>0.04850436143755688</v>
      </c>
      <c r="N263">
        <v>0.02</v>
      </c>
      <c r="O263">
        <v>0.1712281885594993</v>
      </c>
      <c r="P263" t="s">
        <v>375</v>
      </c>
      <c r="Q263" t="s">
        <v>617</v>
      </c>
      <c r="R263">
        <v>8</v>
      </c>
      <c r="S263">
        <v>0.8276923076923077</v>
      </c>
      <c r="T263">
        <v>23</v>
      </c>
      <c r="U263">
        <v>0.7891304347826086</v>
      </c>
      <c r="V263">
        <v>-2.0123</v>
      </c>
      <c r="W263">
        <v>3.25</v>
      </c>
      <c r="X263">
        <v>2.69</v>
      </c>
      <c r="Y263">
        <v>-0.422</v>
      </c>
      <c r="Z263">
        <v>0.9101694915254237</v>
      </c>
      <c r="AA263">
        <v>0.2487562189054726</v>
      </c>
      <c r="AB263">
        <v>0.1274834437086093</v>
      </c>
      <c r="AC263">
        <v>0.6639072847682119</v>
      </c>
      <c r="AD263">
        <v>0.8162251655629139</v>
      </c>
    </row>
    <row r="264" spans="1:30">
      <c r="A264" s="1" t="s">
        <v>271</v>
      </c>
      <c r="B264">
        <f>HYPERLINK("https://www.suredividend.com/sure-analysis-HNI/","HNI Corp.")</f>
        <v>0</v>
      </c>
      <c r="C264">
        <v>20.98</v>
      </c>
      <c r="D264">
        <v>894.742452</v>
      </c>
      <c r="E264" t="s">
        <v>642</v>
      </c>
      <c r="F264" t="s">
        <v>613</v>
      </c>
      <c r="G264" t="s">
        <v>653</v>
      </c>
      <c r="H264" t="s">
        <v>682</v>
      </c>
      <c r="I264" t="s">
        <v>947</v>
      </c>
      <c r="J264" t="s">
        <v>1278</v>
      </c>
      <c r="K264">
        <v>43946</v>
      </c>
      <c r="L264">
        <v>0.05815061963775001</v>
      </c>
      <c r="M264">
        <v>0.07414560093496836</v>
      </c>
      <c r="N264">
        <v>0.055</v>
      </c>
      <c r="O264">
        <v>0.1706510337986158</v>
      </c>
      <c r="P264" t="s">
        <v>375</v>
      </c>
      <c r="Q264" t="s">
        <v>618</v>
      </c>
      <c r="R264">
        <v>9</v>
      </c>
      <c r="S264">
        <v>0.5622119815668203</v>
      </c>
      <c r="T264">
        <v>30</v>
      </c>
      <c r="U264">
        <v>0.6993333333333334</v>
      </c>
      <c r="V264">
        <v>1.9926</v>
      </c>
      <c r="W264">
        <v>2.17</v>
      </c>
      <c r="X264">
        <v>1.22</v>
      </c>
      <c r="Y264">
        <v>-0.4224</v>
      </c>
      <c r="Z264">
        <v>0.6423728813559322</v>
      </c>
      <c r="AA264">
        <v>0.2470978441127695</v>
      </c>
      <c r="AB264">
        <v>0.5786423841059603</v>
      </c>
      <c r="AC264">
        <v>0.7781456953642385</v>
      </c>
      <c r="AD264">
        <v>0.8145695364238411</v>
      </c>
    </row>
    <row r="265" spans="1:30">
      <c r="A265" s="1" t="s">
        <v>272</v>
      </c>
      <c r="B265">
        <f>HYPERLINK("https://www.suredividend.com/sure-analysis-LEG/","Leggett &amp; Platt, Inc.")</f>
        <v>0</v>
      </c>
      <c r="C265">
        <v>26.61</v>
      </c>
      <c r="D265">
        <v>3520.503</v>
      </c>
      <c r="E265" t="s">
        <v>643</v>
      </c>
      <c r="F265" t="s">
        <v>613</v>
      </c>
      <c r="G265" t="s">
        <v>653</v>
      </c>
      <c r="H265" t="s">
        <v>682</v>
      </c>
      <c r="I265" t="s">
        <v>948</v>
      </c>
      <c r="J265" t="s">
        <v>1279</v>
      </c>
      <c r="K265">
        <v>43963</v>
      </c>
      <c r="L265">
        <v>0.06012777151446801</v>
      </c>
      <c r="M265">
        <v>0.07386019455658865</v>
      </c>
      <c r="N265">
        <v>0.05</v>
      </c>
      <c r="O265">
        <v>0.1666923350759013</v>
      </c>
      <c r="P265" t="s">
        <v>375</v>
      </c>
      <c r="Q265" t="s">
        <v>618</v>
      </c>
      <c r="R265">
        <v>47</v>
      </c>
      <c r="S265">
        <v>1.230769230769231</v>
      </c>
      <c r="T265">
        <v>38</v>
      </c>
      <c r="U265">
        <v>0.7002631578947368</v>
      </c>
      <c r="V265">
        <v>2.3578</v>
      </c>
      <c r="W265">
        <v>1.3</v>
      </c>
      <c r="X265">
        <v>1.6</v>
      </c>
      <c r="Y265">
        <v>-0.2947</v>
      </c>
      <c r="Z265">
        <v>0.6559322033898305</v>
      </c>
      <c r="AA265">
        <v>0.3963515754560531</v>
      </c>
      <c r="AB265">
        <v>0.4991721854304636</v>
      </c>
      <c r="AC265">
        <v>0.7748344370860927</v>
      </c>
      <c r="AD265">
        <v>0.7996688741721855</v>
      </c>
    </row>
    <row r="266" spans="1:30">
      <c r="A266" s="1" t="s">
        <v>273</v>
      </c>
      <c r="B266">
        <f>HYPERLINK("https://www.suredividend.com/sure-analysis-MAR/","Marriott International, Inc.")</f>
        <v>0</v>
      </c>
      <c r="C266">
        <v>79.76000000000001</v>
      </c>
      <c r="D266">
        <v>25862.65856</v>
      </c>
      <c r="E266" t="s">
        <v>651</v>
      </c>
      <c r="F266" t="s">
        <v>613</v>
      </c>
      <c r="G266" t="s">
        <v>653</v>
      </c>
      <c r="H266" t="s">
        <v>683</v>
      </c>
      <c r="I266" t="s">
        <v>949</v>
      </c>
      <c r="J266" t="s">
        <v>1279</v>
      </c>
      <c r="K266">
        <v>43896</v>
      </c>
      <c r="L266">
        <v>0.024072216649949</v>
      </c>
      <c r="M266">
        <v>0.1076774108741947</v>
      </c>
      <c r="N266">
        <v>0.04</v>
      </c>
      <c r="O266">
        <v>0.1660725182002192</v>
      </c>
      <c r="P266" t="s">
        <v>375</v>
      </c>
      <c r="Q266" t="s">
        <v>316</v>
      </c>
      <c r="R266">
        <v>9</v>
      </c>
      <c r="S266">
        <v>0.3310344827586207</v>
      </c>
      <c r="T266">
        <v>133</v>
      </c>
      <c r="U266">
        <v>0.5996992481203008</v>
      </c>
      <c r="V266">
        <v>2.8148</v>
      </c>
      <c r="W266">
        <v>5.8</v>
      </c>
      <c r="X266">
        <v>1.92</v>
      </c>
      <c r="Y266">
        <v>-0.395</v>
      </c>
      <c r="Z266">
        <v>0.2711864406779661</v>
      </c>
      <c r="AA266">
        <v>0.2686567164179104</v>
      </c>
      <c r="AB266">
        <v>0.3493377483443709</v>
      </c>
      <c r="AC266">
        <v>0.8642384105960265</v>
      </c>
      <c r="AD266">
        <v>0.7963576158940397</v>
      </c>
    </row>
    <row r="267" spans="1:30">
      <c r="A267" s="1" t="s">
        <v>274</v>
      </c>
      <c r="B267">
        <f>HYPERLINK("https://www.suredividend.com/sure-analysis-ENB/","Enbridge, Inc.")</f>
        <v>0</v>
      </c>
      <c r="C267">
        <v>31.18</v>
      </c>
      <c r="D267">
        <v>63142.3062</v>
      </c>
      <c r="E267" t="s">
        <v>643</v>
      </c>
      <c r="F267" t="s">
        <v>613</v>
      </c>
      <c r="G267" t="s">
        <v>659</v>
      </c>
      <c r="H267" t="s">
        <v>682</v>
      </c>
      <c r="I267" t="s">
        <v>950</v>
      </c>
      <c r="J267" t="s">
        <v>1284</v>
      </c>
      <c r="K267">
        <v>43877</v>
      </c>
      <c r="L267">
        <v>0.072858416799695</v>
      </c>
      <c r="M267">
        <v>0.04577366052855547</v>
      </c>
      <c r="N267">
        <v>0.055</v>
      </c>
      <c r="O267">
        <v>0.1609547509937364</v>
      </c>
      <c r="P267" t="s">
        <v>375</v>
      </c>
      <c r="Q267" t="s">
        <v>618</v>
      </c>
      <c r="R267">
        <v>11</v>
      </c>
      <c r="S267">
        <v>0.6490644102327143</v>
      </c>
      <c r="T267">
        <v>39</v>
      </c>
      <c r="U267">
        <v>0.7994871794871795</v>
      </c>
      <c r="V267">
        <v>0.752</v>
      </c>
      <c r="W267">
        <v>3.5</v>
      </c>
      <c r="X267">
        <v>2.2717254358145</v>
      </c>
      <c r="Y267">
        <v>-0.1497</v>
      </c>
      <c r="Z267">
        <v>0.7254237288135593</v>
      </c>
      <c r="AA267">
        <v>0.6086235489220564</v>
      </c>
      <c r="AB267">
        <v>0.5786423841059603</v>
      </c>
      <c r="AC267">
        <v>0.6506622516556291</v>
      </c>
      <c r="AD267">
        <v>0.7798013245033113</v>
      </c>
    </row>
    <row r="268" spans="1:30">
      <c r="A268" s="1" t="s">
        <v>275</v>
      </c>
      <c r="B268">
        <f>HYPERLINK("https://www.suredividend.com/sure-analysis-GS/","The Goldman Sachs Group, Inc.")</f>
        <v>0</v>
      </c>
      <c r="C268">
        <v>171.87</v>
      </c>
      <c r="D268">
        <v>59103.85869</v>
      </c>
      <c r="E268" t="s">
        <v>649</v>
      </c>
      <c r="F268" t="s">
        <v>613</v>
      </c>
      <c r="G268" t="s">
        <v>653</v>
      </c>
      <c r="H268" t="s">
        <v>682</v>
      </c>
      <c r="I268" t="s">
        <v>951</v>
      </c>
      <c r="J268" t="s">
        <v>1277</v>
      </c>
      <c r="K268">
        <v>43939</v>
      </c>
      <c r="L268">
        <v>0.026764414964798</v>
      </c>
      <c r="M268">
        <v>0.08379366782102537</v>
      </c>
      <c r="N268">
        <v>0.05</v>
      </c>
      <c r="O268">
        <v>0.1585503341177821</v>
      </c>
      <c r="P268" t="s">
        <v>375</v>
      </c>
      <c r="Q268" t="s">
        <v>316</v>
      </c>
      <c r="R268">
        <v>9</v>
      </c>
      <c r="S268">
        <v>0.3407407407407407</v>
      </c>
      <c r="T268">
        <v>257</v>
      </c>
      <c r="U268">
        <v>0.6687548638132296</v>
      </c>
      <c r="V268">
        <v>18.6092</v>
      </c>
      <c r="W268">
        <v>13.5</v>
      </c>
      <c r="X268">
        <v>4.6</v>
      </c>
      <c r="Y268">
        <v>-0.1249</v>
      </c>
      <c r="Z268">
        <v>0.311864406779661</v>
      </c>
      <c r="AA268">
        <v>0.6451077943615258</v>
      </c>
      <c r="AB268">
        <v>0.4991721854304636</v>
      </c>
      <c r="AC268">
        <v>0.8096026490066225</v>
      </c>
      <c r="AD268">
        <v>0.7698675496688742</v>
      </c>
    </row>
    <row r="269" spans="1:30">
      <c r="A269" s="1" t="s">
        <v>276</v>
      </c>
      <c r="B269">
        <f>HYPERLINK("https://www.suredividend.com/sure-analysis-HPQ/","HP, Inc.")</f>
        <v>0</v>
      </c>
      <c r="C269">
        <v>14.86</v>
      </c>
      <c r="D269">
        <v>21246.2336</v>
      </c>
      <c r="E269" t="s">
        <v>643</v>
      </c>
      <c r="F269" t="s">
        <v>613</v>
      </c>
      <c r="G269" t="s">
        <v>653</v>
      </c>
      <c r="H269" t="s">
        <v>682</v>
      </c>
      <c r="I269" t="s">
        <v>952</v>
      </c>
      <c r="J269" t="s">
        <v>1286</v>
      </c>
      <c r="K269">
        <v>43903</v>
      </c>
      <c r="L269">
        <v>0.044199192462987</v>
      </c>
      <c r="M269">
        <v>0.07161823985716387</v>
      </c>
      <c r="N269">
        <v>0.05</v>
      </c>
      <c r="O269">
        <v>0.1583793205861808</v>
      </c>
      <c r="P269" t="s">
        <v>375</v>
      </c>
      <c r="Q269" t="s">
        <v>375</v>
      </c>
      <c r="R269">
        <v>9</v>
      </c>
      <c r="S269">
        <v>0.2759663865546219</v>
      </c>
      <c r="T269">
        <v>21</v>
      </c>
      <c r="U269">
        <v>0.7076190476190476</v>
      </c>
      <c r="V269">
        <v>2.0292</v>
      </c>
      <c r="W269">
        <v>2.38</v>
      </c>
      <c r="X269">
        <v>0.6568000000000001</v>
      </c>
      <c r="Y269">
        <v>-0.2066</v>
      </c>
      <c r="Z269">
        <v>0.5169491525423728</v>
      </c>
      <c r="AA269">
        <v>0.5074626865671642</v>
      </c>
      <c r="AB269">
        <v>0.4991721854304636</v>
      </c>
      <c r="AC269">
        <v>0.7599337748344371</v>
      </c>
      <c r="AD269">
        <v>0.7665562913907285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32.06</v>
      </c>
      <c r="D270">
        <v>28387.30258</v>
      </c>
      <c r="E270" t="s">
        <v>649</v>
      </c>
      <c r="F270" t="s">
        <v>613</v>
      </c>
      <c r="G270" t="s">
        <v>653</v>
      </c>
      <c r="H270" t="s">
        <v>682</v>
      </c>
      <c r="I270" t="s">
        <v>953</v>
      </c>
      <c r="J270" t="s">
        <v>1277</v>
      </c>
      <c r="K270">
        <v>43939</v>
      </c>
      <c r="L270">
        <v>0.037741734248284</v>
      </c>
      <c r="M270">
        <v>0.08406555116689174</v>
      </c>
      <c r="N270">
        <v>0.04</v>
      </c>
      <c r="O270">
        <v>0.1546921380227806</v>
      </c>
      <c r="P270" t="s">
        <v>375</v>
      </c>
      <c r="Q270" t="s">
        <v>316</v>
      </c>
      <c r="R270">
        <v>9</v>
      </c>
      <c r="S270">
        <v>0.3361111111111111</v>
      </c>
      <c r="T270">
        <v>48</v>
      </c>
      <c r="U270">
        <v>0.6679166666666667</v>
      </c>
      <c r="V270">
        <v>4.6571</v>
      </c>
      <c r="W270">
        <v>3.6</v>
      </c>
      <c r="X270">
        <v>1.21</v>
      </c>
      <c r="Y270">
        <v>-0.3107</v>
      </c>
      <c r="Z270">
        <v>0.4355932203389831</v>
      </c>
      <c r="AA270">
        <v>0.3698175787728026</v>
      </c>
      <c r="AB270">
        <v>0.3493377483443709</v>
      </c>
      <c r="AC270">
        <v>0.8129139072847683</v>
      </c>
      <c r="AD270">
        <v>0.7516556291390728</v>
      </c>
    </row>
    <row r="271" spans="1:30">
      <c r="A271" s="1" t="s">
        <v>278</v>
      </c>
      <c r="B271">
        <f>HYPERLINK("https://www.suredividend.com/sure-analysis-BUD/","Anheuser-Busch InBev SA/NV")</f>
        <v>0</v>
      </c>
      <c r="C271">
        <v>39.97</v>
      </c>
      <c r="D271">
        <v>65286.094398</v>
      </c>
      <c r="E271" t="s">
        <v>645</v>
      </c>
      <c r="F271" t="s">
        <v>613</v>
      </c>
      <c r="G271" t="s">
        <v>667</v>
      </c>
      <c r="H271" t="s">
        <v>682</v>
      </c>
      <c r="I271" t="s">
        <v>954</v>
      </c>
      <c r="J271" t="s">
        <v>1285</v>
      </c>
      <c r="K271">
        <v>43916</v>
      </c>
      <c r="L271">
        <v>0.02215411558669</v>
      </c>
      <c r="M271">
        <v>0.09177088437375436</v>
      </c>
      <c r="N271">
        <v>0.03</v>
      </c>
      <c r="O271">
        <v>0.1543471964646586</v>
      </c>
      <c r="P271" t="s">
        <v>375</v>
      </c>
      <c r="Q271" t="s">
        <v>516</v>
      </c>
      <c r="R271">
        <v>0</v>
      </c>
      <c r="S271">
        <v>0.2551873198847262</v>
      </c>
      <c r="T271">
        <v>62</v>
      </c>
      <c r="U271">
        <v>0.6446774193548387</v>
      </c>
      <c r="V271">
        <v>4.6484</v>
      </c>
      <c r="W271">
        <v>3.47</v>
      </c>
      <c r="X271">
        <v>0.8855000000000001</v>
      </c>
      <c r="Y271">
        <v>-0.5232</v>
      </c>
      <c r="Z271">
        <v>0.223728813559322</v>
      </c>
      <c r="AA271">
        <v>0.1376451077943615</v>
      </c>
      <c r="AB271">
        <v>0.2144039735099338</v>
      </c>
      <c r="AC271">
        <v>0.8394039735099338</v>
      </c>
      <c r="AD271">
        <v>0.75</v>
      </c>
    </row>
    <row r="272" spans="1:30">
      <c r="A272" s="1" t="s">
        <v>279</v>
      </c>
      <c r="B272">
        <f>HYPERLINK("https://www.suredividend.com/sure-analysis-GEF/","Greif, Inc.")</f>
        <v>0</v>
      </c>
      <c r="C272">
        <v>28.76</v>
      </c>
      <c r="D272">
        <v>1388.21644</v>
      </c>
      <c r="E272" t="s">
        <v>641</v>
      </c>
      <c r="F272" t="s">
        <v>613</v>
      </c>
      <c r="G272" t="s">
        <v>653</v>
      </c>
      <c r="H272" t="s">
        <v>682</v>
      </c>
      <c r="I272" t="s">
        <v>955</v>
      </c>
      <c r="J272" t="s">
        <v>1279</v>
      </c>
      <c r="K272">
        <v>43888</v>
      </c>
      <c r="L272">
        <v>0.06119610570236401</v>
      </c>
      <c r="M272">
        <v>0.09366603898162396</v>
      </c>
      <c r="N272">
        <v>0.02</v>
      </c>
      <c r="O272">
        <v>0.1529928214654797</v>
      </c>
      <c r="P272" t="s">
        <v>375</v>
      </c>
      <c r="Q272" t="s">
        <v>618</v>
      </c>
      <c r="R272">
        <v>2</v>
      </c>
      <c r="S272">
        <v>0.4718498659517426</v>
      </c>
      <c r="T272">
        <v>45</v>
      </c>
      <c r="U272">
        <v>0.6391111111111112</v>
      </c>
      <c r="V272">
        <v>2.931</v>
      </c>
      <c r="W272">
        <v>3.73</v>
      </c>
      <c r="X272">
        <v>1.76</v>
      </c>
      <c r="Y272">
        <v>-0.2408</v>
      </c>
      <c r="Z272">
        <v>0.659322033898305</v>
      </c>
      <c r="AA272">
        <v>0.4626865671641791</v>
      </c>
      <c r="AB272">
        <v>0.1274834437086093</v>
      </c>
      <c r="AC272">
        <v>0.8410596026490066</v>
      </c>
      <c r="AD272">
        <v>0.7417218543046357</v>
      </c>
    </row>
    <row r="273" spans="1:30">
      <c r="A273" s="1" t="s">
        <v>280</v>
      </c>
      <c r="B273">
        <f>HYPERLINK("https://www.suredividend.com/sure-analysis-GE/","General Electric Co.")</f>
        <v>0</v>
      </c>
      <c r="C273">
        <v>5.49</v>
      </c>
      <c r="D273">
        <v>48021.5241</v>
      </c>
      <c r="E273" t="s">
        <v>641</v>
      </c>
      <c r="F273" t="s">
        <v>613</v>
      </c>
      <c r="G273" t="s">
        <v>653</v>
      </c>
      <c r="H273" t="s">
        <v>682</v>
      </c>
      <c r="I273" t="s">
        <v>956</v>
      </c>
      <c r="J273" t="s">
        <v>1278</v>
      </c>
      <c r="K273">
        <v>43951</v>
      </c>
      <c r="L273">
        <v>0.007285974499089001</v>
      </c>
      <c r="M273">
        <v>0.01792500121884211</v>
      </c>
      <c r="N273">
        <v>0.125</v>
      </c>
      <c r="O273">
        <v>0.1493711936699489</v>
      </c>
      <c r="P273" t="s">
        <v>375</v>
      </c>
      <c r="Q273" t="s">
        <v>516</v>
      </c>
      <c r="R273">
        <v>0</v>
      </c>
      <c r="S273">
        <v>0.16</v>
      </c>
      <c r="T273">
        <v>6</v>
      </c>
      <c r="U273">
        <v>0.915</v>
      </c>
      <c r="V273">
        <v>0.6658000000000001</v>
      </c>
      <c r="W273">
        <v>0.25</v>
      </c>
      <c r="X273">
        <v>0.04</v>
      </c>
      <c r="Y273">
        <v>-0.4649</v>
      </c>
      <c r="Z273">
        <v>0.02711864406779661</v>
      </c>
      <c r="AA273">
        <v>0.2106135986733002</v>
      </c>
      <c r="AB273">
        <v>0.9403973509933775</v>
      </c>
      <c r="AC273">
        <v>0.5298013245033113</v>
      </c>
      <c r="AD273">
        <v>0.7218543046357615</v>
      </c>
    </row>
    <row r="274" spans="1:30">
      <c r="A274" s="1" t="s">
        <v>281</v>
      </c>
      <c r="B274">
        <f>HYPERLINK("https://www.suredividend.com/sure-analysis-UPS/","United Parcel Service, Inc.")</f>
        <v>0</v>
      </c>
      <c r="C274">
        <v>91.03</v>
      </c>
      <c r="D274">
        <v>78478.51050999999</v>
      </c>
      <c r="E274" t="s">
        <v>641</v>
      </c>
      <c r="F274" t="s">
        <v>613</v>
      </c>
      <c r="G274" t="s">
        <v>653</v>
      </c>
      <c r="H274" t="s">
        <v>682</v>
      </c>
      <c r="I274" t="s">
        <v>957</v>
      </c>
      <c r="J274" t="s">
        <v>1278</v>
      </c>
      <c r="K274">
        <v>43951</v>
      </c>
      <c r="L274">
        <v>0.042733164890695</v>
      </c>
      <c r="M274">
        <v>0.02301764811338058</v>
      </c>
      <c r="N274">
        <v>0.09</v>
      </c>
      <c r="O274">
        <v>0.1462963402314734</v>
      </c>
      <c r="P274" t="s">
        <v>375</v>
      </c>
      <c r="Q274" t="s">
        <v>375</v>
      </c>
      <c r="R274">
        <v>11</v>
      </c>
      <c r="S274">
        <v>0.6078125</v>
      </c>
      <c r="T274">
        <v>102</v>
      </c>
      <c r="U274">
        <v>0.8924509803921569</v>
      </c>
      <c r="V274">
        <v>4.976900000000001</v>
      </c>
      <c r="W274">
        <v>6.4</v>
      </c>
      <c r="X274">
        <v>3.89</v>
      </c>
      <c r="Y274">
        <v>-0.1035</v>
      </c>
      <c r="Z274">
        <v>0.4966101694915254</v>
      </c>
      <c r="AA274">
        <v>0.6733001658374793</v>
      </c>
      <c r="AB274">
        <v>0.8600993377483444</v>
      </c>
      <c r="AC274">
        <v>0.5562913907284769</v>
      </c>
      <c r="AD274">
        <v>0.7135761589403974</v>
      </c>
    </row>
    <row r="275" spans="1:30">
      <c r="A275" s="1" t="s">
        <v>282</v>
      </c>
      <c r="B275">
        <f>HYPERLINK("https://www.suredividend.com/sure-analysis-ORI/","Old Republic International Corp.")</f>
        <v>0</v>
      </c>
      <c r="C275">
        <v>14.14</v>
      </c>
      <c r="D275">
        <v>4298.46102</v>
      </c>
      <c r="E275" t="s">
        <v>649</v>
      </c>
      <c r="F275" t="s">
        <v>613</v>
      </c>
      <c r="G275" t="s">
        <v>653</v>
      </c>
      <c r="H275" t="s">
        <v>682</v>
      </c>
      <c r="I275" t="s">
        <v>958</v>
      </c>
      <c r="J275" t="s">
        <v>1277</v>
      </c>
      <c r="K275">
        <v>43948</v>
      </c>
      <c r="L275">
        <v>0.05728429985855701</v>
      </c>
      <c r="M275">
        <v>0.06086675112626061</v>
      </c>
      <c r="N275">
        <v>0.04</v>
      </c>
      <c r="O275">
        <v>0.1458218019512911</v>
      </c>
      <c r="P275" t="s">
        <v>375</v>
      </c>
      <c r="Q275" t="s">
        <v>618</v>
      </c>
      <c r="R275">
        <v>39</v>
      </c>
      <c r="S275">
        <v>0.5225806451612903</v>
      </c>
      <c r="T275">
        <v>19</v>
      </c>
      <c r="U275">
        <v>0.7442105263157895</v>
      </c>
      <c r="V275">
        <v>0.1338</v>
      </c>
      <c r="W275">
        <v>1.55</v>
      </c>
      <c r="X275">
        <v>0.8100000000000001</v>
      </c>
      <c r="Y275">
        <v>-0.3676</v>
      </c>
      <c r="Z275">
        <v>0.635593220338983</v>
      </c>
      <c r="AA275">
        <v>0.3034825870646766</v>
      </c>
      <c r="AB275">
        <v>0.3493377483443709</v>
      </c>
      <c r="AC275">
        <v>0.7135761589403974</v>
      </c>
      <c r="AD275">
        <v>0.7086092715231789</v>
      </c>
    </row>
    <row r="276" spans="1:30">
      <c r="A276" s="1" t="s">
        <v>283</v>
      </c>
      <c r="B276">
        <f>HYPERLINK("https://www.suredividend.com/sure-analysis-NC/","NACCO Industries, Inc.")</f>
        <v>0</v>
      </c>
      <c r="C276">
        <v>26.83</v>
      </c>
      <c r="D276">
        <v>188.383733</v>
      </c>
      <c r="E276" t="s">
        <v>642</v>
      </c>
      <c r="F276" t="s">
        <v>613</v>
      </c>
      <c r="G276" t="s">
        <v>653</v>
      </c>
      <c r="H276" t="s">
        <v>682</v>
      </c>
      <c r="I276" t="s">
        <v>959</v>
      </c>
      <c r="J276" t="s">
        <v>1284</v>
      </c>
      <c r="K276">
        <v>43960</v>
      </c>
      <c r="L276">
        <v>0.028326500186358</v>
      </c>
      <c r="M276">
        <v>0.108966349788977</v>
      </c>
      <c r="N276">
        <v>0.01</v>
      </c>
      <c r="O276">
        <v>0.1443518121429055</v>
      </c>
      <c r="P276" t="s">
        <v>375</v>
      </c>
      <c r="Q276" t="s">
        <v>316</v>
      </c>
      <c r="R276">
        <v>1</v>
      </c>
      <c r="S276">
        <v>0.152</v>
      </c>
      <c r="T276">
        <v>45</v>
      </c>
      <c r="U276">
        <v>0.5962222222222222</v>
      </c>
      <c r="V276">
        <v>4.4038</v>
      </c>
      <c r="W276">
        <v>5</v>
      </c>
      <c r="X276">
        <v>0.76</v>
      </c>
      <c r="Y276">
        <v>-0.4705</v>
      </c>
      <c r="Z276">
        <v>0.335593220338983</v>
      </c>
      <c r="AA276">
        <v>0.1990049751243781</v>
      </c>
      <c r="AB276">
        <v>0.05960264900662252</v>
      </c>
      <c r="AC276">
        <v>0.8675496688741723</v>
      </c>
      <c r="AD276">
        <v>0.6986754966887417</v>
      </c>
    </row>
    <row r="277" spans="1:30">
      <c r="A277" s="1" t="s">
        <v>284</v>
      </c>
      <c r="B277">
        <f>HYPERLINK("https://www.suredividend.com/sure-analysis-TAP/","Molson Coors Beverage Co.")</f>
        <v>0</v>
      </c>
      <c r="C277">
        <v>36.35</v>
      </c>
      <c r="D277">
        <v>7870.962555</v>
      </c>
      <c r="E277" t="s">
        <v>641</v>
      </c>
      <c r="F277" t="s">
        <v>613</v>
      </c>
      <c r="G277" t="s">
        <v>653</v>
      </c>
      <c r="H277" t="s">
        <v>682</v>
      </c>
      <c r="I277" t="s">
        <v>960</v>
      </c>
      <c r="J277" t="s">
        <v>1285</v>
      </c>
      <c r="K277">
        <v>43958</v>
      </c>
      <c r="L277">
        <v>0.05832187070151301</v>
      </c>
      <c r="M277">
        <v>0.04821575573418779</v>
      </c>
      <c r="N277">
        <v>0.05</v>
      </c>
      <c r="O277">
        <v>0.1438152557988106</v>
      </c>
      <c r="P277" t="s">
        <v>375</v>
      </c>
      <c r="Q277" t="s">
        <v>618</v>
      </c>
      <c r="R277">
        <v>1</v>
      </c>
      <c r="S277">
        <v>0.6424242424242425</v>
      </c>
      <c r="T277">
        <v>46</v>
      </c>
      <c r="U277">
        <v>0.7902173913043479</v>
      </c>
      <c r="V277">
        <v>-0.1234</v>
      </c>
      <c r="W277">
        <v>3.3</v>
      </c>
      <c r="X277">
        <v>2.12</v>
      </c>
      <c r="Y277">
        <v>-0.3765</v>
      </c>
      <c r="Z277">
        <v>0.6440677966101696</v>
      </c>
      <c r="AA277">
        <v>0.2951907131011609</v>
      </c>
      <c r="AB277">
        <v>0.4991721854304636</v>
      </c>
      <c r="AC277">
        <v>0.6605960264900662</v>
      </c>
      <c r="AD277">
        <v>0.6970198675496688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49.99</v>
      </c>
      <c r="D278">
        <v>17167.36584</v>
      </c>
      <c r="E278" t="s">
        <v>643</v>
      </c>
      <c r="F278" t="s">
        <v>614</v>
      </c>
      <c r="G278" t="s">
        <v>653</v>
      </c>
      <c r="H278" t="s">
        <v>682</v>
      </c>
      <c r="I278" t="s">
        <v>961</v>
      </c>
      <c r="J278" t="s">
        <v>1281</v>
      </c>
      <c r="K278">
        <v>43883</v>
      </c>
      <c r="L278">
        <v>0.054770954190838</v>
      </c>
      <c r="M278">
        <v>0.05065315125005054</v>
      </c>
      <c r="N278">
        <v>0.05</v>
      </c>
      <c r="O278">
        <v>0.143272838758465</v>
      </c>
      <c r="P278" t="s">
        <v>375</v>
      </c>
      <c r="Q278" t="s">
        <v>618</v>
      </c>
      <c r="R278">
        <v>26</v>
      </c>
      <c r="S278">
        <v>0.7756373937677055</v>
      </c>
      <c r="T278">
        <v>64</v>
      </c>
      <c r="U278">
        <v>0.78109375</v>
      </c>
      <c r="V278">
        <v>1.452</v>
      </c>
      <c r="W278">
        <v>3.53</v>
      </c>
      <c r="X278">
        <v>2.738</v>
      </c>
      <c r="Y278">
        <v>-0.2783</v>
      </c>
      <c r="Z278">
        <v>0.6169491525423729</v>
      </c>
      <c r="AA278">
        <v>0.4162520729684909</v>
      </c>
      <c r="AB278">
        <v>0.4991721854304636</v>
      </c>
      <c r="AC278">
        <v>0.6705298013245033</v>
      </c>
      <c r="AD278">
        <v>0.6937086092715232</v>
      </c>
    </row>
    <row r="279" spans="1:30">
      <c r="A279" s="1" t="s">
        <v>286</v>
      </c>
      <c r="B279">
        <f>HYPERLINK("https://www.suredividend.com/sure-analysis-BIP/","Brookfield Infrastructure Partners LP")</f>
        <v>0</v>
      </c>
      <c r="C279">
        <v>38.44</v>
      </c>
      <c r="D279">
        <v>15971.127772</v>
      </c>
      <c r="E279" t="s">
        <v>650</v>
      </c>
      <c r="F279" t="s">
        <v>615</v>
      </c>
      <c r="G279" t="s">
        <v>660</v>
      </c>
      <c r="H279" t="s">
        <v>682</v>
      </c>
      <c r="I279" t="s">
        <v>962</v>
      </c>
      <c r="J279" t="s">
        <v>1287</v>
      </c>
      <c r="K279">
        <v>43964</v>
      </c>
      <c r="L279">
        <v>0.053199791883454</v>
      </c>
      <c r="M279">
        <v>0.01787203394822434</v>
      </c>
      <c r="N279">
        <v>0.08</v>
      </c>
      <c r="O279">
        <v>0.1388690856333061</v>
      </c>
      <c r="P279" t="s">
        <v>375</v>
      </c>
      <c r="Q279" t="s">
        <v>618</v>
      </c>
      <c r="R279">
        <v>12</v>
      </c>
      <c r="S279">
        <v>0.7076124567474048</v>
      </c>
      <c r="T279">
        <v>42</v>
      </c>
      <c r="U279">
        <v>0.9152380952380952</v>
      </c>
      <c r="V279">
        <v>0.2132</v>
      </c>
      <c r="W279">
        <v>2.89</v>
      </c>
      <c r="X279">
        <v>2.045</v>
      </c>
      <c r="Y279">
        <v>0.0118</v>
      </c>
      <c r="Z279">
        <v>0.6084745762711864</v>
      </c>
      <c r="AA279">
        <v>0.7794361525704809</v>
      </c>
      <c r="AB279">
        <v>0.8038079470198676</v>
      </c>
      <c r="AC279">
        <v>0.5281456953642384</v>
      </c>
      <c r="AD279">
        <v>0.6788079470198676</v>
      </c>
    </row>
    <row r="280" spans="1:30">
      <c r="A280" s="1" t="s">
        <v>287</v>
      </c>
      <c r="B280">
        <f>HYPERLINK("https://www.suredividend.com/sure-analysis-JWN/","Nordstrom, Inc.")</f>
        <v>0</v>
      </c>
      <c r="C280">
        <v>16.37</v>
      </c>
      <c r="D280">
        <v>2559.38402</v>
      </c>
      <c r="E280" t="s">
        <v>649</v>
      </c>
      <c r="F280" t="s">
        <v>613</v>
      </c>
      <c r="G280" t="s">
        <v>653</v>
      </c>
      <c r="H280" t="s">
        <v>682</v>
      </c>
      <c r="I280" t="s">
        <v>963</v>
      </c>
      <c r="J280" t="s">
        <v>1279</v>
      </c>
      <c r="K280">
        <v>43906</v>
      </c>
      <c r="L280">
        <v>0.090409285277947</v>
      </c>
      <c r="M280">
        <v>0.09694520406254403</v>
      </c>
      <c r="N280">
        <v>-0.02</v>
      </c>
      <c r="O280">
        <v>0.1355007231093335</v>
      </c>
      <c r="P280" t="s">
        <v>375</v>
      </c>
      <c r="Q280" t="s">
        <v>617</v>
      </c>
      <c r="R280">
        <v>0</v>
      </c>
      <c r="S280">
        <v>0.519298245614035</v>
      </c>
      <c r="T280">
        <v>26</v>
      </c>
      <c r="U280">
        <v>0.6296153846153847</v>
      </c>
      <c r="V280">
        <v>3.2014</v>
      </c>
      <c r="W280">
        <v>2.85</v>
      </c>
      <c r="X280">
        <v>1.48</v>
      </c>
      <c r="Y280">
        <v>-0.5627</v>
      </c>
      <c r="Z280">
        <v>0.811864406779661</v>
      </c>
      <c r="AA280">
        <v>0.1127694859038143</v>
      </c>
      <c r="AB280">
        <v>0.009933774834437087</v>
      </c>
      <c r="AC280">
        <v>0.8509933774834437</v>
      </c>
      <c r="AD280">
        <v>0.6605960264900662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28.11</v>
      </c>
      <c r="D281">
        <v>4833.87993</v>
      </c>
      <c r="E281" t="s">
        <v>646</v>
      </c>
      <c r="F281" t="s">
        <v>614</v>
      </c>
      <c r="G281" t="s">
        <v>653</v>
      </c>
      <c r="H281" t="s">
        <v>682</v>
      </c>
      <c r="I281" t="s">
        <v>964</v>
      </c>
      <c r="J281" t="s">
        <v>1281</v>
      </c>
      <c r="K281">
        <v>43921</v>
      </c>
      <c r="L281">
        <v>0.07328352899324</v>
      </c>
      <c r="M281">
        <v>0.04481990966254412</v>
      </c>
      <c r="N281">
        <v>0.037</v>
      </c>
      <c r="O281">
        <v>0.1352385511525362</v>
      </c>
      <c r="P281" t="s">
        <v>375</v>
      </c>
      <c r="Q281" t="s">
        <v>618</v>
      </c>
      <c r="R281">
        <v>30</v>
      </c>
      <c r="S281">
        <v>0.8240000000000001</v>
      </c>
      <c r="T281">
        <v>35</v>
      </c>
      <c r="U281">
        <v>0.8031428571428572</v>
      </c>
      <c r="V281">
        <v>1.4792</v>
      </c>
      <c r="W281">
        <v>2.5</v>
      </c>
      <c r="X281">
        <v>2.06</v>
      </c>
      <c r="Y281">
        <v>-0.4738</v>
      </c>
      <c r="Z281">
        <v>0.7305084745762711</v>
      </c>
      <c r="AA281">
        <v>0.1956882255389718</v>
      </c>
      <c r="AB281">
        <v>0.2855960264900662</v>
      </c>
      <c r="AC281">
        <v>0.6490066225165563</v>
      </c>
      <c r="AD281">
        <v>0.6589403973509934</v>
      </c>
    </row>
    <row r="282" spans="1:30">
      <c r="A282" s="1" t="s">
        <v>289</v>
      </c>
      <c r="B282">
        <f>HYPERLINK("https://www.suredividend.com/sure-analysis-HBI/","Hanesbrands, Inc.")</f>
        <v>0</v>
      </c>
      <c r="C282">
        <v>8.52</v>
      </c>
      <c r="D282">
        <v>2965.2582</v>
      </c>
      <c r="E282" t="s">
        <v>644</v>
      </c>
      <c r="F282" t="s">
        <v>613</v>
      </c>
      <c r="G282" t="s">
        <v>653</v>
      </c>
      <c r="H282" t="s">
        <v>682</v>
      </c>
      <c r="I282" t="s">
        <v>965</v>
      </c>
      <c r="J282" t="s">
        <v>1279</v>
      </c>
      <c r="K282">
        <v>43964</v>
      </c>
      <c r="L282">
        <v>0.07042253521126701</v>
      </c>
      <c r="M282">
        <v>-0.01251597527587844</v>
      </c>
      <c r="N282">
        <v>0.1</v>
      </c>
      <c r="O282">
        <v>0.1347814261496991</v>
      </c>
      <c r="P282" t="s">
        <v>375</v>
      </c>
      <c r="Q282" t="s">
        <v>618</v>
      </c>
      <c r="R282">
        <v>0</v>
      </c>
      <c r="S282">
        <v>0.7500000000000001</v>
      </c>
      <c r="T282">
        <v>8</v>
      </c>
      <c r="U282">
        <v>1.065</v>
      </c>
      <c r="V282">
        <v>1.4221</v>
      </c>
      <c r="W282">
        <v>0.8</v>
      </c>
      <c r="X282">
        <v>0.6000000000000001</v>
      </c>
      <c r="Y282">
        <v>-0.4805</v>
      </c>
      <c r="Z282">
        <v>0.7101694915254236</v>
      </c>
      <c r="AA282">
        <v>0.1807628524046434</v>
      </c>
      <c r="AB282">
        <v>0.8981788079470199</v>
      </c>
      <c r="AC282">
        <v>0.3675496688741722</v>
      </c>
      <c r="AD282">
        <v>0.6556291390728477</v>
      </c>
    </row>
    <row r="283" spans="1:30">
      <c r="A283" s="1" t="s">
        <v>290</v>
      </c>
      <c r="B283">
        <f>HYPERLINK("https://www.suredividend.com/sure-analysis-UMBF/","UMB Financial Corp.")</f>
        <v>0</v>
      </c>
      <c r="C283">
        <v>43.42</v>
      </c>
      <c r="D283">
        <v>2090.104198</v>
      </c>
      <c r="E283" t="s">
        <v>649</v>
      </c>
      <c r="F283" t="s">
        <v>613</v>
      </c>
      <c r="G283" t="s">
        <v>653</v>
      </c>
      <c r="H283" t="s">
        <v>683</v>
      </c>
      <c r="I283" t="s">
        <v>966</v>
      </c>
      <c r="J283" t="s">
        <v>1277</v>
      </c>
      <c r="K283">
        <v>43953</v>
      </c>
      <c r="L283">
        <v>0.028097650852141</v>
      </c>
      <c r="M283">
        <v>0.09062888762645605</v>
      </c>
      <c r="N283">
        <v>0.02</v>
      </c>
      <c r="O283">
        <v>0.1321471146643221</v>
      </c>
      <c r="P283" t="s">
        <v>375</v>
      </c>
      <c r="Q283" t="s">
        <v>316</v>
      </c>
      <c r="R283">
        <v>28</v>
      </c>
      <c r="S283">
        <v>0.5083333333333333</v>
      </c>
      <c r="T283">
        <v>67</v>
      </c>
      <c r="U283">
        <v>0.6480597014925373</v>
      </c>
      <c r="V283">
        <v>3.7377</v>
      </c>
      <c r="W283">
        <v>2.4</v>
      </c>
      <c r="X283">
        <v>1.22</v>
      </c>
      <c r="Y283">
        <v>-0.3531</v>
      </c>
      <c r="Z283">
        <v>0.3322033898305085</v>
      </c>
      <c r="AA283">
        <v>0.318407960199005</v>
      </c>
      <c r="AB283">
        <v>0.1274834437086093</v>
      </c>
      <c r="AC283">
        <v>0.8360927152317881</v>
      </c>
      <c r="AD283">
        <v>0.6423841059602649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251.84</v>
      </c>
      <c r="D284">
        <v>36557.59808</v>
      </c>
      <c r="E284" t="s">
        <v>648</v>
      </c>
      <c r="F284" t="s">
        <v>613</v>
      </c>
      <c r="G284" t="s">
        <v>653</v>
      </c>
      <c r="H284" t="s">
        <v>683</v>
      </c>
      <c r="I284" t="s">
        <v>967</v>
      </c>
      <c r="J284" t="s">
        <v>1286</v>
      </c>
      <c r="K284">
        <v>43958</v>
      </c>
      <c r="L284">
        <v>0.018067026683608</v>
      </c>
      <c r="M284">
        <v>-0.02055460359693639</v>
      </c>
      <c r="N284">
        <v>0.14</v>
      </c>
      <c r="O284">
        <v>0.1314980688050758</v>
      </c>
      <c r="P284" t="s">
        <v>375</v>
      </c>
      <c r="Q284" t="s">
        <v>516</v>
      </c>
      <c r="R284">
        <v>6</v>
      </c>
      <c r="S284">
        <v>0.3005284015852047</v>
      </c>
      <c r="T284">
        <v>227</v>
      </c>
      <c r="U284">
        <v>1.10942731277533</v>
      </c>
      <c r="V284">
        <v>14.4064</v>
      </c>
      <c r="W284">
        <v>15.14</v>
      </c>
      <c r="X284">
        <v>4.55</v>
      </c>
      <c r="Y284">
        <v>0.2883</v>
      </c>
      <c r="Z284">
        <v>0.1576271186440678</v>
      </c>
      <c r="AA284">
        <v>0.9419568822553898</v>
      </c>
      <c r="AB284">
        <v>0.9495033112582781</v>
      </c>
      <c r="AC284">
        <v>0.3294701986754967</v>
      </c>
      <c r="AD284">
        <v>0.6407284768211921</v>
      </c>
    </row>
    <row r="285" spans="1:30">
      <c r="A285" s="1" t="s">
        <v>292</v>
      </c>
      <c r="B285">
        <f>HYPERLINK("https://www.suredividend.com/sure-analysis-DDS/","Dillard's, Inc.")</f>
        <v>0</v>
      </c>
      <c r="C285">
        <v>25.85</v>
      </c>
      <c r="D285">
        <v>604.313571</v>
      </c>
      <c r="E285" t="s">
        <v>643</v>
      </c>
      <c r="F285" t="s">
        <v>613</v>
      </c>
      <c r="G285" t="s">
        <v>653</v>
      </c>
      <c r="H285" t="s">
        <v>682</v>
      </c>
      <c r="I285" t="s">
        <v>968</v>
      </c>
      <c r="J285" t="s">
        <v>1279</v>
      </c>
      <c r="K285">
        <v>43892</v>
      </c>
      <c r="L285">
        <v>0.02127659574468</v>
      </c>
      <c r="M285">
        <v>0.08010160104648389</v>
      </c>
      <c r="N285">
        <v>0.03</v>
      </c>
      <c r="O285">
        <v>0.1300117860204875</v>
      </c>
      <c r="P285" t="s">
        <v>375</v>
      </c>
      <c r="Q285" t="s">
        <v>316</v>
      </c>
      <c r="R285">
        <v>9</v>
      </c>
      <c r="S285">
        <v>0.1447368421052632</v>
      </c>
      <c r="T285">
        <v>38</v>
      </c>
      <c r="U285">
        <v>0.6802631578947369</v>
      </c>
      <c r="V285">
        <v>-5.5415</v>
      </c>
      <c r="W285">
        <v>3.8</v>
      </c>
      <c r="X285">
        <v>0.55</v>
      </c>
      <c r="Y285">
        <v>-0.5922000000000001</v>
      </c>
      <c r="Z285">
        <v>0.2084745762711864</v>
      </c>
      <c r="AA285">
        <v>0.08955223880597014</v>
      </c>
      <c r="AB285">
        <v>0.2144039735099338</v>
      </c>
      <c r="AC285">
        <v>0.8062913907284768</v>
      </c>
      <c r="AD285">
        <v>0.6291390728476821</v>
      </c>
    </row>
    <row r="286" spans="1:30">
      <c r="A286" s="1" t="s">
        <v>293</v>
      </c>
      <c r="B286">
        <f>HYPERLINK("https://www.suredividend.com/sure-analysis-PII/","Polaris Inc.")</f>
        <v>0</v>
      </c>
      <c r="C286">
        <v>73.95</v>
      </c>
      <c r="D286">
        <v>4529.385735</v>
      </c>
      <c r="E286" t="s">
        <v>641</v>
      </c>
      <c r="F286" t="s">
        <v>613</v>
      </c>
      <c r="G286" t="s">
        <v>653</v>
      </c>
      <c r="H286" t="s">
        <v>682</v>
      </c>
      <c r="I286" t="s">
        <v>969</v>
      </c>
      <c r="J286" t="s">
        <v>1279</v>
      </c>
      <c r="K286">
        <v>43951</v>
      </c>
      <c r="L286">
        <v>0.033130493576741</v>
      </c>
      <c r="M286">
        <v>0.04006592049376634</v>
      </c>
      <c r="N286">
        <v>0.06</v>
      </c>
      <c r="O286">
        <v>0.128360314737187</v>
      </c>
      <c r="P286" t="s">
        <v>375</v>
      </c>
      <c r="Q286" t="s">
        <v>316</v>
      </c>
      <c r="R286">
        <v>25</v>
      </c>
      <c r="S286">
        <v>0.9800000000000001</v>
      </c>
      <c r="T286">
        <v>90</v>
      </c>
      <c r="U286">
        <v>0.8216666666666667</v>
      </c>
      <c r="V286">
        <v>4.3944</v>
      </c>
      <c r="W286">
        <v>2.5</v>
      </c>
      <c r="X286">
        <v>2.45</v>
      </c>
      <c r="Y286">
        <v>-0.1671</v>
      </c>
      <c r="Z286">
        <v>0.3932203389830509</v>
      </c>
      <c r="AA286">
        <v>0.5754560530679934</v>
      </c>
      <c r="AB286">
        <v>0.6341059602649007</v>
      </c>
      <c r="AC286">
        <v>0.6307947019867549</v>
      </c>
      <c r="AD286">
        <v>0.6175496688741722</v>
      </c>
    </row>
    <row r="287" spans="1:30">
      <c r="A287" s="1" t="s">
        <v>294</v>
      </c>
      <c r="B287">
        <f>HYPERLINK("https://www.suredividend.com/sure-analysis-ALL/","The Allstate Corp.")</f>
        <v>0</v>
      </c>
      <c r="C287">
        <v>95.38</v>
      </c>
      <c r="D287">
        <v>29960.38408</v>
      </c>
      <c r="E287" t="s">
        <v>647</v>
      </c>
      <c r="F287" t="s">
        <v>613</v>
      </c>
      <c r="G287" t="s">
        <v>653</v>
      </c>
      <c r="H287" t="s">
        <v>682</v>
      </c>
      <c r="I287" t="s">
        <v>970</v>
      </c>
      <c r="J287" t="s">
        <v>1277</v>
      </c>
      <c r="K287">
        <v>43888</v>
      </c>
      <c r="L287">
        <v>0.021388131683791</v>
      </c>
      <c r="M287">
        <v>0.05557850739992753</v>
      </c>
      <c r="N287">
        <v>0.05</v>
      </c>
      <c r="O287">
        <v>0.1267392735618578</v>
      </c>
      <c r="P287" t="s">
        <v>375</v>
      </c>
      <c r="Q287" t="s">
        <v>316</v>
      </c>
      <c r="R287">
        <v>9</v>
      </c>
      <c r="S287">
        <v>0.1955896452540748</v>
      </c>
      <c r="T287">
        <v>125</v>
      </c>
      <c r="U287">
        <v>0.7630399999999999</v>
      </c>
      <c r="V287">
        <v>12.1218</v>
      </c>
      <c r="W287">
        <v>10.43</v>
      </c>
      <c r="X287">
        <v>2.04</v>
      </c>
      <c r="Y287">
        <v>-0.0012</v>
      </c>
      <c r="Z287">
        <v>0.211864406779661</v>
      </c>
      <c r="AA287">
        <v>0.769485903814262</v>
      </c>
      <c r="AB287">
        <v>0.4991721854304636</v>
      </c>
      <c r="AC287">
        <v>0.6887417218543047</v>
      </c>
      <c r="AD287">
        <v>0.6109271523178808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52.73</v>
      </c>
      <c r="D288">
        <v>45672.88045</v>
      </c>
      <c r="E288" t="s">
        <v>641</v>
      </c>
      <c r="F288" t="s">
        <v>613</v>
      </c>
      <c r="G288" t="s">
        <v>653</v>
      </c>
      <c r="H288" t="s">
        <v>682</v>
      </c>
      <c r="I288" t="s">
        <v>971</v>
      </c>
      <c r="J288" t="s">
        <v>1278</v>
      </c>
      <c r="K288">
        <v>43964</v>
      </c>
      <c r="L288">
        <v>0.05575573677223501</v>
      </c>
      <c r="M288">
        <v>0.03623094053520748</v>
      </c>
      <c r="N288">
        <v>0.06</v>
      </c>
      <c r="O288">
        <v>0.1264944935937613</v>
      </c>
      <c r="P288" t="s">
        <v>375</v>
      </c>
      <c r="Q288" t="s">
        <v>618</v>
      </c>
      <c r="R288">
        <v>26</v>
      </c>
      <c r="S288">
        <v>0.748091603053435</v>
      </c>
      <c r="T288">
        <v>63</v>
      </c>
      <c r="U288">
        <v>0.8369841269841269</v>
      </c>
      <c r="V288">
        <v>4.8011</v>
      </c>
      <c r="W288">
        <v>3.93</v>
      </c>
      <c r="X288">
        <v>2.94</v>
      </c>
      <c r="Y288">
        <v>-0.3327</v>
      </c>
      <c r="Z288">
        <v>0.623728813559322</v>
      </c>
      <c r="AA288">
        <v>0.3432835820895522</v>
      </c>
      <c r="AB288">
        <v>0.6341059602649007</v>
      </c>
      <c r="AC288">
        <v>0.6043046357615894</v>
      </c>
      <c r="AD288">
        <v>0.6092715231788079</v>
      </c>
    </row>
    <row r="289" spans="1:30">
      <c r="A289" s="1" t="s">
        <v>296</v>
      </c>
      <c r="B289">
        <f>HYPERLINK("https://www.suredividend.com/sure-analysis-SIEGY/","Siemens AG")</f>
        <v>0</v>
      </c>
      <c r="C289">
        <v>46.8</v>
      </c>
      <c r="D289">
        <v>76075.080307</v>
      </c>
      <c r="E289" t="s">
        <v>643</v>
      </c>
      <c r="F289" t="s">
        <v>613</v>
      </c>
      <c r="G289" t="s">
        <v>656</v>
      </c>
      <c r="H289" t="s">
        <v>684</v>
      </c>
      <c r="I289" t="s">
        <v>972</v>
      </c>
      <c r="J289" t="s">
        <v>1278</v>
      </c>
      <c r="K289">
        <v>43877</v>
      </c>
      <c r="L289">
        <v>0.04527991452991401</v>
      </c>
      <c r="M289">
        <v>0.04384599219544394</v>
      </c>
      <c r="N289">
        <v>0.045</v>
      </c>
      <c r="O289">
        <v>0.1260817987027338</v>
      </c>
      <c r="P289" t="s">
        <v>375</v>
      </c>
      <c r="Q289" t="s">
        <v>618</v>
      </c>
      <c r="R289">
        <v>6</v>
      </c>
      <c r="S289">
        <v>0.5106265060240963</v>
      </c>
      <c r="T289">
        <v>58</v>
      </c>
      <c r="U289">
        <v>0.8068965517241379</v>
      </c>
      <c r="V289">
        <v>3.6345</v>
      </c>
      <c r="W289">
        <v>4.15</v>
      </c>
      <c r="X289">
        <v>2.1191</v>
      </c>
      <c r="Y289">
        <v>-0.217</v>
      </c>
      <c r="Z289">
        <v>0.5322033898305084</v>
      </c>
      <c r="AA289">
        <v>0.4958540630182421</v>
      </c>
      <c r="AB289">
        <v>0.4155629139072847</v>
      </c>
      <c r="AC289">
        <v>0.6473509933774834</v>
      </c>
      <c r="AD289">
        <v>0.6059602649006622</v>
      </c>
    </row>
    <row r="290" spans="1:30">
      <c r="A290" s="1" t="s">
        <v>297</v>
      </c>
      <c r="B290">
        <f>HYPERLINK("https://www.suredividend.com/sure-analysis-OSK/","Oshkosh Corp.")</f>
        <v>0</v>
      </c>
      <c r="C290">
        <v>61.01</v>
      </c>
      <c r="D290">
        <v>4152.993407</v>
      </c>
      <c r="E290" t="s">
        <v>641</v>
      </c>
      <c r="F290" t="s">
        <v>613</v>
      </c>
      <c r="G290" t="s">
        <v>653</v>
      </c>
      <c r="H290" t="s">
        <v>682</v>
      </c>
      <c r="I290" t="s">
        <v>973</v>
      </c>
      <c r="J290" t="s">
        <v>1278</v>
      </c>
      <c r="K290">
        <v>43951</v>
      </c>
      <c r="L290">
        <v>0.01868546139977</v>
      </c>
      <c r="M290">
        <v>0.06604528143544952</v>
      </c>
      <c r="N290">
        <v>0.04</v>
      </c>
      <c r="O290">
        <v>0.124246617378172</v>
      </c>
      <c r="P290" t="s">
        <v>375</v>
      </c>
      <c r="Q290" t="s">
        <v>516</v>
      </c>
      <c r="R290">
        <v>7</v>
      </c>
      <c r="S290">
        <v>0.2533333333333334</v>
      </c>
      <c r="T290">
        <v>84</v>
      </c>
      <c r="U290">
        <v>0.7263095238095237</v>
      </c>
      <c r="V290">
        <v>7.0739</v>
      </c>
      <c r="W290">
        <v>4.5</v>
      </c>
      <c r="X290">
        <v>1.14</v>
      </c>
      <c r="Y290">
        <v>-0.2032</v>
      </c>
      <c r="Z290">
        <v>0.1677966101694915</v>
      </c>
      <c r="AA290">
        <v>0.5140961857379768</v>
      </c>
      <c r="AB290">
        <v>0.3493377483443709</v>
      </c>
      <c r="AC290">
        <v>0.7334437086092715</v>
      </c>
      <c r="AD290">
        <v>0.5927152317880795</v>
      </c>
    </row>
    <row r="291" spans="1:30">
      <c r="A291" s="1" t="s">
        <v>298</v>
      </c>
      <c r="B291">
        <f>HYPERLINK("https://www.suredividend.com/sure-analysis-DTE/","DTE Energy Co.")</f>
        <v>0</v>
      </c>
      <c r="C291">
        <v>97.34999999999999</v>
      </c>
      <c r="D291">
        <v>18750.7782</v>
      </c>
      <c r="E291" t="s">
        <v>644</v>
      </c>
      <c r="F291" t="s">
        <v>613</v>
      </c>
      <c r="G291" t="s">
        <v>653</v>
      </c>
      <c r="H291" t="s">
        <v>682</v>
      </c>
      <c r="I291" t="s">
        <v>974</v>
      </c>
      <c r="J291" t="s">
        <v>1287</v>
      </c>
      <c r="K291">
        <v>43951</v>
      </c>
      <c r="L291">
        <v>0.040215716486902</v>
      </c>
      <c r="M291">
        <v>0.0265908866604867</v>
      </c>
      <c r="N291">
        <v>0.06</v>
      </c>
      <c r="O291">
        <v>0.1215359549068493</v>
      </c>
      <c r="P291" t="s">
        <v>375</v>
      </c>
      <c r="Q291" t="s">
        <v>375</v>
      </c>
      <c r="R291">
        <v>11</v>
      </c>
      <c r="S291">
        <v>0.5887218045112782</v>
      </c>
      <c r="T291">
        <v>111</v>
      </c>
      <c r="U291">
        <v>0.877027027027027</v>
      </c>
      <c r="V291">
        <v>5.8979</v>
      </c>
      <c r="W291">
        <v>6.65</v>
      </c>
      <c r="X291">
        <v>3.915</v>
      </c>
      <c r="Y291">
        <v>-0.2254</v>
      </c>
      <c r="Z291">
        <v>0.4677966101694915</v>
      </c>
      <c r="AA291">
        <v>0.4825870646766169</v>
      </c>
      <c r="AB291">
        <v>0.6341059602649007</v>
      </c>
      <c r="AC291">
        <v>0.5745033112582781</v>
      </c>
      <c r="AD291">
        <v>0.5761589403973509</v>
      </c>
    </row>
    <row r="292" spans="1:30">
      <c r="A292" s="1" t="s">
        <v>299</v>
      </c>
      <c r="B292">
        <f>HYPERLINK("https://www.suredividend.com/sure-analysis-WPC/","W.P. Carey, Inc.")</f>
        <v>0</v>
      </c>
      <c r="C292">
        <v>54.63</v>
      </c>
      <c r="D292">
        <v>9418.375889999999</v>
      </c>
      <c r="E292" t="s">
        <v>643</v>
      </c>
      <c r="F292" t="s">
        <v>614</v>
      </c>
      <c r="G292" t="s">
        <v>653</v>
      </c>
      <c r="H292" t="s">
        <v>682</v>
      </c>
      <c r="I292" t="s">
        <v>975</v>
      </c>
      <c r="J292" t="s">
        <v>1281</v>
      </c>
      <c r="K292">
        <v>43964</v>
      </c>
      <c r="L292">
        <v>0.07592897675269901</v>
      </c>
      <c r="M292">
        <v>0.02892061771340382</v>
      </c>
      <c r="N292">
        <v>0.035</v>
      </c>
      <c r="O292">
        <v>0.1214401847042341</v>
      </c>
      <c r="P292" t="s">
        <v>375</v>
      </c>
      <c r="Q292" t="s">
        <v>618</v>
      </c>
      <c r="R292">
        <v>22</v>
      </c>
      <c r="S292">
        <v>0.8213861386138613</v>
      </c>
      <c r="T292">
        <v>63</v>
      </c>
      <c r="U292">
        <v>0.8671428571428572</v>
      </c>
      <c r="V292">
        <v>1.7538</v>
      </c>
      <c r="W292">
        <v>5.05</v>
      </c>
      <c r="X292">
        <v>4.148</v>
      </c>
      <c r="Y292">
        <v>-0.3169</v>
      </c>
      <c r="Z292">
        <v>0.7440677966101695</v>
      </c>
      <c r="AA292">
        <v>0.3631840796019901</v>
      </c>
      <c r="AB292">
        <v>0.2706953642384106</v>
      </c>
      <c r="AC292">
        <v>0.5860927152317881</v>
      </c>
      <c r="AD292">
        <v>0.5745033112582781</v>
      </c>
    </row>
    <row r="293" spans="1:30">
      <c r="A293" s="1" t="s">
        <v>300</v>
      </c>
      <c r="B293">
        <f>HYPERLINK("https://www.suredividend.com/sure-analysis-AMX/","America Movil SAB de CV")</f>
        <v>0</v>
      </c>
      <c r="C293">
        <v>12.22</v>
      </c>
      <c r="D293">
        <v>27402.9223</v>
      </c>
      <c r="E293" t="s">
        <v>644</v>
      </c>
      <c r="F293" t="s">
        <v>613</v>
      </c>
      <c r="G293" t="s">
        <v>668</v>
      </c>
      <c r="H293" t="s">
        <v>682</v>
      </c>
      <c r="I293" t="s">
        <v>976</v>
      </c>
      <c r="J293" t="s">
        <v>1282</v>
      </c>
      <c r="K293">
        <v>43964</v>
      </c>
      <c r="L293">
        <v>0.0300736497545</v>
      </c>
      <c r="M293">
        <v>-0.03930449470459296</v>
      </c>
      <c r="N293">
        <v>0.14</v>
      </c>
      <c r="O293">
        <v>0.1196375373567085</v>
      </c>
      <c r="P293" t="s">
        <v>375</v>
      </c>
      <c r="Q293" t="s">
        <v>375</v>
      </c>
      <c r="R293">
        <v>3</v>
      </c>
      <c r="S293">
        <v>0.49</v>
      </c>
      <c r="T293">
        <v>10</v>
      </c>
      <c r="U293">
        <v>1.222</v>
      </c>
      <c r="V293">
        <v>1.0663</v>
      </c>
      <c r="W293">
        <v>0.75</v>
      </c>
      <c r="X293">
        <v>0.3675</v>
      </c>
      <c r="Y293">
        <v>-0.1358</v>
      </c>
      <c r="Z293">
        <v>0.3508474576271186</v>
      </c>
      <c r="AA293">
        <v>0.6285240464344942</v>
      </c>
      <c r="AB293">
        <v>0.9495033112582781</v>
      </c>
      <c r="AC293">
        <v>0.2317880794701987</v>
      </c>
      <c r="AD293">
        <v>0.5645695364238411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133.85</v>
      </c>
      <c r="D294">
        <v>12718.45377</v>
      </c>
      <c r="E294" t="s">
        <v>643</v>
      </c>
      <c r="F294" t="s">
        <v>613</v>
      </c>
      <c r="G294" t="s">
        <v>653</v>
      </c>
      <c r="H294" t="s">
        <v>682</v>
      </c>
      <c r="I294" t="s">
        <v>977</v>
      </c>
      <c r="J294" t="s">
        <v>1278</v>
      </c>
      <c r="K294">
        <v>43944</v>
      </c>
      <c r="L294">
        <v>0.01135599551737</v>
      </c>
      <c r="M294">
        <v>0.025758306388729</v>
      </c>
      <c r="N294">
        <v>0.08</v>
      </c>
      <c r="O294">
        <v>0.1179804681987375</v>
      </c>
      <c r="P294" t="s">
        <v>375</v>
      </c>
      <c r="Q294" t="s">
        <v>516</v>
      </c>
      <c r="R294">
        <v>1</v>
      </c>
      <c r="S294">
        <v>0.226865671641791</v>
      </c>
      <c r="T294">
        <v>152</v>
      </c>
      <c r="U294">
        <v>0.8805921052631579</v>
      </c>
      <c r="V294">
        <v>5.9946</v>
      </c>
      <c r="W294">
        <v>6.7</v>
      </c>
      <c r="X294">
        <v>1.52</v>
      </c>
      <c r="Y294">
        <v>0.1179</v>
      </c>
      <c r="Z294">
        <v>0.06949152542372881</v>
      </c>
      <c r="AA294">
        <v>0.8615257048092869</v>
      </c>
      <c r="AB294">
        <v>0.8038079470198676</v>
      </c>
      <c r="AC294">
        <v>0.5711920529801324</v>
      </c>
      <c r="AD294">
        <v>0.5529801324503311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107.92</v>
      </c>
      <c r="D295">
        <v>58410.51288</v>
      </c>
      <c r="E295" t="s">
        <v>641</v>
      </c>
      <c r="F295" t="s">
        <v>613</v>
      </c>
      <c r="G295" t="s">
        <v>653</v>
      </c>
      <c r="H295" t="s">
        <v>682</v>
      </c>
      <c r="I295" t="s">
        <v>978</v>
      </c>
      <c r="J295" t="s">
        <v>1278</v>
      </c>
      <c r="K295">
        <v>43951</v>
      </c>
      <c r="L295">
        <v>0.03660118606375001</v>
      </c>
      <c r="M295">
        <v>0.007449341191869019</v>
      </c>
      <c r="N295">
        <v>0.08</v>
      </c>
      <c r="O295">
        <v>0.1174990531456526</v>
      </c>
      <c r="P295" t="s">
        <v>375</v>
      </c>
      <c r="Q295" t="s">
        <v>375</v>
      </c>
      <c r="R295">
        <v>26</v>
      </c>
      <c r="S295">
        <v>0.79</v>
      </c>
      <c r="T295">
        <v>112</v>
      </c>
      <c r="U295">
        <v>0.9635714285714286</v>
      </c>
      <c r="V295">
        <v>9.528</v>
      </c>
      <c r="W295">
        <v>5</v>
      </c>
      <c r="X295">
        <v>3.95</v>
      </c>
      <c r="Y295">
        <v>-0.1522</v>
      </c>
      <c r="Z295">
        <v>0.4254237288135593</v>
      </c>
      <c r="AA295">
        <v>0.6036484245439468</v>
      </c>
      <c r="AB295">
        <v>0.8038079470198676</v>
      </c>
      <c r="AC295">
        <v>0.4619205298013245</v>
      </c>
      <c r="AD295">
        <v>0.5513245033112583</v>
      </c>
    </row>
    <row r="296" spans="1:30">
      <c r="A296" s="1" t="s">
        <v>303</v>
      </c>
      <c r="B296">
        <f>HYPERLINK("https://www.suredividend.com/sure-analysis-BTI/","British American Tobacco plc")</f>
        <v>0</v>
      </c>
      <c r="C296">
        <v>37.34</v>
      </c>
      <c r="D296">
        <v>85356.414221</v>
      </c>
      <c r="E296" t="s">
        <v>643</v>
      </c>
      <c r="F296" t="s">
        <v>613</v>
      </c>
      <c r="G296" t="s">
        <v>654</v>
      </c>
      <c r="H296" t="s">
        <v>682</v>
      </c>
      <c r="I296" t="s">
        <v>979</v>
      </c>
      <c r="J296" t="s">
        <v>1285</v>
      </c>
      <c r="K296">
        <v>43899</v>
      </c>
      <c r="L296">
        <v>0.08999732190680201</v>
      </c>
      <c r="M296">
        <v>0.02862915212751815</v>
      </c>
      <c r="N296">
        <v>0.03</v>
      </c>
      <c r="O296">
        <v>0.1153837543429304</v>
      </c>
      <c r="P296" t="s">
        <v>375</v>
      </c>
      <c r="Q296" t="s">
        <v>618</v>
      </c>
      <c r="R296">
        <v>1</v>
      </c>
      <c r="S296">
        <v>0.7467777777777778</v>
      </c>
      <c r="T296">
        <v>43</v>
      </c>
      <c r="U296">
        <v>0.8683720930232559</v>
      </c>
      <c r="V296">
        <v>3.1856</v>
      </c>
      <c r="W296">
        <v>4.5</v>
      </c>
      <c r="X296">
        <v>3.3605</v>
      </c>
      <c r="Y296">
        <v>-0.0059</v>
      </c>
      <c r="Z296">
        <v>0.8101694915254236</v>
      </c>
      <c r="AA296">
        <v>0.7645107794361526</v>
      </c>
      <c r="AB296">
        <v>0.2144039735099338</v>
      </c>
      <c r="AC296">
        <v>0.5844370860927153</v>
      </c>
      <c r="AD296">
        <v>0.543046357615894</v>
      </c>
    </row>
    <row r="297" spans="1:30">
      <c r="A297" s="1" t="s">
        <v>304</v>
      </c>
      <c r="B297">
        <f>HYPERLINK("https://www.suredividend.com/sure-analysis-YUM/","Yum! Brands, Inc.")</f>
        <v>0</v>
      </c>
      <c r="C297">
        <v>84.90000000000001</v>
      </c>
      <c r="D297">
        <v>25553.7114</v>
      </c>
      <c r="E297" t="s">
        <v>644</v>
      </c>
      <c r="F297" t="s">
        <v>613</v>
      </c>
      <c r="G297" t="s">
        <v>653</v>
      </c>
      <c r="H297" t="s">
        <v>682</v>
      </c>
      <c r="I297" t="s">
        <v>980</v>
      </c>
      <c r="J297" t="s">
        <v>1279</v>
      </c>
      <c r="K297">
        <v>43955</v>
      </c>
      <c r="L297">
        <v>0.020376914016489</v>
      </c>
      <c r="M297">
        <v>-0.04625247822249401</v>
      </c>
      <c r="N297">
        <v>0.15</v>
      </c>
      <c r="O297">
        <v>0.1145322130968636</v>
      </c>
      <c r="P297" t="s">
        <v>375</v>
      </c>
      <c r="Q297" t="s">
        <v>316</v>
      </c>
      <c r="R297">
        <v>3</v>
      </c>
      <c r="S297">
        <v>0.6178571428571429</v>
      </c>
      <c r="T297">
        <v>67</v>
      </c>
      <c r="U297">
        <v>1.267164179104478</v>
      </c>
      <c r="V297">
        <v>3.6587</v>
      </c>
      <c r="W297">
        <v>2.8</v>
      </c>
      <c r="X297">
        <v>1.73</v>
      </c>
      <c r="Y297">
        <v>-0.154</v>
      </c>
      <c r="Z297">
        <v>0.1932203389830508</v>
      </c>
      <c r="AA297">
        <v>0.5986733001658375</v>
      </c>
      <c r="AB297">
        <v>0.9660596026490066</v>
      </c>
      <c r="AC297">
        <v>0.2003311258278146</v>
      </c>
      <c r="AD297">
        <v>0.5347682119205298</v>
      </c>
    </row>
    <row r="298" spans="1:30">
      <c r="A298" s="1" t="s">
        <v>305</v>
      </c>
      <c r="B298">
        <f>HYPERLINK("https://www.suredividend.com/sure-analysis-SNY/","Sanofi")</f>
        <v>0</v>
      </c>
      <c r="C298">
        <v>47.26</v>
      </c>
      <c r="D298">
        <v>118566.882256</v>
      </c>
      <c r="E298" t="s">
        <v>642</v>
      </c>
      <c r="F298" t="s">
        <v>613</v>
      </c>
      <c r="G298" t="s">
        <v>669</v>
      </c>
      <c r="H298" t="s">
        <v>683</v>
      </c>
      <c r="I298" t="s">
        <v>981</v>
      </c>
      <c r="J298" t="s">
        <v>1280</v>
      </c>
      <c r="K298">
        <v>43945</v>
      </c>
      <c r="L298">
        <v>0.02565594583157</v>
      </c>
      <c r="M298">
        <v>0.03818853294101321</v>
      </c>
      <c r="N298">
        <v>0.04</v>
      </c>
      <c r="O298">
        <v>0.109309138059585</v>
      </c>
      <c r="P298" t="s">
        <v>375</v>
      </c>
      <c r="Q298" t="s">
        <v>316</v>
      </c>
      <c r="R298">
        <v>26</v>
      </c>
      <c r="S298">
        <v>0.3464285714285714</v>
      </c>
      <c r="T298">
        <v>57</v>
      </c>
      <c r="U298">
        <v>0.8291228070175438</v>
      </c>
      <c r="V298">
        <v>1.2971</v>
      </c>
      <c r="W298">
        <v>3.5</v>
      </c>
      <c r="X298">
        <v>1.2125</v>
      </c>
      <c r="Y298">
        <v>0.1421</v>
      </c>
      <c r="Z298">
        <v>0.3033898305084746</v>
      </c>
      <c r="AA298">
        <v>0.8739635157545605</v>
      </c>
      <c r="AB298">
        <v>0.3493377483443709</v>
      </c>
      <c r="AC298">
        <v>0.6158940397350993</v>
      </c>
      <c r="AD298">
        <v>0.5198675496688742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175.97</v>
      </c>
      <c r="D299">
        <v>30758.32421</v>
      </c>
      <c r="E299" t="s">
        <v>646</v>
      </c>
      <c r="F299" t="s">
        <v>614</v>
      </c>
      <c r="G299" t="s">
        <v>653</v>
      </c>
      <c r="H299" t="s">
        <v>682</v>
      </c>
      <c r="I299" t="s">
        <v>982</v>
      </c>
      <c r="J299" t="s">
        <v>1281</v>
      </c>
      <c r="K299">
        <v>43913</v>
      </c>
      <c r="L299">
        <v>0.045462294709325</v>
      </c>
      <c r="M299">
        <v>0.04087832545412406</v>
      </c>
      <c r="N299">
        <v>0.03</v>
      </c>
      <c r="O299">
        <v>0.1079443713086636</v>
      </c>
      <c r="P299" t="s">
        <v>375</v>
      </c>
      <c r="Q299" t="s">
        <v>375</v>
      </c>
      <c r="R299">
        <v>0</v>
      </c>
      <c r="S299">
        <v>0.7434944237918216</v>
      </c>
      <c r="T299">
        <v>215</v>
      </c>
      <c r="U299">
        <v>0.8184651162790698</v>
      </c>
      <c r="V299">
        <v>7.3668</v>
      </c>
      <c r="W299">
        <v>10.76</v>
      </c>
      <c r="X299">
        <v>8</v>
      </c>
      <c r="Y299">
        <v>-0.2297</v>
      </c>
      <c r="Z299">
        <v>0.535593220338983</v>
      </c>
      <c r="AA299">
        <v>0.4776119402985075</v>
      </c>
      <c r="AB299">
        <v>0.2144039735099338</v>
      </c>
      <c r="AC299">
        <v>0.6407284768211921</v>
      </c>
      <c r="AD299">
        <v>0.5132450331125827</v>
      </c>
    </row>
    <row r="300" spans="1:30">
      <c r="A300" s="1" t="s">
        <v>307</v>
      </c>
      <c r="B300">
        <f>HYPERLINK("https://www.suredividend.com/sure-analysis-TM/","Toyota Motor Corp.")</f>
        <v>0</v>
      </c>
      <c r="C300">
        <v>116.89</v>
      </c>
      <c r="D300">
        <v>161667.931313</v>
      </c>
      <c r="E300" t="s">
        <v>643</v>
      </c>
      <c r="F300" t="s">
        <v>613</v>
      </c>
      <c r="G300" t="s">
        <v>670</v>
      </c>
      <c r="H300" t="s">
        <v>682</v>
      </c>
      <c r="I300" t="s">
        <v>983</v>
      </c>
      <c r="J300" t="s">
        <v>1279</v>
      </c>
      <c r="K300">
        <v>43874</v>
      </c>
      <c r="L300">
        <v>0.015654889212079</v>
      </c>
      <c r="M300">
        <v>0.03674066934752784</v>
      </c>
      <c r="N300">
        <v>0.04</v>
      </c>
      <c r="O300">
        <v>0.1062403384802553</v>
      </c>
      <c r="P300" t="s">
        <v>375</v>
      </c>
      <c r="Q300" t="s">
        <v>516</v>
      </c>
      <c r="R300">
        <v>2</v>
      </c>
      <c r="S300">
        <v>0.1109030303030303</v>
      </c>
      <c r="T300">
        <v>140</v>
      </c>
      <c r="U300">
        <v>0.8349285714285715</v>
      </c>
      <c r="V300">
        <v>16.0283</v>
      </c>
      <c r="W300">
        <v>16.5</v>
      </c>
      <c r="X300">
        <v>1.8299</v>
      </c>
      <c r="Y300">
        <v>-0.0311</v>
      </c>
      <c r="Z300">
        <v>0.111864406779661</v>
      </c>
      <c r="AA300">
        <v>0.7379767827529021</v>
      </c>
      <c r="AB300">
        <v>0.3493377483443709</v>
      </c>
      <c r="AC300">
        <v>0.6076158940397351</v>
      </c>
      <c r="AD300">
        <v>0.5049668874172185</v>
      </c>
    </row>
    <row r="301" spans="1:30">
      <c r="A301" s="1" t="s">
        <v>308</v>
      </c>
      <c r="B301">
        <f>HYPERLINK("https://www.suredividend.com/sure-analysis-TCO/","Taubman Centers, Inc.")</f>
        <v>0</v>
      </c>
      <c r="C301">
        <v>38.53</v>
      </c>
      <c r="D301">
        <v>2373.771652</v>
      </c>
      <c r="E301" t="s">
        <v>643</v>
      </c>
      <c r="F301" t="s">
        <v>614</v>
      </c>
      <c r="G301" t="s">
        <v>653</v>
      </c>
      <c r="H301" t="s">
        <v>682</v>
      </c>
      <c r="I301" t="s">
        <v>984</v>
      </c>
      <c r="J301" t="s">
        <v>1281</v>
      </c>
      <c r="K301">
        <v>43871</v>
      </c>
      <c r="L301">
        <v>0.070075266026472</v>
      </c>
      <c r="M301">
        <v>0.0269060996335746</v>
      </c>
      <c r="N301">
        <v>0.02</v>
      </c>
      <c r="O301">
        <v>0.1045401220136055</v>
      </c>
      <c r="P301" t="s">
        <v>375</v>
      </c>
      <c r="Q301" t="s">
        <v>618</v>
      </c>
      <c r="R301">
        <v>10</v>
      </c>
      <c r="S301">
        <v>0.7297297297297297</v>
      </c>
      <c r="T301">
        <v>44</v>
      </c>
      <c r="U301">
        <v>0.8756818181818182</v>
      </c>
      <c r="V301">
        <v>-2.206</v>
      </c>
      <c r="W301">
        <v>3.7</v>
      </c>
      <c r="X301">
        <v>2.7</v>
      </c>
      <c r="Y301">
        <v>-0.2354</v>
      </c>
      <c r="Z301">
        <v>0.7067796610169492</v>
      </c>
      <c r="AA301">
        <v>0.4709784411276949</v>
      </c>
      <c r="AB301">
        <v>0.1274834437086093</v>
      </c>
      <c r="AC301">
        <v>0.5761589403973509</v>
      </c>
      <c r="AD301">
        <v>0.4900662251655629</v>
      </c>
    </row>
    <row r="302" spans="1:30">
      <c r="A302" s="1" t="s">
        <v>309</v>
      </c>
      <c r="B302">
        <f>HYPERLINK("https://www.suredividend.com/sure-analysis-OTTR/","Otter Tail Corp.")</f>
        <v>0</v>
      </c>
      <c r="C302">
        <v>38.71</v>
      </c>
      <c r="D302">
        <v>1564.534328</v>
      </c>
      <c r="E302" t="s">
        <v>646</v>
      </c>
      <c r="F302" t="s">
        <v>613</v>
      </c>
      <c r="G302" t="s">
        <v>653</v>
      </c>
      <c r="H302" t="s">
        <v>683</v>
      </c>
      <c r="I302" t="s">
        <v>985</v>
      </c>
      <c r="J302" t="s">
        <v>1287</v>
      </c>
      <c r="K302">
        <v>43921</v>
      </c>
      <c r="L302">
        <v>0.036683027641436</v>
      </c>
      <c r="M302">
        <v>0.02594930363474646</v>
      </c>
      <c r="N302">
        <v>0.046</v>
      </c>
      <c r="O302">
        <v>0.1035061506054651</v>
      </c>
      <c r="P302" t="s">
        <v>375</v>
      </c>
      <c r="Q302" t="s">
        <v>375</v>
      </c>
      <c r="R302">
        <v>7</v>
      </c>
      <c r="S302">
        <v>0.6396396396396395</v>
      </c>
      <c r="T302">
        <v>44</v>
      </c>
      <c r="U302">
        <v>0.8797727272727273</v>
      </c>
      <c r="V302">
        <v>2.1263</v>
      </c>
      <c r="W302">
        <v>2.22</v>
      </c>
      <c r="X302">
        <v>1.42</v>
      </c>
      <c r="Y302">
        <v>-0.2362</v>
      </c>
      <c r="Z302">
        <v>0.4271186440677966</v>
      </c>
      <c r="AA302">
        <v>0.4676616915422885</v>
      </c>
      <c r="AB302">
        <v>0.4246688741721855</v>
      </c>
      <c r="AC302">
        <v>0.5728476821192053</v>
      </c>
      <c r="AD302">
        <v>0.4834437086092715</v>
      </c>
    </row>
    <row r="303" spans="1:30">
      <c r="A303" s="1" t="s">
        <v>310</v>
      </c>
      <c r="B303">
        <f>HYPERLINK("https://www.suredividend.com/sure-analysis-AON/","Aon Plc")</f>
        <v>0</v>
      </c>
      <c r="C303">
        <v>191.67</v>
      </c>
      <c r="D303">
        <v>44292.44529</v>
      </c>
      <c r="E303" t="s">
        <v>649</v>
      </c>
      <c r="F303" t="s">
        <v>613</v>
      </c>
      <c r="G303" t="s">
        <v>658</v>
      </c>
      <c r="H303" t="s">
        <v>682</v>
      </c>
      <c r="I303" t="s">
        <v>986</v>
      </c>
      <c r="J303" t="s">
        <v>1277</v>
      </c>
      <c r="K303">
        <v>43957</v>
      </c>
      <c r="L303">
        <v>0.002295612250221</v>
      </c>
      <c r="M303">
        <v>-0.007058832220032341</v>
      </c>
      <c r="N303">
        <v>0.1</v>
      </c>
      <c r="O303">
        <v>0.1012629521611033</v>
      </c>
      <c r="P303" t="s">
        <v>375</v>
      </c>
      <c r="Q303" t="s">
        <v>516</v>
      </c>
      <c r="R303">
        <v>8</v>
      </c>
      <c r="S303">
        <v>0.04512820512820513</v>
      </c>
      <c r="T303">
        <v>185</v>
      </c>
      <c r="U303">
        <v>1.036054054054054</v>
      </c>
      <c r="V303">
        <v>6.9911</v>
      </c>
      <c r="W303">
        <v>9.75</v>
      </c>
      <c r="X303">
        <v>0.44</v>
      </c>
      <c r="Y303">
        <v>0.07150000000000001</v>
      </c>
      <c r="Z303">
        <v>0.006779661016949152</v>
      </c>
      <c r="AA303">
        <v>0.8291873963515755</v>
      </c>
      <c r="AB303">
        <v>0.8981788079470199</v>
      </c>
      <c r="AC303">
        <v>0.3956953642384106</v>
      </c>
      <c r="AD303">
        <v>0.466887417218543</v>
      </c>
    </row>
    <row r="304" spans="1:30">
      <c r="A304" s="1" t="s">
        <v>311</v>
      </c>
      <c r="B304">
        <f>HYPERLINK("https://www.suredividend.com/sure-analysis-PAYX/","Paychex, Inc.")</f>
        <v>0</v>
      </c>
      <c r="C304">
        <v>63.43</v>
      </c>
      <c r="D304">
        <v>22753.29245</v>
      </c>
      <c r="E304" t="s">
        <v>642</v>
      </c>
      <c r="F304" t="s">
        <v>613</v>
      </c>
      <c r="G304" t="s">
        <v>653</v>
      </c>
      <c r="H304" t="s">
        <v>683</v>
      </c>
      <c r="I304" t="s">
        <v>987</v>
      </c>
      <c r="J304" t="s">
        <v>1278</v>
      </c>
      <c r="K304">
        <v>43915</v>
      </c>
      <c r="L304">
        <v>0.03909821850859201</v>
      </c>
      <c r="M304">
        <v>0.01101131993788829</v>
      </c>
      <c r="N304">
        <v>0.05</v>
      </c>
      <c r="O304">
        <v>0.09512985386435835</v>
      </c>
      <c r="P304" t="s">
        <v>375</v>
      </c>
      <c r="Q304" t="s">
        <v>375</v>
      </c>
      <c r="R304">
        <v>9</v>
      </c>
      <c r="S304">
        <v>0.7749999999999999</v>
      </c>
      <c r="T304">
        <v>67</v>
      </c>
      <c r="U304">
        <v>0.9467164179104478</v>
      </c>
      <c r="V304">
        <v>3.088</v>
      </c>
      <c r="W304">
        <v>3.2</v>
      </c>
      <c r="X304">
        <v>2.48</v>
      </c>
      <c r="Y304">
        <v>-0.2542</v>
      </c>
      <c r="Z304">
        <v>0.4593220338983051</v>
      </c>
      <c r="AA304">
        <v>0.4461028192371476</v>
      </c>
      <c r="AB304">
        <v>0.4991721854304636</v>
      </c>
      <c r="AC304">
        <v>0.4867549668874173</v>
      </c>
      <c r="AD304">
        <v>0.4254966887417219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74.16</v>
      </c>
      <c r="D305">
        <v>86626.296</v>
      </c>
      <c r="E305" t="s">
        <v>641</v>
      </c>
      <c r="F305" t="s">
        <v>613</v>
      </c>
      <c r="G305" t="s">
        <v>653</v>
      </c>
      <c r="H305" t="s">
        <v>683</v>
      </c>
      <c r="I305" t="s">
        <v>988</v>
      </c>
      <c r="J305" t="s">
        <v>1279</v>
      </c>
      <c r="K305">
        <v>43951</v>
      </c>
      <c r="L305">
        <v>0.02076591154261</v>
      </c>
      <c r="M305">
        <v>-0.02304436349476569</v>
      </c>
      <c r="N305">
        <v>0.1</v>
      </c>
      <c r="O305">
        <v>0.0948360933637884</v>
      </c>
      <c r="P305" t="s">
        <v>375</v>
      </c>
      <c r="Q305" t="s">
        <v>516</v>
      </c>
      <c r="R305">
        <v>10</v>
      </c>
      <c r="S305">
        <v>0.88</v>
      </c>
      <c r="T305">
        <v>66</v>
      </c>
      <c r="U305">
        <v>1.123636363636364</v>
      </c>
      <c r="V305">
        <v>2.8384</v>
      </c>
      <c r="W305">
        <v>1.75</v>
      </c>
      <c r="X305">
        <v>1.54</v>
      </c>
      <c r="Y305">
        <v>-0.0463</v>
      </c>
      <c r="Z305">
        <v>0.2</v>
      </c>
      <c r="AA305">
        <v>0.7180762852404644</v>
      </c>
      <c r="AB305">
        <v>0.8981788079470199</v>
      </c>
      <c r="AC305">
        <v>0.3145695364238411</v>
      </c>
      <c r="AD305">
        <v>0.4221854304635762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292.54</v>
      </c>
      <c r="D306">
        <v>122811.510525</v>
      </c>
      <c r="E306" t="s">
        <v>649</v>
      </c>
      <c r="F306" t="s">
        <v>613</v>
      </c>
      <c r="G306" t="s">
        <v>665</v>
      </c>
      <c r="H306" t="s">
        <v>683</v>
      </c>
      <c r="I306" t="s">
        <v>989</v>
      </c>
      <c r="J306" t="s">
        <v>1286</v>
      </c>
      <c r="K306">
        <v>43945</v>
      </c>
      <c r="L306">
        <v>0.007634238052915</v>
      </c>
      <c r="M306">
        <v>-0.03406040202939598</v>
      </c>
      <c r="N306">
        <v>0.12</v>
      </c>
      <c r="O306">
        <v>0.09199232817482161</v>
      </c>
      <c r="P306" t="s">
        <v>375</v>
      </c>
      <c r="Q306" t="s">
        <v>516</v>
      </c>
      <c r="R306">
        <v>5</v>
      </c>
      <c r="S306">
        <v>0.2919372549019608</v>
      </c>
      <c r="T306">
        <v>246</v>
      </c>
      <c r="U306">
        <v>1.189186991869919</v>
      </c>
      <c r="V306">
        <v>6.873</v>
      </c>
      <c r="W306">
        <v>7.65</v>
      </c>
      <c r="X306">
        <v>2.23332</v>
      </c>
      <c r="Y306">
        <v>0.4581</v>
      </c>
      <c r="Z306">
        <v>0.0288135593220339</v>
      </c>
      <c r="AA306">
        <v>0.978441127694859</v>
      </c>
      <c r="AB306">
        <v>0.9321192052980132</v>
      </c>
      <c r="AC306">
        <v>0.2566225165562914</v>
      </c>
      <c r="AD306">
        <v>0.4089403973509934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9.81</v>
      </c>
      <c r="D307">
        <v>2609.57772</v>
      </c>
      <c r="E307" t="s">
        <v>646</v>
      </c>
      <c r="F307" t="s">
        <v>613</v>
      </c>
      <c r="G307" t="s">
        <v>659</v>
      </c>
      <c r="H307" t="s">
        <v>684</v>
      </c>
      <c r="J307" t="s">
        <v>1287</v>
      </c>
      <c r="K307">
        <v>43913</v>
      </c>
      <c r="L307">
        <v>0.071998568134351</v>
      </c>
      <c r="M307">
        <v>0.001828165773798629</v>
      </c>
      <c r="N307">
        <v>0.032</v>
      </c>
      <c r="O307">
        <v>0.091932453949926</v>
      </c>
      <c r="P307" t="s">
        <v>375</v>
      </c>
      <c r="Q307" t="s">
        <v>618</v>
      </c>
      <c r="R307">
        <v>0</v>
      </c>
      <c r="S307">
        <v>0.6420963212708999</v>
      </c>
      <c r="T307">
        <v>9.9</v>
      </c>
      <c r="U307">
        <v>0.990909090909091</v>
      </c>
      <c r="V307">
        <v>0.3016</v>
      </c>
      <c r="W307">
        <v>1.1</v>
      </c>
      <c r="X307">
        <v>0.70630595339799</v>
      </c>
      <c r="Y307">
        <v>-0.0373</v>
      </c>
      <c r="Z307">
        <v>0.7186440677966101</v>
      </c>
      <c r="AA307">
        <v>0.724709784411277</v>
      </c>
      <c r="AB307">
        <v>0.2582781456953642</v>
      </c>
      <c r="AC307">
        <v>0.4321192052980132</v>
      </c>
      <c r="AD307">
        <v>0.4072847682119206</v>
      </c>
    </row>
    <row r="308" spans="1:30">
      <c r="A308" s="1" t="s">
        <v>315</v>
      </c>
      <c r="B308">
        <f>HYPERLINK("https://www.suredividend.com/sure-analysis-VALE/","Vale SA")</f>
        <v>0</v>
      </c>
      <c r="C308">
        <v>8.27</v>
      </c>
      <c r="D308">
        <v>42424.406742</v>
      </c>
      <c r="E308" t="s">
        <v>643</v>
      </c>
      <c r="F308" t="s">
        <v>613</v>
      </c>
      <c r="G308" t="s">
        <v>664</v>
      </c>
      <c r="H308" t="s">
        <v>682</v>
      </c>
      <c r="I308" t="s">
        <v>990</v>
      </c>
      <c r="J308" t="s">
        <v>1283</v>
      </c>
      <c r="K308">
        <v>43959</v>
      </c>
      <c r="L308">
        <v>0.04199516324062801</v>
      </c>
      <c r="M308">
        <v>0.0387209669320745</v>
      </c>
      <c r="N308">
        <v>0.02</v>
      </c>
      <c r="O308">
        <v>0.09113501898480014</v>
      </c>
      <c r="P308" t="s">
        <v>375</v>
      </c>
      <c r="Q308" t="s">
        <v>316</v>
      </c>
      <c r="R308">
        <v>0</v>
      </c>
      <c r="S308">
        <v>0.27784</v>
      </c>
      <c r="T308">
        <v>10</v>
      </c>
      <c r="U308">
        <v>0.827</v>
      </c>
      <c r="V308">
        <v>-0.3331</v>
      </c>
      <c r="W308">
        <v>1.25</v>
      </c>
      <c r="X308">
        <v>0.3473</v>
      </c>
      <c r="Y308">
        <v>-0.3108</v>
      </c>
      <c r="Z308">
        <v>0.4898305084745763</v>
      </c>
      <c r="AA308">
        <v>0.3681592039800995</v>
      </c>
      <c r="AB308">
        <v>0.1274834437086093</v>
      </c>
      <c r="AC308">
        <v>0.6192052980132451</v>
      </c>
      <c r="AD308">
        <v>0.402317880794702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78.22</v>
      </c>
      <c r="D309">
        <v>65646.21322000001</v>
      </c>
      <c r="E309" t="s">
        <v>650</v>
      </c>
      <c r="F309" t="s">
        <v>613</v>
      </c>
      <c r="G309" t="s">
        <v>653</v>
      </c>
      <c r="H309" t="s">
        <v>682</v>
      </c>
      <c r="I309" t="s">
        <v>991</v>
      </c>
      <c r="J309" t="s">
        <v>1287</v>
      </c>
      <c r="K309">
        <v>43873</v>
      </c>
      <c r="L309">
        <v>0.047206596778317</v>
      </c>
      <c r="M309">
        <v>-0.003139052335246473</v>
      </c>
      <c r="N309">
        <v>0.055</v>
      </c>
      <c r="O309">
        <v>0.09095969281968697</v>
      </c>
      <c r="P309" t="s">
        <v>375</v>
      </c>
      <c r="Q309" t="s">
        <v>375</v>
      </c>
      <c r="R309">
        <v>16</v>
      </c>
      <c r="S309">
        <v>0.8354072398190046</v>
      </c>
      <c r="T309">
        <v>77</v>
      </c>
      <c r="U309">
        <v>1.015844155844156</v>
      </c>
      <c r="V309">
        <v>2.1388</v>
      </c>
      <c r="W309">
        <v>4.42</v>
      </c>
      <c r="X309">
        <v>3.6925</v>
      </c>
      <c r="Y309">
        <v>0.0529</v>
      </c>
      <c r="Z309">
        <v>0.5525423728813559</v>
      </c>
      <c r="AA309">
        <v>0.8109452736318409</v>
      </c>
      <c r="AB309">
        <v>0.5786423841059603</v>
      </c>
      <c r="AC309">
        <v>0.4089403973509934</v>
      </c>
      <c r="AD309">
        <v>0.4006622516556291</v>
      </c>
    </row>
    <row r="310" spans="1:30">
      <c r="A310" s="1" t="s">
        <v>317</v>
      </c>
      <c r="B310">
        <f>HYPERLINK("https://www.suredividend.com/sure-analysis-CNP/","CenterPoint Energy, Inc.")</f>
        <v>0</v>
      </c>
      <c r="C310">
        <v>16.8</v>
      </c>
      <c r="D310">
        <v>8444.6376</v>
      </c>
      <c r="E310" t="s">
        <v>646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43913</v>
      </c>
      <c r="L310">
        <v>0.06860119047619001</v>
      </c>
      <c r="M310">
        <v>-0.009710577713137658</v>
      </c>
      <c r="N310">
        <v>0.04</v>
      </c>
      <c r="O310">
        <v>0.08910181015991103</v>
      </c>
      <c r="P310" t="s">
        <v>375</v>
      </c>
      <c r="Q310" t="s">
        <v>618</v>
      </c>
      <c r="R310">
        <v>14</v>
      </c>
      <c r="S310">
        <v>0.8537037037037037</v>
      </c>
      <c r="T310">
        <v>16</v>
      </c>
      <c r="U310">
        <v>1.05</v>
      </c>
      <c r="V310">
        <v>-1.3811</v>
      </c>
      <c r="W310">
        <v>1.35</v>
      </c>
      <c r="X310">
        <v>1.1525</v>
      </c>
      <c r="Y310">
        <v>-0.429</v>
      </c>
      <c r="Z310">
        <v>0.6983050847457628</v>
      </c>
      <c r="AA310">
        <v>0.2354892205638474</v>
      </c>
      <c r="AB310">
        <v>0.3493377483443709</v>
      </c>
      <c r="AC310">
        <v>0.3890728476821192</v>
      </c>
      <c r="AD310">
        <v>0.3907284768211921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18.41</v>
      </c>
      <c r="D311">
        <v>12118.097428</v>
      </c>
      <c r="E311" t="s">
        <v>647</v>
      </c>
      <c r="F311" t="s">
        <v>613</v>
      </c>
      <c r="G311" t="s">
        <v>671</v>
      </c>
      <c r="H311" t="s">
        <v>682</v>
      </c>
      <c r="I311" t="s">
        <v>993</v>
      </c>
      <c r="J311" t="s">
        <v>1282</v>
      </c>
      <c r="K311">
        <v>43930</v>
      </c>
      <c r="L311">
        <v>0.04873307984790801</v>
      </c>
      <c r="M311">
        <v>-0.004494317661697389</v>
      </c>
      <c r="N311">
        <v>0.05</v>
      </c>
      <c r="O311">
        <v>0.08726964393559355</v>
      </c>
      <c r="P311" t="s">
        <v>375</v>
      </c>
      <c r="Q311" t="s">
        <v>618</v>
      </c>
      <c r="R311">
        <v>0</v>
      </c>
      <c r="S311">
        <v>0.4648580310880829</v>
      </c>
      <c r="T311">
        <v>18</v>
      </c>
      <c r="U311">
        <v>1.022777777777778</v>
      </c>
      <c r="V311">
        <v>1.1705</v>
      </c>
      <c r="W311">
        <v>1.93</v>
      </c>
      <c r="X311">
        <v>0.897176</v>
      </c>
      <c r="Y311">
        <v>-0.2361</v>
      </c>
      <c r="Z311">
        <v>0.5677966101694916</v>
      </c>
      <c r="AA311">
        <v>0.4693200663349917</v>
      </c>
      <c r="AB311">
        <v>0.4991721854304636</v>
      </c>
      <c r="AC311">
        <v>0.4056291390728476</v>
      </c>
      <c r="AD311">
        <v>0.3774834437086093</v>
      </c>
    </row>
    <row r="312" spans="1:30">
      <c r="A312" s="1" t="s">
        <v>319</v>
      </c>
      <c r="B312">
        <f>HYPERLINK("https://www.suredividend.com/sure-analysis-DOC/","Physicians Realty Trust")</f>
        <v>0</v>
      </c>
      <c r="C312">
        <v>15.23</v>
      </c>
      <c r="D312">
        <v>3084.97357</v>
      </c>
      <c r="E312" t="s">
        <v>642</v>
      </c>
      <c r="F312" t="s">
        <v>614</v>
      </c>
      <c r="G312" t="s">
        <v>653</v>
      </c>
      <c r="H312" t="s">
        <v>682</v>
      </c>
      <c r="I312" t="s">
        <v>994</v>
      </c>
      <c r="J312" t="s">
        <v>1281</v>
      </c>
      <c r="K312">
        <v>43961</v>
      </c>
      <c r="L312">
        <v>0.06040709126723501</v>
      </c>
      <c r="M312">
        <v>0.02223278051471511</v>
      </c>
      <c r="N312">
        <v>0.017</v>
      </c>
      <c r="O312">
        <v>0.08683473167858358</v>
      </c>
      <c r="P312" t="s">
        <v>375</v>
      </c>
      <c r="Q312" t="s">
        <v>375</v>
      </c>
      <c r="R312">
        <v>0</v>
      </c>
      <c r="S312">
        <v>0.8363636363636363</v>
      </c>
      <c r="T312">
        <v>17</v>
      </c>
      <c r="U312">
        <v>0.8958823529411765</v>
      </c>
      <c r="V312">
        <v>0.4046</v>
      </c>
      <c r="W312">
        <v>1.1</v>
      </c>
      <c r="X312">
        <v>0.92</v>
      </c>
      <c r="Y312">
        <v>-0.1705</v>
      </c>
      <c r="Z312">
        <v>0.6576271186440679</v>
      </c>
      <c r="AA312">
        <v>0.5655058043117744</v>
      </c>
      <c r="AB312">
        <v>0.08526490066225165</v>
      </c>
      <c r="AC312">
        <v>0.5529801324503311</v>
      </c>
      <c r="AD312">
        <v>0.3725165562913907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155.64</v>
      </c>
      <c r="D313">
        <v>22960.94664</v>
      </c>
      <c r="E313" t="s">
        <v>642</v>
      </c>
      <c r="F313" t="s">
        <v>613</v>
      </c>
      <c r="G313" t="s">
        <v>653</v>
      </c>
      <c r="H313" t="s">
        <v>682</v>
      </c>
      <c r="I313" t="s">
        <v>995</v>
      </c>
      <c r="J313" t="s">
        <v>1278</v>
      </c>
      <c r="K313">
        <v>43949</v>
      </c>
      <c r="L313">
        <v>0.032594448727833</v>
      </c>
      <c r="M313">
        <v>-0.02236055542210091</v>
      </c>
      <c r="N313">
        <v>0.08</v>
      </c>
      <c r="O313">
        <v>0.08557051360789214</v>
      </c>
      <c r="P313" t="s">
        <v>375</v>
      </c>
      <c r="Q313" t="s">
        <v>316</v>
      </c>
      <c r="R313">
        <v>14</v>
      </c>
      <c r="S313">
        <v>0.7278335724533717</v>
      </c>
      <c r="T313">
        <v>139</v>
      </c>
      <c r="U313">
        <v>1.119712230215827</v>
      </c>
      <c r="V313">
        <v>13.681</v>
      </c>
      <c r="W313">
        <v>6.97</v>
      </c>
      <c r="X313">
        <v>5.073</v>
      </c>
      <c r="Y313">
        <v>-0.0358</v>
      </c>
      <c r="Z313">
        <v>0.3847457627118644</v>
      </c>
      <c r="AA313">
        <v>0.7330016583747927</v>
      </c>
      <c r="AB313">
        <v>0.8038079470198676</v>
      </c>
      <c r="AC313">
        <v>0.3195364238410596</v>
      </c>
      <c r="AD313">
        <v>0.3658940397350993</v>
      </c>
    </row>
    <row r="314" spans="1:30">
      <c r="A314" s="1" t="s">
        <v>321</v>
      </c>
      <c r="B314">
        <f>HYPERLINK("https://www.suredividend.com/sure-analysis-TXN/","Texas Instruments Incorporated")</f>
        <v>0</v>
      </c>
      <c r="C314">
        <v>108.24</v>
      </c>
      <c r="D314">
        <v>99339.74952</v>
      </c>
      <c r="E314" t="s">
        <v>643</v>
      </c>
      <c r="F314" t="s">
        <v>613</v>
      </c>
      <c r="G314" t="s">
        <v>653</v>
      </c>
      <c r="H314" t="s">
        <v>683</v>
      </c>
      <c r="I314" t="s">
        <v>996</v>
      </c>
      <c r="J314" t="s">
        <v>1286</v>
      </c>
      <c r="K314">
        <v>43945</v>
      </c>
      <c r="L314">
        <v>0.030857354028085</v>
      </c>
      <c r="M314">
        <v>-0.02575729095680446</v>
      </c>
      <c r="N314">
        <v>0.08</v>
      </c>
      <c r="O314">
        <v>0.08542223842443475</v>
      </c>
      <c r="P314" t="s">
        <v>375</v>
      </c>
      <c r="Q314" t="s">
        <v>375</v>
      </c>
      <c r="R314">
        <v>16</v>
      </c>
      <c r="S314">
        <v>0.6549019607843137</v>
      </c>
      <c r="T314">
        <v>95</v>
      </c>
      <c r="U314">
        <v>1.139368421052632</v>
      </c>
      <c r="V314">
        <v>5.2883</v>
      </c>
      <c r="W314">
        <v>5.1</v>
      </c>
      <c r="X314">
        <v>3.34</v>
      </c>
      <c r="Y314">
        <v>-0.0186</v>
      </c>
      <c r="Z314">
        <v>0.3610169491525423</v>
      </c>
      <c r="AA314">
        <v>0.7529021558872305</v>
      </c>
      <c r="AB314">
        <v>0.8038079470198676</v>
      </c>
      <c r="AC314">
        <v>0.2996688741721855</v>
      </c>
      <c r="AD314">
        <v>0.3642384105960265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8.42</v>
      </c>
      <c r="D315">
        <v>25739.464977</v>
      </c>
      <c r="E315" t="s">
        <v>644</v>
      </c>
      <c r="F315" t="s">
        <v>613</v>
      </c>
      <c r="G315" t="s">
        <v>672</v>
      </c>
      <c r="H315" t="s">
        <v>683</v>
      </c>
      <c r="I315" t="s">
        <v>997</v>
      </c>
      <c r="J315" t="s">
        <v>1286</v>
      </c>
      <c r="K315">
        <v>43955</v>
      </c>
      <c r="L315">
        <v>0.005618764845605</v>
      </c>
      <c r="M315">
        <v>-0.002866745704752316</v>
      </c>
      <c r="N315">
        <v>0.08</v>
      </c>
      <c r="O315">
        <v>0.08540945739228101</v>
      </c>
      <c r="P315" t="s">
        <v>375</v>
      </c>
      <c r="Q315" t="s">
        <v>516</v>
      </c>
      <c r="R315">
        <v>0</v>
      </c>
      <c r="S315">
        <v>0.09098076923076924</v>
      </c>
      <c r="T315">
        <v>8.300000000000001</v>
      </c>
      <c r="U315">
        <v>1.014457831325301</v>
      </c>
      <c r="V315">
        <v>0.0738</v>
      </c>
      <c r="W315">
        <v>0.52</v>
      </c>
      <c r="X315">
        <v>0.04731</v>
      </c>
      <c r="Y315">
        <v>-0.0848</v>
      </c>
      <c r="Z315">
        <v>0.01694915254237288</v>
      </c>
      <c r="AA315">
        <v>0.693200663349917</v>
      </c>
      <c r="AB315">
        <v>0.8038079470198676</v>
      </c>
      <c r="AC315">
        <v>0.4105960264900662</v>
      </c>
      <c r="AD315">
        <v>0.3625827814569537</v>
      </c>
    </row>
    <row r="316" spans="1:30">
      <c r="A316" s="1" t="s">
        <v>323</v>
      </c>
      <c r="B316">
        <f>HYPERLINK("https://www.suredividend.com/sure-analysis-RCI/","Rogers Communications, Inc.")</f>
        <v>0</v>
      </c>
      <c r="C316">
        <v>39.09</v>
      </c>
      <c r="D316">
        <v>19737.55734</v>
      </c>
      <c r="E316" t="s">
        <v>644</v>
      </c>
      <c r="F316" t="s">
        <v>613</v>
      </c>
      <c r="G316" t="s">
        <v>659</v>
      </c>
      <c r="H316" t="s">
        <v>682</v>
      </c>
      <c r="I316" t="s">
        <v>998</v>
      </c>
      <c r="J316" t="s">
        <v>1282</v>
      </c>
      <c r="K316">
        <v>43957</v>
      </c>
      <c r="L316">
        <v>0.05116398055768701</v>
      </c>
      <c r="M316">
        <v>-0.01633466675401973</v>
      </c>
      <c r="N316">
        <v>0.07000000000000001</v>
      </c>
      <c r="O316">
        <v>0.0847033052810553</v>
      </c>
      <c r="P316" t="s">
        <v>375</v>
      </c>
      <c r="Q316" t="s">
        <v>375</v>
      </c>
      <c r="R316">
        <v>0</v>
      </c>
      <c r="S316">
        <v>0.8333333333333334</v>
      </c>
      <c r="T316">
        <v>36</v>
      </c>
      <c r="U316">
        <v>1.085833333333333</v>
      </c>
      <c r="V316">
        <v>2.9563</v>
      </c>
      <c r="W316">
        <v>2.4</v>
      </c>
      <c r="X316">
        <v>2</v>
      </c>
      <c r="Y316">
        <v>-0.2322</v>
      </c>
      <c r="Z316">
        <v>0.5881355932203389</v>
      </c>
      <c r="AA316">
        <v>0.472636815920398</v>
      </c>
      <c r="AB316">
        <v>0.7259933774834437</v>
      </c>
      <c r="AC316">
        <v>0.3460264900662252</v>
      </c>
      <c r="AD316">
        <v>0.3543046357615894</v>
      </c>
    </row>
    <row r="317" spans="1:30">
      <c r="A317" s="1" t="s">
        <v>324</v>
      </c>
      <c r="B317">
        <f>HYPERLINK("https://www.suredividend.com/sure-analysis-CBRL/","Cracker Barrel Old Country Store, Inc.")</f>
        <v>0</v>
      </c>
      <c r="C317">
        <v>87.45</v>
      </c>
      <c r="D317">
        <v>2093.81535</v>
      </c>
      <c r="E317" t="s">
        <v>646</v>
      </c>
      <c r="F317" t="s">
        <v>613</v>
      </c>
      <c r="G317" t="s">
        <v>653</v>
      </c>
      <c r="H317" t="s">
        <v>683</v>
      </c>
      <c r="I317" t="s">
        <v>999</v>
      </c>
      <c r="J317" t="s">
        <v>1279</v>
      </c>
      <c r="K317">
        <v>43916</v>
      </c>
      <c r="L317">
        <v>0.058890794739851</v>
      </c>
      <c r="M317">
        <v>-0.09874288567895528</v>
      </c>
      <c r="N317">
        <v>0.151</v>
      </c>
      <c r="O317">
        <v>0.08372279795236781</v>
      </c>
      <c r="P317" t="s">
        <v>375</v>
      </c>
      <c r="Q317" t="s">
        <v>375</v>
      </c>
      <c r="R317">
        <v>17</v>
      </c>
      <c r="S317">
        <v>0.9903846153846154</v>
      </c>
      <c r="T317">
        <v>52</v>
      </c>
      <c r="U317">
        <v>1.681730769230769</v>
      </c>
      <c r="V317">
        <v>9.1533</v>
      </c>
      <c r="W317">
        <v>5.2</v>
      </c>
      <c r="X317">
        <v>5.15</v>
      </c>
      <c r="Y317">
        <v>-0.4751</v>
      </c>
      <c r="Z317">
        <v>0.647457627118644</v>
      </c>
      <c r="AA317">
        <v>0.1923714759535655</v>
      </c>
      <c r="AB317">
        <v>0.9718543046357615</v>
      </c>
      <c r="AC317">
        <v>0.05629139072847682</v>
      </c>
      <c r="AD317">
        <v>0.347682119205298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150.35</v>
      </c>
      <c r="D318">
        <v>21158.90585</v>
      </c>
      <c r="E318" t="s">
        <v>646</v>
      </c>
      <c r="F318" t="s">
        <v>614</v>
      </c>
      <c r="G318" t="s">
        <v>653</v>
      </c>
      <c r="H318" t="s">
        <v>682</v>
      </c>
      <c r="I318" t="s">
        <v>1000</v>
      </c>
      <c r="J318" t="s">
        <v>1281</v>
      </c>
      <c r="K318">
        <v>43963</v>
      </c>
      <c r="L318">
        <v>0.040904556035916</v>
      </c>
      <c r="M318">
        <v>0.01503803546844651</v>
      </c>
      <c r="N318">
        <v>0.031</v>
      </c>
      <c r="O318">
        <v>0.08300524121181074</v>
      </c>
      <c r="P318" t="s">
        <v>375</v>
      </c>
      <c r="Q318" t="s">
        <v>375</v>
      </c>
      <c r="R318">
        <v>8</v>
      </c>
      <c r="S318">
        <v>0.6833333333333333</v>
      </c>
      <c r="T318">
        <v>162</v>
      </c>
      <c r="U318">
        <v>0.9280864197530864</v>
      </c>
      <c r="V318">
        <v>5.6023</v>
      </c>
      <c r="W318">
        <v>9</v>
      </c>
      <c r="X318">
        <v>6.15</v>
      </c>
      <c r="Y318">
        <v>-0.2509</v>
      </c>
      <c r="Z318">
        <v>0.476271186440678</v>
      </c>
      <c r="AA318">
        <v>0.451077943615257</v>
      </c>
      <c r="AB318">
        <v>0.2549668874172186</v>
      </c>
      <c r="AC318">
        <v>0.5082781456953642</v>
      </c>
      <c r="AD318">
        <v>0.3427152317880794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24.51</v>
      </c>
      <c r="D319">
        <v>18842.40564</v>
      </c>
      <c r="E319" t="s">
        <v>642</v>
      </c>
      <c r="F319" t="s">
        <v>613</v>
      </c>
      <c r="G319" t="s">
        <v>653</v>
      </c>
      <c r="H319" t="s">
        <v>682</v>
      </c>
      <c r="I319" t="s">
        <v>1001</v>
      </c>
      <c r="J319" t="s">
        <v>1287</v>
      </c>
      <c r="K319">
        <v>43960</v>
      </c>
      <c r="L319">
        <v>0.067421460628314</v>
      </c>
      <c r="M319">
        <v>0.003966772362733462</v>
      </c>
      <c r="N319">
        <v>0.02</v>
      </c>
      <c r="O319">
        <v>0.08234191758090881</v>
      </c>
      <c r="P319" t="s">
        <v>375</v>
      </c>
      <c r="Q319" t="s">
        <v>618</v>
      </c>
      <c r="R319">
        <v>19</v>
      </c>
      <c r="S319">
        <v>0.661</v>
      </c>
      <c r="T319">
        <v>25</v>
      </c>
      <c r="U319">
        <v>0.9804</v>
      </c>
      <c r="V319">
        <v>2.4752</v>
      </c>
      <c r="W319">
        <v>2.5</v>
      </c>
      <c r="X319">
        <v>1.6525</v>
      </c>
      <c r="Y319">
        <v>-0.2003</v>
      </c>
      <c r="Z319">
        <v>0.6898305084745764</v>
      </c>
      <c r="AA319">
        <v>0.5240464344941956</v>
      </c>
      <c r="AB319">
        <v>0.1274834437086093</v>
      </c>
      <c r="AC319">
        <v>0.445364238410596</v>
      </c>
      <c r="AD319">
        <v>0.3410596026490066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52.54</v>
      </c>
      <c r="D320">
        <v>55480.1384</v>
      </c>
      <c r="E320" t="s">
        <v>644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43954</v>
      </c>
      <c r="L320">
        <v>0.05938332698896</v>
      </c>
      <c r="M320">
        <v>-0.002064079986266343</v>
      </c>
      <c r="N320">
        <v>0.04</v>
      </c>
      <c r="O320">
        <v>0.07984344435040569</v>
      </c>
      <c r="P320" t="s">
        <v>375</v>
      </c>
      <c r="Q320" t="s">
        <v>375</v>
      </c>
      <c r="R320">
        <v>19</v>
      </c>
      <c r="S320">
        <v>0.975</v>
      </c>
      <c r="T320">
        <v>52</v>
      </c>
      <c r="U320">
        <v>1.010384615384615</v>
      </c>
      <c r="V320">
        <v>3.3478</v>
      </c>
      <c r="W320">
        <v>3.2</v>
      </c>
      <c r="X320">
        <v>3.12</v>
      </c>
      <c r="Y320">
        <v>-0.0205</v>
      </c>
      <c r="Z320">
        <v>0.6508474576271186</v>
      </c>
      <c r="AA320">
        <v>0.7512437810945274</v>
      </c>
      <c r="AB320">
        <v>0.3493377483443709</v>
      </c>
      <c r="AC320">
        <v>0.4139072847682119</v>
      </c>
      <c r="AD320">
        <v>0.3294701986754967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81.19</v>
      </c>
      <c r="D321">
        <v>59662.71507</v>
      </c>
      <c r="E321" t="s">
        <v>646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43916</v>
      </c>
      <c r="L321">
        <v>0.04634191402882101</v>
      </c>
      <c r="M321">
        <v>-0.005453919961769582</v>
      </c>
      <c r="N321">
        <v>0.04</v>
      </c>
      <c r="O321">
        <v>0.07612194727386412</v>
      </c>
      <c r="P321" t="s">
        <v>375</v>
      </c>
      <c r="Q321" t="s">
        <v>375</v>
      </c>
      <c r="R321">
        <v>9</v>
      </c>
      <c r="S321">
        <v>0.7166666666666667</v>
      </c>
      <c r="T321">
        <v>79</v>
      </c>
      <c r="U321">
        <v>1.027721518987342</v>
      </c>
      <c r="V321">
        <v>5.0756</v>
      </c>
      <c r="W321">
        <v>5.25</v>
      </c>
      <c r="X321">
        <v>3.7625</v>
      </c>
      <c r="Y321">
        <v>-0.0645</v>
      </c>
      <c r="Z321">
        <v>0.5474576271186441</v>
      </c>
      <c r="AA321">
        <v>0.7081260364842454</v>
      </c>
      <c r="AB321">
        <v>0.3493377483443709</v>
      </c>
      <c r="AC321">
        <v>0.4039735099337748</v>
      </c>
      <c r="AD321">
        <v>0.3129139072847682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167.43</v>
      </c>
      <c r="D322">
        <v>25959.85407</v>
      </c>
      <c r="E322" t="s">
        <v>643</v>
      </c>
      <c r="F322" t="s">
        <v>613</v>
      </c>
      <c r="G322" t="s">
        <v>653</v>
      </c>
      <c r="H322" t="s">
        <v>683</v>
      </c>
      <c r="I322" t="s">
        <v>1004</v>
      </c>
      <c r="J322" t="s">
        <v>1286</v>
      </c>
      <c r="K322">
        <v>43870</v>
      </c>
      <c r="L322">
        <v>0.019112464910708</v>
      </c>
      <c r="M322">
        <v>-0.03105181836070581</v>
      </c>
      <c r="N322">
        <v>0.08500000000000001</v>
      </c>
      <c r="O322">
        <v>0.07275439751676882</v>
      </c>
      <c r="P322" t="s">
        <v>375</v>
      </c>
      <c r="Q322" t="s">
        <v>516</v>
      </c>
      <c r="R322">
        <v>10</v>
      </c>
      <c r="S322">
        <v>0.3137254901960785</v>
      </c>
      <c r="T322">
        <v>143</v>
      </c>
      <c r="U322">
        <v>1.170839160839161</v>
      </c>
      <c r="V322">
        <v>6.4626</v>
      </c>
      <c r="W322">
        <v>10.2</v>
      </c>
      <c r="X322">
        <v>3.2</v>
      </c>
      <c r="Y322">
        <v>0.5173</v>
      </c>
      <c r="Z322">
        <v>0.176271186440678</v>
      </c>
      <c r="AA322">
        <v>0.9817578772802653</v>
      </c>
      <c r="AB322">
        <v>0.837748344370861</v>
      </c>
      <c r="AC322">
        <v>0.2682119205298014</v>
      </c>
      <c r="AD322">
        <v>0.2947019867549669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51.21</v>
      </c>
      <c r="D323">
        <v>59507.852601</v>
      </c>
      <c r="E323" t="s">
        <v>644</v>
      </c>
      <c r="F323" t="s">
        <v>613</v>
      </c>
      <c r="G323" t="s">
        <v>654</v>
      </c>
      <c r="H323" t="s">
        <v>682</v>
      </c>
      <c r="I323" t="s">
        <v>1005</v>
      </c>
      <c r="J323" t="s">
        <v>1285</v>
      </c>
      <c r="K323">
        <v>43949</v>
      </c>
      <c r="L323">
        <v>0.035264596758445</v>
      </c>
      <c r="M323">
        <v>-0.02552310230124999</v>
      </c>
      <c r="N323">
        <v>0.06</v>
      </c>
      <c r="O323">
        <v>0.06594639134584868</v>
      </c>
      <c r="P323" t="s">
        <v>375</v>
      </c>
      <c r="Q323" t="s">
        <v>316</v>
      </c>
      <c r="R323">
        <v>4</v>
      </c>
      <c r="S323">
        <v>0.72236</v>
      </c>
      <c r="T323">
        <v>45</v>
      </c>
      <c r="U323">
        <v>1.138</v>
      </c>
      <c r="V323">
        <v>2.4082</v>
      </c>
      <c r="W323">
        <v>2.5</v>
      </c>
      <c r="X323">
        <v>1.8059</v>
      </c>
      <c r="Y323">
        <v>-0.1514</v>
      </c>
      <c r="Z323">
        <v>0.4067796610169491</v>
      </c>
      <c r="AA323">
        <v>0.6069651741293532</v>
      </c>
      <c r="AB323">
        <v>0.6341059602649007</v>
      </c>
      <c r="AC323">
        <v>0.3029801324503311</v>
      </c>
      <c r="AD323">
        <v>0.2632450331125828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158.49</v>
      </c>
      <c r="D324">
        <v>30562.946446</v>
      </c>
      <c r="E324" t="s">
        <v>641</v>
      </c>
      <c r="F324" t="s">
        <v>613</v>
      </c>
      <c r="G324" t="s">
        <v>653</v>
      </c>
      <c r="H324" t="s">
        <v>682</v>
      </c>
      <c r="I324" t="s">
        <v>1006</v>
      </c>
      <c r="J324" t="s">
        <v>1285</v>
      </c>
      <c r="K324">
        <v>43930</v>
      </c>
      <c r="L324">
        <v>0.018928639030853</v>
      </c>
      <c r="M324">
        <v>-0.007025917709904017</v>
      </c>
      <c r="N324">
        <v>0.05</v>
      </c>
      <c r="O324">
        <v>0.0608122036756078</v>
      </c>
      <c r="P324" t="s">
        <v>375</v>
      </c>
      <c r="Q324" t="s">
        <v>516</v>
      </c>
      <c r="R324">
        <v>4</v>
      </c>
      <c r="S324">
        <v>0.3529411764705883</v>
      </c>
      <c r="T324">
        <v>153</v>
      </c>
      <c r="U324">
        <v>1.035882352941176</v>
      </c>
      <c r="V324">
        <v>-0.0665</v>
      </c>
      <c r="W324">
        <v>8.5</v>
      </c>
      <c r="X324">
        <v>3</v>
      </c>
      <c r="Y324">
        <v>-0.2268</v>
      </c>
      <c r="Z324">
        <v>0.1728813559322034</v>
      </c>
      <c r="AA324">
        <v>0.4809286898839137</v>
      </c>
      <c r="AB324">
        <v>0.4991721854304636</v>
      </c>
      <c r="AC324">
        <v>0.3973509933774835</v>
      </c>
      <c r="AD324">
        <v>0.2483443708609272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78.43000000000001</v>
      </c>
      <c r="D325">
        <v>38868.57469</v>
      </c>
      <c r="E325" t="s">
        <v>646</v>
      </c>
      <c r="F325" t="s">
        <v>613</v>
      </c>
      <c r="G325" t="s">
        <v>653</v>
      </c>
      <c r="H325" t="s">
        <v>682</v>
      </c>
      <c r="I325" t="s">
        <v>1007</v>
      </c>
      <c r="J325" t="s">
        <v>1287</v>
      </c>
      <c r="K325">
        <v>43914</v>
      </c>
      <c r="L325">
        <v>0.035318118067066</v>
      </c>
      <c r="M325">
        <v>-0.01970852300699721</v>
      </c>
      <c r="N325">
        <v>0.045</v>
      </c>
      <c r="O325">
        <v>0.0585597273431393</v>
      </c>
      <c r="P325" t="s">
        <v>375</v>
      </c>
      <c r="Q325" t="s">
        <v>375</v>
      </c>
      <c r="R325">
        <v>10</v>
      </c>
      <c r="S325">
        <v>0.6610978520286396</v>
      </c>
      <c r="T325">
        <v>71</v>
      </c>
      <c r="U325">
        <v>1.104647887323944</v>
      </c>
      <c r="V325">
        <v>3.7318</v>
      </c>
      <c r="W325">
        <v>4.19</v>
      </c>
      <c r="X325">
        <v>2.77</v>
      </c>
      <c r="Y325">
        <v>-0.07780000000000001</v>
      </c>
      <c r="Z325">
        <v>0.4101694915254238</v>
      </c>
      <c r="AA325">
        <v>0.7014925373134328</v>
      </c>
      <c r="AB325">
        <v>0.4155629139072847</v>
      </c>
      <c r="AC325">
        <v>0.3344370860927153</v>
      </c>
      <c r="AD325">
        <v>0.2350993377483444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75.77</v>
      </c>
      <c r="D326">
        <v>85235.9461</v>
      </c>
      <c r="E326" t="s">
        <v>642</v>
      </c>
      <c r="F326" t="s">
        <v>613</v>
      </c>
      <c r="G326" t="s">
        <v>653</v>
      </c>
      <c r="H326" t="s">
        <v>683</v>
      </c>
      <c r="I326" t="s">
        <v>1008</v>
      </c>
      <c r="J326" t="s">
        <v>1286</v>
      </c>
      <c r="K326">
        <v>43951</v>
      </c>
      <c r="L326">
        <v>0.032730632176323</v>
      </c>
      <c r="M326">
        <v>-0.04559920455098532</v>
      </c>
      <c r="N326">
        <v>0.07000000000000001</v>
      </c>
      <c r="O326">
        <v>0.0574021779955971</v>
      </c>
      <c r="P326" t="s">
        <v>375</v>
      </c>
      <c r="Q326" t="s">
        <v>375</v>
      </c>
      <c r="R326">
        <v>18</v>
      </c>
      <c r="S326">
        <v>0.6424870466321244</v>
      </c>
      <c r="T326">
        <v>60</v>
      </c>
      <c r="U326">
        <v>1.262833333333333</v>
      </c>
      <c r="V326">
        <v>3.4122</v>
      </c>
      <c r="W326">
        <v>3.86</v>
      </c>
      <c r="X326">
        <v>2.48</v>
      </c>
      <c r="Y326">
        <v>-0.1216</v>
      </c>
      <c r="Z326">
        <v>0.3864406779661017</v>
      </c>
      <c r="AA326">
        <v>0.6500829187396352</v>
      </c>
      <c r="AB326">
        <v>0.7259933774834437</v>
      </c>
      <c r="AC326">
        <v>0.2036423841059603</v>
      </c>
      <c r="AD326">
        <v>0.2317880794701987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278.94</v>
      </c>
      <c r="D327">
        <v>280067.19654</v>
      </c>
      <c r="E327" t="s">
        <v>642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43950</v>
      </c>
      <c r="L327">
        <v>0.00523410052341</v>
      </c>
      <c r="M327">
        <v>-0.08798837472636123</v>
      </c>
      <c r="N327">
        <v>0.15</v>
      </c>
      <c r="O327">
        <v>0.05606628445385731</v>
      </c>
      <c r="P327" t="s">
        <v>375</v>
      </c>
      <c r="Q327" t="s">
        <v>516</v>
      </c>
      <c r="R327">
        <v>8</v>
      </c>
      <c r="S327">
        <v>0.199181446111869</v>
      </c>
      <c r="T327">
        <v>176</v>
      </c>
      <c r="U327">
        <v>1.584886363636364</v>
      </c>
      <c r="V327">
        <v>7.8567</v>
      </c>
      <c r="W327">
        <v>7.33</v>
      </c>
      <c r="X327">
        <v>1.46</v>
      </c>
      <c r="Y327">
        <v>0.1196</v>
      </c>
      <c r="Z327">
        <v>0.0135593220338983</v>
      </c>
      <c r="AA327">
        <v>0.8640132669983416</v>
      </c>
      <c r="AB327">
        <v>0.9660596026490066</v>
      </c>
      <c r="AC327">
        <v>0.07615894039735099</v>
      </c>
      <c r="AD327">
        <v>0.2235099337748344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183.49</v>
      </c>
      <c r="D328">
        <v>356541.2539</v>
      </c>
      <c r="E328" t="s">
        <v>641</v>
      </c>
      <c r="F328" t="s">
        <v>613</v>
      </c>
      <c r="G328" t="s">
        <v>653</v>
      </c>
      <c r="H328" t="s">
        <v>682</v>
      </c>
      <c r="I328" t="s">
        <v>1010</v>
      </c>
      <c r="J328" t="s">
        <v>1277</v>
      </c>
      <c r="K328">
        <v>43958</v>
      </c>
      <c r="L328">
        <v>0.005994877105019</v>
      </c>
      <c r="M328">
        <v>-0.08606629872742799</v>
      </c>
      <c r="N328">
        <v>0.14</v>
      </c>
      <c r="O328">
        <v>0.05059166492243605</v>
      </c>
      <c r="P328" t="s">
        <v>375</v>
      </c>
      <c r="Q328" t="s">
        <v>516</v>
      </c>
      <c r="R328">
        <v>12</v>
      </c>
      <c r="S328">
        <v>0.2075471698113208</v>
      </c>
      <c r="T328">
        <v>117</v>
      </c>
      <c r="U328">
        <v>1.568290598290598</v>
      </c>
      <c r="V328">
        <v>5.5661</v>
      </c>
      <c r="W328">
        <v>5.3</v>
      </c>
      <c r="X328">
        <v>1.1</v>
      </c>
      <c r="Y328">
        <v>0.1272</v>
      </c>
      <c r="Z328">
        <v>0.01864406779661017</v>
      </c>
      <c r="AA328">
        <v>0.8673300165837479</v>
      </c>
      <c r="AB328">
        <v>0.9495033112582781</v>
      </c>
      <c r="AC328">
        <v>0.08278145695364238</v>
      </c>
      <c r="AD328">
        <v>0.2102649006622516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150.14</v>
      </c>
      <c r="D329">
        <v>62570.99514</v>
      </c>
      <c r="E329" t="s">
        <v>649</v>
      </c>
      <c r="F329" t="s">
        <v>614</v>
      </c>
      <c r="G329" t="s">
        <v>653</v>
      </c>
      <c r="H329" t="s">
        <v>682</v>
      </c>
      <c r="I329" t="s">
        <v>1011</v>
      </c>
      <c r="J329" t="s">
        <v>1281</v>
      </c>
      <c r="K329">
        <v>43891</v>
      </c>
      <c r="L329">
        <v>0.03097109364593</v>
      </c>
      <c r="M329">
        <v>-0.03140390987390207</v>
      </c>
      <c r="N329">
        <v>0.05</v>
      </c>
      <c r="O329">
        <v>0.04956472038040705</v>
      </c>
      <c r="P329" t="s">
        <v>375</v>
      </c>
      <c r="Q329" t="s">
        <v>316</v>
      </c>
      <c r="R329">
        <v>5</v>
      </c>
      <c r="S329">
        <v>0.7622950819672132</v>
      </c>
      <c r="T329">
        <v>128</v>
      </c>
      <c r="U329">
        <v>1.17296875</v>
      </c>
      <c r="V329">
        <v>1.9207</v>
      </c>
      <c r="W329">
        <v>6.1</v>
      </c>
      <c r="X329">
        <v>4.65</v>
      </c>
      <c r="Y329">
        <v>0.18</v>
      </c>
      <c r="Z329">
        <v>0.3627118644067797</v>
      </c>
      <c r="AA329">
        <v>0.9038142620232172</v>
      </c>
      <c r="AB329">
        <v>0.4991721854304636</v>
      </c>
      <c r="AC329">
        <v>0.2665562913907285</v>
      </c>
      <c r="AD329">
        <v>0.2052980132450331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47.86</v>
      </c>
      <c r="D330">
        <v>14773.215317</v>
      </c>
      <c r="E330" t="s">
        <v>644</v>
      </c>
      <c r="F330" t="s">
        <v>615</v>
      </c>
      <c r="G330" t="s">
        <v>660</v>
      </c>
      <c r="H330" t="s">
        <v>682</v>
      </c>
      <c r="I330" t="s">
        <v>1012</v>
      </c>
      <c r="J330" t="s">
        <v>1287</v>
      </c>
      <c r="K330">
        <v>43871</v>
      </c>
      <c r="L330">
        <v>0.043791684990702</v>
      </c>
      <c r="M330">
        <v>-0.05536080516798625</v>
      </c>
      <c r="N330">
        <v>0.06</v>
      </c>
      <c r="O330">
        <v>0.0487192802781331</v>
      </c>
      <c r="P330" t="s">
        <v>375</v>
      </c>
      <c r="Q330" t="s">
        <v>375</v>
      </c>
      <c r="R330">
        <v>10</v>
      </c>
      <c r="S330">
        <v>0.8061038629442423</v>
      </c>
      <c r="T330">
        <v>36</v>
      </c>
      <c r="U330">
        <v>1.329444444444444</v>
      </c>
      <c r="V330">
        <v>-0.2738</v>
      </c>
      <c r="W330">
        <v>2.6</v>
      </c>
      <c r="X330">
        <v>2.09587004365503</v>
      </c>
      <c r="Y330">
        <v>0.5069</v>
      </c>
      <c r="Z330">
        <v>0.5118644067796611</v>
      </c>
      <c r="AA330">
        <v>0.9800995024875622</v>
      </c>
      <c r="AB330">
        <v>0.6341059602649007</v>
      </c>
      <c r="AC330">
        <v>0.173841059602649</v>
      </c>
      <c r="AD330">
        <v>0.2019867549668874</v>
      </c>
    </row>
    <row r="331" spans="1:30">
      <c r="A331" s="1" t="s">
        <v>338</v>
      </c>
      <c r="B331">
        <f>HYPERLINK("https://www.suredividend.com/sure-analysis-PCAR/","PACCAR, Inc.")</f>
        <v>0</v>
      </c>
      <c r="C331">
        <v>66.83</v>
      </c>
      <c r="D331">
        <v>23104.93541</v>
      </c>
      <c r="E331" t="s">
        <v>641</v>
      </c>
      <c r="F331" t="s">
        <v>613</v>
      </c>
      <c r="G331" t="s">
        <v>653</v>
      </c>
      <c r="H331" t="s">
        <v>683</v>
      </c>
      <c r="I331" t="s">
        <v>1013</v>
      </c>
      <c r="J331" t="s">
        <v>1278</v>
      </c>
      <c r="K331">
        <v>43944</v>
      </c>
      <c r="L331">
        <v>0.019153074966332</v>
      </c>
      <c r="M331">
        <v>-0.07198013205978226</v>
      </c>
      <c r="N331">
        <v>0.1</v>
      </c>
      <c r="O331">
        <v>0.04834070201044227</v>
      </c>
      <c r="P331" t="s">
        <v>375</v>
      </c>
      <c r="Q331" t="s">
        <v>516</v>
      </c>
      <c r="R331">
        <v>10</v>
      </c>
      <c r="S331">
        <v>0.3657142857142857</v>
      </c>
      <c r="T331">
        <v>46</v>
      </c>
      <c r="U331">
        <v>1.452826086956522</v>
      </c>
      <c r="V331">
        <v>6.1082</v>
      </c>
      <c r="W331">
        <v>3.5</v>
      </c>
      <c r="X331">
        <v>1.28</v>
      </c>
      <c r="Y331">
        <v>-0.0338</v>
      </c>
      <c r="Z331">
        <v>0.1779661016949153</v>
      </c>
      <c r="AA331">
        <v>0.734660033167496</v>
      </c>
      <c r="AB331">
        <v>0.8981788079470199</v>
      </c>
      <c r="AC331">
        <v>0.1175496688741722</v>
      </c>
      <c r="AD331">
        <v>0.2003311258278146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62.49</v>
      </c>
      <c r="D332">
        <v>37877.62611</v>
      </c>
      <c r="E332" t="s">
        <v>644</v>
      </c>
      <c r="F332" t="s">
        <v>613</v>
      </c>
      <c r="G332" t="s">
        <v>653</v>
      </c>
      <c r="H332" t="s">
        <v>682</v>
      </c>
      <c r="I332" t="s">
        <v>1014</v>
      </c>
      <c r="J332" t="s">
        <v>1285</v>
      </c>
      <c r="K332">
        <v>43913</v>
      </c>
      <c r="L332">
        <v>0.031365018402944</v>
      </c>
      <c r="M332">
        <v>-0.01142801840309215</v>
      </c>
      <c r="N332">
        <v>0.03</v>
      </c>
      <c r="O332">
        <v>0.04681975020718077</v>
      </c>
      <c r="P332" t="s">
        <v>375</v>
      </c>
      <c r="Q332" t="s">
        <v>316</v>
      </c>
      <c r="R332">
        <v>0</v>
      </c>
      <c r="S332">
        <v>0.5599999999999999</v>
      </c>
      <c r="T332">
        <v>59</v>
      </c>
      <c r="U332">
        <v>1.059152542372881</v>
      </c>
      <c r="V332">
        <v>3.5068</v>
      </c>
      <c r="W332">
        <v>3.5</v>
      </c>
      <c r="X332">
        <v>1.96</v>
      </c>
      <c r="Y332">
        <v>0.1923</v>
      </c>
      <c r="Z332">
        <v>0.3677966101694916</v>
      </c>
      <c r="AA332">
        <v>0.9104477611940298</v>
      </c>
      <c r="AB332">
        <v>0.2144039735099338</v>
      </c>
      <c r="AC332">
        <v>0.3791390728476822</v>
      </c>
      <c r="AD332">
        <v>0.1937086092715232</v>
      </c>
    </row>
    <row r="333" spans="1:30">
      <c r="A333" s="1" t="s">
        <v>340</v>
      </c>
      <c r="B333">
        <f>HYPERLINK("https://www.suredividend.com/sure-analysis-DLR/","Digital Realty Trust, Inc.")</f>
        <v>0</v>
      </c>
      <c r="C333">
        <v>130.77</v>
      </c>
      <c r="D333">
        <v>35087.29101</v>
      </c>
      <c r="E333" t="s">
        <v>641</v>
      </c>
      <c r="F333" t="s">
        <v>614</v>
      </c>
      <c r="G333" t="s">
        <v>653</v>
      </c>
      <c r="H333" t="s">
        <v>682</v>
      </c>
      <c r="I333" t="s">
        <v>1015</v>
      </c>
      <c r="J333" t="s">
        <v>1281</v>
      </c>
      <c r="K333">
        <v>43964</v>
      </c>
      <c r="L333">
        <v>0.033340980347174</v>
      </c>
      <c r="M333">
        <v>-0.07200234850675913</v>
      </c>
      <c r="N333">
        <v>0.08</v>
      </c>
      <c r="O333">
        <v>0.03989600664130633</v>
      </c>
      <c r="P333" t="s">
        <v>375</v>
      </c>
      <c r="Q333" t="s">
        <v>375</v>
      </c>
      <c r="R333">
        <v>16</v>
      </c>
      <c r="S333">
        <v>0.7266666666666667</v>
      </c>
      <c r="T333">
        <v>90</v>
      </c>
      <c r="U333">
        <v>1.453</v>
      </c>
      <c r="V333">
        <v>2.8147</v>
      </c>
      <c r="W333">
        <v>6</v>
      </c>
      <c r="X333">
        <v>4.36</v>
      </c>
      <c r="Y333">
        <v>0.1116</v>
      </c>
      <c r="Z333">
        <v>0.3966101694915254</v>
      </c>
      <c r="AA333">
        <v>0.8557213930348259</v>
      </c>
      <c r="AB333">
        <v>0.8038079470198676</v>
      </c>
      <c r="AC333">
        <v>0.1158940397350993</v>
      </c>
      <c r="AD333">
        <v>0.1688741721854305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22.69</v>
      </c>
      <c r="D334">
        <v>4800.36447</v>
      </c>
      <c r="E334" t="s">
        <v>641</v>
      </c>
      <c r="F334" t="s">
        <v>613</v>
      </c>
      <c r="G334" t="s">
        <v>653</v>
      </c>
      <c r="H334" t="s">
        <v>682</v>
      </c>
      <c r="I334" t="s">
        <v>1016</v>
      </c>
      <c r="J334" t="s">
        <v>1285</v>
      </c>
      <c r="K334">
        <v>43867</v>
      </c>
      <c r="L334">
        <v>0.033494931687968</v>
      </c>
      <c r="M334">
        <v>-0.03487443209316754</v>
      </c>
      <c r="N334">
        <v>0.04</v>
      </c>
      <c r="O334">
        <v>0.03745226762718801</v>
      </c>
      <c r="P334" t="s">
        <v>375</v>
      </c>
      <c r="Q334" t="s">
        <v>375</v>
      </c>
      <c r="R334">
        <v>18</v>
      </c>
      <c r="S334">
        <v>0.7307692307692307</v>
      </c>
      <c r="T334">
        <v>19</v>
      </c>
      <c r="U334">
        <v>1.19421052631579</v>
      </c>
      <c r="V334">
        <v>0.4388</v>
      </c>
      <c r="W334">
        <v>1.04</v>
      </c>
      <c r="X334">
        <v>0.76</v>
      </c>
      <c r="Y334">
        <v>0.0688</v>
      </c>
      <c r="Z334">
        <v>0.3983050847457627</v>
      </c>
      <c r="AA334">
        <v>0.8258706467661692</v>
      </c>
      <c r="AB334">
        <v>0.3493377483443709</v>
      </c>
      <c r="AC334">
        <v>0.2516556291390729</v>
      </c>
      <c r="AD334">
        <v>0.1556291390728477</v>
      </c>
    </row>
    <row r="335" spans="1:30">
      <c r="A335" s="1" t="s">
        <v>342</v>
      </c>
      <c r="B335">
        <f>HYPERLINK("https://www.suredividend.com/sure-analysis-ACN/","Accenture Plc")</f>
        <v>0</v>
      </c>
      <c r="C335">
        <v>183.88</v>
      </c>
      <c r="D335">
        <v>117136.52476</v>
      </c>
      <c r="E335" t="s">
        <v>643</v>
      </c>
      <c r="F335" t="s">
        <v>613</v>
      </c>
      <c r="G335" t="s">
        <v>658</v>
      </c>
      <c r="H335" t="s">
        <v>682</v>
      </c>
      <c r="I335" t="s">
        <v>1017</v>
      </c>
      <c r="J335" t="s">
        <v>1286</v>
      </c>
      <c r="K335">
        <v>43923</v>
      </c>
      <c r="L335">
        <v>0.016641287796388</v>
      </c>
      <c r="M335">
        <v>-0.05716170372502438</v>
      </c>
      <c r="N335">
        <v>0.075</v>
      </c>
      <c r="O335">
        <v>0.0336309288764125</v>
      </c>
      <c r="P335" t="s">
        <v>375</v>
      </c>
      <c r="Q335" t="s">
        <v>516</v>
      </c>
      <c r="R335">
        <v>9</v>
      </c>
      <c r="S335">
        <v>0.4031620553359684</v>
      </c>
      <c r="T335">
        <v>137</v>
      </c>
      <c r="U335">
        <v>1.342189781021898</v>
      </c>
      <c r="V335">
        <v>7.8049</v>
      </c>
      <c r="W335">
        <v>7.59</v>
      </c>
      <c r="X335">
        <v>3.06</v>
      </c>
      <c r="Y335">
        <v>0.0483</v>
      </c>
      <c r="Z335">
        <v>0.1355932203389831</v>
      </c>
      <c r="AA335">
        <v>0.8076285240464345</v>
      </c>
      <c r="AB335">
        <v>0.7665562913907285</v>
      </c>
      <c r="AC335">
        <v>0.1688741721854305</v>
      </c>
      <c r="AD335">
        <v>0.1440397350993377</v>
      </c>
    </row>
    <row r="336" spans="1:30">
      <c r="A336" s="1" t="s">
        <v>343</v>
      </c>
      <c r="B336">
        <f>HYPERLINK("https://www.suredividend.com/sure-analysis-WEC/","WEC Energy Group, Inc.")</f>
        <v>0</v>
      </c>
      <c r="C336">
        <v>84.8</v>
      </c>
      <c r="D336">
        <v>26748.888</v>
      </c>
      <c r="E336" t="s">
        <v>642</v>
      </c>
      <c r="F336" t="s">
        <v>613</v>
      </c>
      <c r="G336" t="s">
        <v>653</v>
      </c>
      <c r="H336" t="s">
        <v>682</v>
      </c>
      <c r="I336" t="s">
        <v>1018</v>
      </c>
      <c r="J336" t="s">
        <v>1287</v>
      </c>
      <c r="K336">
        <v>43956</v>
      </c>
      <c r="L336">
        <v>0.028331367924528</v>
      </c>
      <c r="M336">
        <v>-0.05472793352068905</v>
      </c>
      <c r="N336">
        <v>0.052</v>
      </c>
      <c r="O336">
        <v>0.0277322093652741</v>
      </c>
      <c r="P336" t="s">
        <v>375</v>
      </c>
      <c r="Q336" t="s">
        <v>316</v>
      </c>
      <c r="R336">
        <v>17</v>
      </c>
      <c r="S336">
        <v>0.6441018766756031</v>
      </c>
      <c r="T336">
        <v>64</v>
      </c>
      <c r="U336">
        <v>1.325</v>
      </c>
      <c r="V336">
        <v>3.7009</v>
      </c>
      <c r="W336">
        <v>3.73</v>
      </c>
      <c r="X336">
        <v>2.4025</v>
      </c>
      <c r="Y336">
        <v>0.0648</v>
      </c>
      <c r="Z336">
        <v>0.3372881355932204</v>
      </c>
      <c r="AA336">
        <v>0.8217247097844113</v>
      </c>
      <c r="AB336">
        <v>0.5670529801324503</v>
      </c>
      <c r="AC336">
        <v>0.1788079470198675</v>
      </c>
      <c r="AD336">
        <v>0.1341059602649007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39.21</v>
      </c>
      <c r="D337">
        <v>11751.27621</v>
      </c>
      <c r="E337" t="s">
        <v>643</v>
      </c>
      <c r="F337" t="s">
        <v>613</v>
      </c>
      <c r="G337" t="s">
        <v>653</v>
      </c>
      <c r="H337" t="s">
        <v>683</v>
      </c>
      <c r="I337" t="s">
        <v>1019</v>
      </c>
      <c r="J337" t="s">
        <v>1286</v>
      </c>
      <c r="K337">
        <v>43960</v>
      </c>
      <c r="L337">
        <v>0.05100739607243</v>
      </c>
      <c r="M337">
        <v>-0.03982448461076671</v>
      </c>
      <c r="N337">
        <v>0.07000000000000001</v>
      </c>
      <c r="O337">
        <v>0.02738780146647968</v>
      </c>
      <c r="P337" t="s">
        <v>375</v>
      </c>
      <c r="Q337" t="s">
        <v>618</v>
      </c>
      <c r="R337">
        <v>0</v>
      </c>
      <c r="S337">
        <v>0.625</v>
      </c>
      <c r="T337">
        <v>32</v>
      </c>
      <c r="U337">
        <v>1.2253125</v>
      </c>
      <c r="V337">
        <v>-2.0121</v>
      </c>
      <c r="W337">
        <v>3.2</v>
      </c>
      <c r="X337">
        <v>2</v>
      </c>
      <c r="Y337">
        <v>-0.1381</v>
      </c>
      <c r="Z337">
        <v>0.5847457627118644</v>
      </c>
      <c r="AA337">
        <v>0.6218905472636816</v>
      </c>
      <c r="AB337">
        <v>0.7259933774834437</v>
      </c>
      <c r="AC337">
        <v>0.228476821192053</v>
      </c>
      <c r="AD337">
        <v>0.1324503311258278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109.05</v>
      </c>
      <c r="D338">
        <v>196973.7435</v>
      </c>
      <c r="E338" t="s">
        <v>646</v>
      </c>
      <c r="F338" t="s">
        <v>613</v>
      </c>
      <c r="G338" t="s">
        <v>653</v>
      </c>
      <c r="H338" t="s">
        <v>682</v>
      </c>
      <c r="I338" t="s">
        <v>1020</v>
      </c>
      <c r="J338" t="s">
        <v>1282</v>
      </c>
      <c r="K338">
        <v>43916</v>
      </c>
      <c r="L338">
        <v>0.016139385602934</v>
      </c>
      <c r="M338">
        <v>-0.1513607514561307</v>
      </c>
      <c r="N338">
        <v>0.19</v>
      </c>
      <c r="O338">
        <v>0.02706141412251006</v>
      </c>
      <c r="P338" t="s">
        <v>375</v>
      </c>
      <c r="Q338" t="s">
        <v>316</v>
      </c>
      <c r="R338">
        <v>10</v>
      </c>
      <c r="S338">
        <v>0.5866666666666667</v>
      </c>
      <c r="T338">
        <v>48</v>
      </c>
      <c r="U338">
        <v>2.271875</v>
      </c>
      <c r="V338">
        <v>2.9827</v>
      </c>
      <c r="W338">
        <v>3</v>
      </c>
      <c r="X338">
        <v>1.76</v>
      </c>
      <c r="Y338">
        <v>-0.1903</v>
      </c>
      <c r="Z338">
        <v>0.1220338983050847</v>
      </c>
      <c r="AA338">
        <v>0.5439469320066335</v>
      </c>
      <c r="AB338">
        <v>0.9768211920529801</v>
      </c>
      <c r="AC338">
        <v>0.02317880794701986</v>
      </c>
      <c r="AD338">
        <v>0.130794701986755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38.92</v>
      </c>
      <c r="D339">
        <v>22294.11548</v>
      </c>
      <c r="E339" t="s">
        <v>641</v>
      </c>
      <c r="F339" t="s">
        <v>613</v>
      </c>
      <c r="G339" t="s">
        <v>653</v>
      </c>
      <c r="H339" t="s">
        <v>683</v>
      </c>
      <c r="I339" t="s">
        <v>1021</v>
      </c>
      <c r="J339" t="s">
        <v>1278</v>
      </c>
      <c r="K339">
        <v>43937</v>
      </c>
      <c r="L339">
        <v>0.02325282631038</v>
      </c>
      <c r="M339">
        <v>-0.07052398677838367</v>
      </c>
      <c r="N339">
        <v>0.07000000000000001</v>
      </c>
      <c r="O339">
        <v>0.02335072140062167</v>
      </c>
      <c r="P339" t="s">
        <v>375</v>
      </c>
      <c r="Q339" t="s">
        <v>316</v>
      </c>
      <c r="R339">
        <v>20</v>
      </c>
      <c r="S339">
        <v>0.6703703703703704</v>
      </c>
      <c r="T339">
        <v>27</v>
      </c>
      <c r="U339">
        <v>1.441481481481482</v>
      </c>
      <c r="V339">
        <v>1.3936</v>
      </c>
      <c r="W339">
        <v>1.35</v>
      </c>
      <c r="X339">
        <v>0.905</v>
      </c>
      <c r="Y339">
        <v>0.2102</v>
      </c>
      <c r="Z339">
        <v>0.2593220338983051</v>
      </c>
      <c r="AA339">
        <v>0.9137645107794361</v>
      </c>
      <c r="AB339">
        <v>0.7259933774834437</v>
      </c>
      <c r="AC339">
        <v>0.1241721854304636</v>
      </c>
      <c r="AD339">
        <v>0.119205298013245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53.53</v>
      </c>
      <c r="D340">
        <v>16152.40985</v>
      </c>
      <c r="E340" t="s">
        <v>647</v>
      </c>
      <c r="F340" t="s">
        <v>613</v>
      </c>
      <c r="G340" t="s">
        <v>653</v>
      </c>
      <c r="H340" t="s">
        <v>682</v>
      </c>
      <c r="I340" t="s">
        <v>1022</v>
      </c>
      <c r="J340" t="s">
        <v>1285</v>
      </c>
      <c r="K340">
        <v>43930</v>
      </c>
      <c r="L340">
        <v>0.026153558752101</v>
      </c>
      <c r="M340">
        <v>-0.05193672724337506</v>
      </c>
      <c r="N340">
        <v>0.05</v>
      </c>
      <c r="O340">
        <v>0.02230219312797699</v>
      </c>
      <c r="P340" t="s">
        <v>375</v>
      </c>
      <c r="Q340" t="s">
        <v>316</v>
      </c>
      <c r="R340">
        <v>0</v>
      </c>
      <c r="S340">
        <v>0.5599999999999999</v>
      </c>
      <c r="T340">
        <v>41</v>
      </c>
      <c r="U340">
        <v>1.305609756097561</v>
      </c>
      <c r="V340">
        <v>1.6857</v>
      </c>
      <c r="W340">
        <v>2.5</v>
      </c>
      <c r="X340">
        <v>1.4</v>
      </c>
      <c r="Y340">
        <v>0.3733</v>
      </c>
      <c r="Z340">
        <v>0.3067796610169491</v>
      </c>
      <c r="AA340">
        <v>0.9568822553897181</v>
      </c>
      <c r="AB340">
        <v>0.4991721854304636</v>
      </c>
      <c r="AC340">
        <v>0.1887417218543046</v>
      </c>
      <c r="AD340">
        <v>0.1158940397350993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72.5</v>
      </c>
      <c r="D341">
        <v>9759.225</v>
      </c>
      <c r="E341" t="s">
        <v>648</v>
      </c>
      <c r="F341" t="s">
        <v>613</v>
      </c>
      <c r="G341" t="s">
        <v>653</v>
      </c>
      <c r="H341" t="s">
        <v>683</v>
      </c>
      <c r="I341" t="s">
        <v>1023</v>
      </c>
      <c r="J341" t="s">
        <v>1278</v>
      </c>
      <c r="K341">
        <v>43958</v>
      </c>
      <c r="L341">
        <v>0.027862068965517</v>
      </c>
      <c r="M341">
        <v>-0.06073622592327665</v>
      </c>
      <c r="N341">
        <v>0.05</v>
      </c>
      <c r="O341">
        <v>0.01885422229489242</v>
      </c>
      <c r="P341" t="s">
        <v>375</v>
      </c>
      <c r="Q341" t="s">
        <v>316</v>
      </c>
      <c r="R341">
        <v>22</v>
      </c>
      <c r="S341">
        <v>0.6801346801346801</v>
      </c>
      <c r="T341">
        <v>53</v>
      </c>
      <c r="U341">
        <v>1.367924528301887</v>
      </c>
      <c r="V341">
        <v>3.6159</v>
      </c>
      <c r="W341">
        <v>2.97</v>
      </c>
      <c r="X341">
        <v>2.02</v>
      </c>
      <c r="Y341">
        <v>-0.1143</v>
      </c>
      <c r="Z341">
        <v>0.3254237288135593</v>
      </c>
      <c r="AA341">
        <v>0.6600331674958541</v>
      </c>
      <c r="AB341">
        <v>0.4991721854304636</v>
      </c>
      <c r="AC341">
        <v>0.1572847682119205</v>
      </c>
      <c r="AD341">
        <v>0.1043046357615894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53.01</v>
      </c>
      <c r="D342">
        <v>8847.20997</v>
      </c>
      <c r="E342" t="s">
        <v>642</v>
      </c>
      <c r="F342" t="s">
        <v>613</v>
      </c>
      <c r="G342" t="s">
        <v>655</v>
      </c>
      <c r="H342" t="s">
        <v>683</v>
      </c>
      <c r="I342" t="s">
        <v>1024</v>
      </c>
      <c r="J342" t="s">
        <v>1286</v>
      </c>
      <c r="K342">
        <v>43966</v>
      </c>
      <c r="L342">
        <v>0.0137709866063</v>
      </c>
      <c r="M342">
        <v>-0.06938770939112171</v>
      </c>
      <c r="N342">
        <v>0.07000000000000001</v>
      </c>
      <c r="O342">
        <v>0.01393665593808713</v>
      </c>
      <c r="P342" t="s">
        <v>375</v>
      </c>
      <c r="Q342" t="s">
        <v>516</v>
      </c>
      <c r="R342">
        <v>6</v>
      </c>
      <c r="S342">
        <v>0.3596059113300493</v>
      </c>
      <c r="T342">
        <v>37</v>
      </c>
      <c r="U342">
        <v>1.432702702702703</v>
      </c>
      <c r="V342">
        <v>2.6925</v>
      </c>
      <c r="W342">
        <v>2.03</v>
      </c>
      <c r="X342">
        <v>0.73</v>
      </c>
      <c r="Y342">
        <v>0.3848</v>
      </c>
      <c r="Z342">
        <v>0.09830508474576272</v>
      </c>
      <c r="AA342">
        <v>0.9635157545605307</v>
      </c>
      <c r="AB342">
        <v>0.7259933774834437</v>
      </c>
      <c r="AC342">
        <v>0.1258278145695364</v>
      </c>
      <c r="AD342">
        <v>0.08940397350993377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181.07</v>
      </c>
      <c r="D343">
        <v>64928.98595</v>
      </c>
      <c r="E343" t="s">
        <v>646</v>
      </c>
      <c r="F343" t="s">
        <v>613</v>
      </c>
      <c r="G343" t="s">
        <v>653</v>
      </c>
      <c r="H343" t="s">
        <v>683</v>
      </c>
      <c r="I343" t="s">
        <v>1025</v>
      </c>
      <c r="J343" t="s">
        <v>1277</v>
      </c>
      <c r="K343">
        <v>43915</v>
      </c>
      <c r="L343">
        <v>0.017120450654443</v>
      </c>
      <c r="M343">
        <v>-0.05287670823734292</v>
      </c>
      <c r="N343">
        <v>0.043</v>
      </c>
      <c r="O343">
        <v>0.009315376770016703</v>
      </c>
      <c r="P343" t="s">
        <v>375</v>
      </c>
      <c r="Q343" t="s">
        <v>516</v>
      </c>
      <c r="R343">
        <v>16</v>
      </c>
      <c r="S343">
        <v>0.4428571428571429</v>
      </c>
      <c r="T343">
        <v>138</v>
      </c>
      <c r="U343">
        <v>1.312101449275362</v>
      </c>
      <c r="V343">
        <v>6.6765</v>
      </c>
      <c r="W343">
        <v>7</v>
      </c>
      <c r="X343">
        <v>3.1</v>
      </c>
      <c r="Y343">
        <v>-0.004200000000000001</v>
      </c>
      <c r="Z343">
        <v>0.1457627118644068</v>
      </c>
      <c r="AA343">
        <v>0.7661691542288557</v>
      </c>
      <c r="AB343">
        <v>0.4097682119205298</v>
      </c>
      <c r="AC343">
        <v>0.1854304635761589</v>
      </c>
      <c r="AD343">
        <v>0.08278145695364238</v>
      </c>
    </row>
    <row r="344" spans="1:30">
      <c r="A344" s="1" t="s">
        <v>351</v>
      </c>
      <c r="B344">
        <f>HYPERLINK("https://www.suredividend.com/sure-analysis-NVDA/","NVIDIA Corp.")</f>
        <v>0</v>
      </c>
      <c r="C344">
        <v>339.63</v>
      </c>
      <c r="D344">
        <v>208918.30005</v>
      </c>
      <c r="E344" t="s">
        <v>643</v>
      </c>
      <c r="F344" t="s">
        <v>613</v>
      </c>
      <c r="G344" t="s">
        <v>653</v>
      </c>
      <c r="H344" t="s">
        <v>683</v>
      </c>
      <c r="I344" t="s">
        <v>1026</v>
      </c>
      <c r="J344" t="s">
        <v>1286</v>
      </c>
      <c r="K344">
        <v>43891</v>
      </c>
      <c r="L344">
        <v>0.001884403615699</v>
      </c>
      <c r="M344">
        <v>-0.1262081058443576</v>
      </c>
      <c r="N344">
        <v>0.15</v>
      </c>
      <c r="O344">
        <v>0.006702123481914901</v>
      </c>
      <c r="P344" t="s">
        <v>375</v>
      </c>
      <c r="Q344" t="s">
        <v>516</v>
      </c>
      <c r="R344">
        <v>7</v>
      </c>
      <c r="S344">
        <v>0.08152866242038218</v>
      </c>
      <c r="T344">
        <v>173</v>
      </c>
      <c r="U344">
        <v>1.963179190751445</v>
      </c>
      <c r="V344">
        <v>4.5816</v>
      </c>
      <c r="W344">
        <v>7.85</v>
      </c>
      <c r="X344">
        <v>0.64</v>
      </c>
      <c r="Y344">
        <v>1.1283</v>
      </c>
      <c r="Z344">
        <v>0.003389830508474576</v>
      </c>
      <c r="AA344">
        <v>0.9917081260364843</v>
      </c>
      <c r="AB344">
        <v>0.9660596026490066</v>
      </c>
      <c r="AC344">
        <v>0.03973509933774835</v>
      </c>
      <c r="AD344">
        <v>0.07615894039735099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26.34</v>
      </c>
      <c r="D345">
        <v>17466.054</v>
      </c>
      <c r="E345" t="s">
        <v>648</v>
      </c>
      <c r="F345" t="s">
        <v>613</v>
      </c>
      <c r="G345" t="s">
        <v>660</v>
      </c>
      <c r="H345" t="s">
        <v>683</v>
      </c>
      <c r="I345" t="s">
        <v>1027</v>
      </c>
      <c r="J345" t="s">
        <v>1286</v>
      </c>
      <c r="K345">
        <v>43904</v>
      </c>
      <c r="L345">
        <v>0.009111617312072001</v>
      </c>
      <c r="M345">
        <v>-0.09489108532394808</v>
      </c>
      <c r="N345">
        <v>0.1</v>
      </c>
      <c r="O345">
        <v>0.004724769601614165</v>
      </c>
      <c r="P345" t="s">
        <v>375</v>
      </c>
      <c r="Q345" t="s">
        <v>516</v>
      </c>
      <c r="R345">
        <v>0</v>
      </c>
      <c r="S345">
        <v>0.2580645161290323</v>
      </c>
      <c r="T345">
        <v>16</v>
      </c>
      <c r="U345">
        <v>1.64625</v>
      </c>
      <c r="V345">
        <v>2.38</v>
      </c>
      <c r="W345">
        <v>0.93</v>
      </c>
      <c r="X345">
        <v>0.24</v>
      </c>
      <c r="Y345">
        <v>0.1403</v>
      </c>
      <c r="Z345">
        <v>0.05084745762711864</v>
      </c>
      <c r="AA345">
        <v>0.8723051409618574</v>
      </c>
      <c r="AB345">
        <v>0.8981788079470199</v>
      </c>
      <c r="AC345">
        <v>0.06456953642384106</v>
      </c>
      <c r="AD345">
        <v>0.07450331125827814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127.01</v>
      </c>
      <c r="D346">
        <v>15410.75835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1279</v>
      </c>
      <c r="K346">
        <v>43916</v>
      </c>
      <c r="L346">
        <v>0.018030076371939</v>
      </c>
      <c r="M346">
        <v>-0.139278469261778</v>
      </c>
      <c r="N346">
        <v>0.14</v>
      </c>
      <c r="O346">
        <v>0.002646704305783176</v>
      </c>
      <c r="P346" t="s">
        <v>375</v>
      </c>
      <c r="Q346" t="s">
        <v>516</v>
      </c>
      <c r="R346">
        <v>17</v>
      </c>
      <c r="S346">
        <v>0.7633333333333333</v>
      </c>
      <c r="T346">
        <v>60</v>
      </c>
      <c r="U346">
        <v>2.116833333333334</v>
      </c>
      <c r="V346">
        <v>4.4796</v>
      </c>
      <c r="W346">
        <v>3</v>
      </c>
      <c r="X346">
        <v>2.29</v>
      </c>
      <c r="Y346">
        <v>0.2913</v>
      </c>
      <c r="Z346">
        <v>0.1559322033898305</v>
      </c>
      <c r="AA346">
        <v>0.9469320066334991</v>
      </c>
      <c r="AB346">
        <v>0.9495033112582781</v>
      </c>
      <c r="AC346">
        <v>0.02980132450331126</v>
      </c>
      <c r="AD346">
        <v>0.06788079470198675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81.38</v>
      </c>
      <c r="D347">
        <v>1119.62604</v>
      </c>
      <c r="E347" t="s">
        <v>646</v>
      </c>
      <c r="F347" t="s">
        <v>614</v>
      </c>
      <c r="G347" t="s">
        <v>653</v>
      </c>
      <c r="H347" t="s">
        <v>682</v>
      </c>
      <c r="I347" t="s">
        <v>1029</v>
      </c>
      <c r="J347" t="s">
        <v>1281</v>
      </c>
      <c r="K347">
        <v>43913</v>
      </c>
      <c r="L347">
        <v>0.033546325878594</v>
      </c>
      <c r="M347">
        <v>-0.06549406994220197</v>
      </c>
      <c r="N347">
        <v>0.03</v>
      </c>
      <c r="O347">
        <v>0.0002292278433559947</v>
      </c>
      <c r="P347" t="s">
        <v>375</v>
      </c>
      <c r="Q347" t="s">
        <v>375</v>
      </c>
      <c r="R347">
        <v>33</v>
      </c>
      <c r="S347">
        <v>0.8149253731343283</v>
      </c>
      <c r="T347">
        <v>58</v>
      </c>
      <c r="U347">
        <v>1.403103448275862</v>
      </c>
      <c r="V347">
        <v>1.4057</v>
      </c>
      <c r="W347">
        <v>3.35</v>
      </c>
      <c r="X347">
        <v>2.73</v>
      </c>
      <c r="Y347">
        <v>-0.0293</v>
      </c>
      <c r="Z347">
        <v>0.4</v>
      </c>
      <c r="AA347">
        <v>0.7412935323383084</v>
      </c>
      <c r="AB347">
        <v>0.2144039735099338</v>
      </c>
      <c r="AC347">
        <v>0.1407284768211921</v>
      </c>
      <c r="AD347">
        <v>0.05960264900662252</v>
      </c>
    </row>
    <row r="348" spans="1:30">
      <c r="A348" s="1" t="s">
        <v>355</v>
      </c>
      <c r="B348">
        <f>HYPERLINK("https://www.suredividend.com/sure-analysis-OMI/","Owens &amp; Minor, Inc.")</f>
        <v>0</v>
      </c>
      <c r="C348">
        <v>6.83</v>
      </c>
      <c r="D348">
        <v>430.343274</v>
      </c>
      <c r="E348" t="s">
        <v>641</v>
      </c>
      <c r="F348" t="s">
        <v>613</v>
      </c>
      <c r="G348" t="s">
        <v>653</v>
      </c>
      <c r="H348" t="s">
        <v>682</v>
      </c>
      <c r="I348" t="s">
        <v>1030</v>
      </c>
      <c r="J348" t="s">
        <v>1280</v>
      </c>
      <c r="K348">
        <v>43964</v>
      </c>
      <c r="L348">
        <v>0.001464128843338</v>
      </c>
      <c r="M348">
        <v>-0.06047171320316003</v>
      </c>
      <c r="N348">
        <v>0.06</v>
      </c>
      <c r="O348">
        <v>-0.002616056190478444</v>
      </c>
      <c r="P348" t="s">
        <v>375</v>
      </c>
      <c r="Q348" t="s">
        <v>516</v>
      </c>
      <c r="R348">
        <v>0</v>
      </c>
      <c r="S348">
        <v>0.01818181818181818</v>
      </c>
      <c r="T348">
        <v>5</v>
      </c>
      <c r="U348">
        <v>1.366</v>
      </c>
      <c r="V348">
        <v>-0.9912000000000001</v>
      </c>
      <c r="W348">
        <v>0.55</v>
      </c>
      <c r="X348">
        <v>0.01</v>
      </c>
      <c r="Y348">
        <v>0.8117000000000001</v>
      </c>
      <c r="Z348">
        <v>0.001694915254237288</v>
      </c>
      <c r="AA348">
        <v>0.988391376451078</v>
      </c>
      <c r="AB348">
        <v>0.6341059602649007</v>
      </c>
      <c r="AC348">
        <v>0.1589403973509934</v>
      </c>
      <c r="AD348">
        <v>0.05132450331125828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64.01000000000001</v>
      </c>
      <c r="D349">
        <v>77734.845036</v>
      </c>
      <c r="E349" t="s">
        <v>642</v>
      </c>
      <c r="F349" t="s">
        <v>613</v>
      </c>
      <c r="G349" t="s">
        <v>670</v>
      </c>
      <c r="H349" t="s">
        <v>682</v>
      </c>
      <c r="I349" t="s">
        <v>1031</v>
      </c>
      <c r="J349" t="s">
        <v>1286</v>
      </c>
      <c r="K349">
        <v>43867</v>
      </c>
      <c r="L349">
        <v>0.002871426339634</v>
      </c>
      <c r="M349">
        <v>-0.02988555235744139</v>
      </c>
      <c r="N349">
        <v>0.017</v>
      </c>
      <c r="O349">
        <v>-0.00708053293733435</v>
      </c>
      <c r="P349" t="s">
        <v>375</v>
      </c>
      <c r="Q349" t="s">
        <v>516</v>
      </c>
      <c r="R349">
        <v>2</v>
      </c>
      <c r="S349">
        <v>0.04365795724465558</v>
      </c>
      <c r="T349">
        <v>55</v>
      </c>
      <c r="U349">
        <v>1.163818181818182</v>
      </c>
      <c r="V349">
        <v>4.8758</v>
      </c>
      <c r="W349">
        <v>4.21</v>
      </c>
      <c r="X349">
        <v>0.1838</v>
      </c>
      <c r="Y349">
        <v>0.2817</v>
      </c>
      <c r="Z349">
        <v>0.008474576271186441</v>
      </c>
      <c r="AA349">
        <v>0.9369817578772803</v>
      </c>
      <c r="AB349">
        <v>0.08526490066225165</v>
      </c>
      <c r="AC349">
        <v>0.2814569536423841</v>
      </c>
      <c r="AD349">
        <v>0.04304635761589404</v>
      </c>
    </row>
    <row r="350" spans="1:30">
      <c r="A350" s="1" t="s">
        <v>357</v>
      </c>
      <c r="B350">
        <f>HYPERLINK("https://www.suredividend.com/sure-analysis-RACE/","Ferrari NV")</f>
        <v>0</v>
      </c>
      <c r="C350">
        <v>157.39</v>
      </c>
      <c r="D350">
        <v>27634.214652</v>
      </c>
      <c r="E350" t="s">
        <v>642</v>
      </c>
      <c r="F350" t="s">
        <v>613</v>
      </c>
      <c r="G350" t="s">
        <v>673</v>
      </c>
      <c r="H350" t="s">
        <v>682</v>
      </c>
      <c r="I350" t="s">
        <v>1032</v>
      </c>
      <c r="J350" t="s">
        <v>1279</v>
      </c>
      <c r="K350">
        <v>43956</v>
      </c>
      <c r="L350">
        <v>0.007179617510642</v>
      </c>
      <c r="M350">
        <v>-0.08855259697490536</v>
      </c>
      <c r="N350">
        <v>0.075</v>
      </c>
      <c r="O350">
        <v>-0.00991446686596853</v>
      </c>
      <c r="P350" t="s">
        <v>375</v>
      </c>
      <c r="Q350" t="s">
        <v>516</v>
      </c>
      <c r="R350">
        <v>3</v>
      </c>
      <c r="S350">
        <v>0.2860759493670886</v>
      </c>
      <c r="T350">
        <v>99</v>
      </c>
      <c r="U350">
        <v>1.58979797979798</v>
      </c>
      <c r="V350">
        <v>4.0814</v>
      </c>
      <c r="W350">
        <v>3.95</v>
      </c>
      <c r="X350">
        <v>1.13</v>
      </c>
      <c r="Y350">
        <v>0.09570000000000001</v>
      </c>
      <c r="Z350">
        <v>0.02372881355932203</v>
      </c>
      <c r="AA350">
        <v>0.8490878938640133</v>
      </c>
      <c r="AB350">
        <v>0.7665562913907285</v>
      </c>
      <c r="AC350">
        <v>0.0728476821192053</v>
      </c>
      <c r="AD350">
        <v>0.03973509933774835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67.90000000000001</v>
      </c>
      <c r="D351">
        <v>54495.5215</v>
      </c>
      <c r="E351" t="s">
        <v>643</v>
      </c>
      <c r="F351" t="s">
        <v>613</v>
      </c>
      <c r="G351" t="s">
        <v>653</v>
      </c>
      <c r="H351" t="s">
        <v>682</v>
      </c>
      <c r="I351" t="s">
        <v>1033</v>
      </c>
      <c r="J351" t="s">
        <v>1283</v>
      </c>
      <c r="K351">
        <v>43902</v>
      </c>
      <c r="L351">
        <v>0.008247422680412</v>
      </c>
      <c r="M351">
        <v>-0.08731747284896696</v>
      </c>
      <c r="N351">
        <v>0.05</v>
      </c>
      <c r="O351">
        <v>-0.02274120054765905</v>
      </c>
      <c r="P351" t="s">
        <v>375</v>
      </c>
      <c r="Q351" t="s">
        <v>516</v>
      </c>
      <c r="R351">
        <v>5</v>
      </c>
      <c r="S351">
        <v>0.2731707317073171</v>
      </c>
      <c r="T351">
        <v>43</v>
      </c>
      <c r="U351">
        <v>1.579069767441861</v>
      </c>
      <c r="V351">
        <v>4.3328</v>
      </c>
      <c r="W351">
        <v>2.05</v>
      </c>
      <c r="X351">
        <v>0.5600000000000001</v>
      </c>
      <c r="Y351">
        <v>1.2124</v>
      </c>
      <c r="Z351">
        <v>0.03559322033898305</v>
      </c>
      <c r="AA351">
        <v>0.9933665008291874</v>
      </c>
      <c r="AB351">
        <v>0.4991721854304636</v>
      </c>
      <c r="AC351">
        <v>0.08112582781456953</v>
      </c>
      <c r="AD351">
        <v>0.03311258278145696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66.40000000000001</v>
      </c>
      <c r="D352">
        <v>32919.46</v>
      </c>
      <c r="E352" t="s">
        <v>647</v>
      </c>
      <c r="F352" t="s">
        <v>613</v>
      </c>
      <c r="G352" t="s">
        <v>659</v>
      </c>
      <c r="H352" t="s">
        <v>682</v>
      </c>
      <c r="I352" t="s">
        <v>1034</v>
      </c>
      <c r="J352" t="s">
        <v>1278</v>
      </c>
      <c r="K352">
        <v>43901</v>
      </c>
      <c r="L352">
        <v>0.02204905116163</v>
      </c>
      <c r="M352">
        <v>-0.1009593980496337</v>
      </c>
      <c r="N352">
        <v>0.05</v>
      </c>
      <c r="O352">
        <v>-0.02680539282696937</v>
      </c>
      <c r="P352" t="s">
        <v>375</v>
      </c>
      <c r="Q352" t="s">
        <v>316</v>
      </c>
      <c r="R352">
        <v>27</v>
      </c>
      <c r="S352">
        <v>0.7585787549908238</v>
      </c>
      <c r="T352">
        <v>39</v>
      </c>
      <c r="U352">
        <v>1.702564102564103</v>
      </c>
      <c r="V352">
        <v>3.3246</v>
      </c>
      <c r="W352">
        <v>1.93</v>
      </c>
      <c r="X352">
        <v>1.46405699713229</v>
      </c>
      <c r="Y352">
        <v>0.0255</v>
      </c>
      <c r="Z352">
        <v>0.2203389830508475</v>
      </c>
      <c r="AA352">
        <v>0.7877280265339967</v>
      </c>
      <c r="AB352">
        <v>0.4991721854304636</v>
      </c>
      <c r="AC352">
        <v>0.05298013245033113</v>
      </c>
      <c r="AD352">
        <v>0.02649006622516557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5.29</v>
      </c>
      <c r="D353">
        <v>5034.21263</v>
      </c>
      <c r="E353" t="s">
        <v>648</v>
      </c>
      <c r="F353" t="s">
        <v>613</v>
      </c>
      <c r="G353" t="s">
        <v>659</v>
      </c>
      <c r="H353" t="s">
        <v>682</v>
      </c>
      <c r="I353" t="s">
        <v>1035</v>
      </c>
      <c r="J353" t="s">
        <v>1283</v>
      </c>
      <c r="K353">
        <v>43888</v>
      </c>
      <c r="L353">
        <v>0.007179087562587</v>
      </c>
      <c r="M353">
        <v>-0.09848911185864107</v>
      </c>
      <c r="N353">
        <v>0.018</v>
      </c>
      <c r="O353">
        <v>-0.06643830895180736</v>
      </c>
      <c r="P353" t="s">
        <v>375</v>
      </c>
      <c r="Q353" t="s">
        <v>516</v>
      </c>
      <c r="R353">
        <v>1</v>
      </c>
      <c r="S353">
        <v>0.008439416268019112</v>
      </c>
      <c r="T353">
        <v>3.15</v>
      </c>
      <c r="U353">
        <v>1.679365079365079</v>
      </c>
      <c r="V353">
        <v>0.2893</v>
      </c>
      <c r="W353">
        <v>4.5</v>
      </c>
      <c r="X353">
        <v>0.037977373206086</v>
      </c>
      <c r="Y353">
        <v>1.5931</v>
      </c>
      <c r="Z353">
        <v>0.02203389830508475</v>
      </c>
      <c r="AA353">
        <v>0.998341625207297</v>
      </c>
      <c r="AB353">
        <v>0.08857615894039736</v>
      </c>
      <c r="AC353">
        <v>0.05794701986754967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28.04</v>
      </c>
      <c r="D354">
        <v>49856.2416</v>
      </c>
      <c r="E354" t="s">
        <v>649</v>
      </c>
      <c r="F354" t="s">
        <v>613</v>
      </c>
      <c r="G354" t="s">
        <v>659</v>
      </c>
      <c r="H354" t="s">
        <v>682</v>
      </c>
      <c r="I354" t="s">
        <v>1036</v>
      </c>
      <c r="J354" t="s">
        <v>1283</v>
      </c>
      <c r="K354">
        <v>43966</v>
      </c>
      <c r="L354">
        <v>0.008318877159609</v>
      </c>
      <c r="M354">
        <v>-0.1061422814506133</v>
      </c>
      <c r="N354">
        <v>0</v>
      </c>
      <c r="O354">
        <v>-0.08919551291533867</v>
      </c>
      <c r="P354" t="s">
        <v>375</v>
      </c>
      <c r="Q354" t="s">
        <v>516</v>
      </c>
      <c r="R354">
        <v>3</v>
      </c>
      <c r="S354">
        <v>0.2915766444443162</v>
      </c>
      <c r="T354">
        <v>16</v>
      </c>
      <c r="U354">
        <v>1.7525</v>
      </c>
      <c r="V354">
        <v>2.4125</v>
      </c>
      <c r="W354">
        <v>0.8</v>
      </c>
      <c r="X354">
        <v>0.233261315555453</v>
      </c>
      <c r="Y354">
        <v>1.2432</v>
      </c>
      <c r="Z354">
        <v>0.03898305084745762</v>
      </c>
      <c r="AA354">
        <v>0.9950248756218906</v>
      </c>
      <c r="AB354">
        <v>0.02980132450331126</v>
      </c>
      <c r="AC354">
        <v>0.04801324503311259</v>
      </c>
      <c r="AD354">
        <v>0.009933774834437087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6.36</v>
      </c>
      <c r="D355">
        <v>1476.49944</v>
      </c>
      <c r="E355" t="s">
        <v>644</v>
      </c>
      <c r="F355" t="s">
        <v>614</v>
      </c>
      <c r="G355" t="s">
        <v>653</v>
      </c>
      <c r="H355" t="s">
        <v>682</v>
      </c>
      <c r="I355" t="s">
        <v>1037</v>
      </c>
      <c r="J355" t="s">
        <v>1281</v>
      </c>
      <c r="K355">
        <v>43868</v>
      </c>
      <c r="L355">
        <v>0.471698113207547</v>
      </c>
      <c r="M355">
        <v>0.3727166950864023</v>
      </c>
      <c r="N355">
        <v>0</v>
      </c>
      <c r="O355">
        <v>0.4854572002522597</v>
      </c>
      <c r="P355" t="s">
        <v>316</v>
      </c>
      <c r="Q355" t="s">
        <v>618</v>
      </c>
      <c r="R355">
        <v>8</v>
      </c>
      <c r="S355">
        <v>0.8695652173913043</v>
      </c>
      <c r="T355">
        <v>31</v>
      </c>
      <c r="U355">
        <v>0.2051612903225807</v>
      </c>
      <c r="V355">
        <v>0.9754</v>
      </c>
      <c r="W355">
        <v>3.45</v>
      </c>
      <c r="X355">
        <v>3</v>
      </c>
      <c r="Y355">
        <v>-0.8503000000000001</v>
      </c>
      <c r="Z355">
        <v>1</v>
      </c>
      <c r="AA355">
        <v>0.003316749585406302</v>
      </c>
      <c r="AB355">
        <v>0.02980132450331126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1.7</v>
      </c>
      <c r="D356">
        <v>274.312</v>
      </c>
      <c r="E356" t="s">
        <v>647</v>
      </c>
      <c r="F356" t="s">
        <v>613</v>
      </c>
      <c r="G356" t="s">
        <v>659</v>
      </c>
      <c r="H356" t="s">
        <v>684</v>
      </c>
      <c r="I356" t="s">
        <v>1038</v>
      </c>
      <c r="J356" t="s">
        <v>1278</v>
      </c>
      <c r="K356">
        <v>43886</v>
      </c>
      <c r="L356">
        <v>0.212166010588081</v>
      </c>
      <c r="M356">
        <v>0.3036055792627534</v>
      </c>
      <c r="N356">
        <v>0.06</v>
      </c>
      <c r="O356">
        <v>0.4355591483300716</v>
      </c>
      <c r="P356" t="s">
        <v>316</v>
      </c>
      <c r="Q356" t="s">
        <v>618</v>
      </c>
      <c r="R356">
        <v>0</v>
      </c>
      <c r="S356">
        <v>0.5635659656245923</v>
      </c>
      <c r="T356">
        <v>6.4</v>
      </c>
      <c r="U356">
        <v>0.265625</v>
      </c>
      <c r="V356">
        <v>0.3917</v>
      </c>
      <c r="W356">
        <v>0.64</v>
      </c>
      <c r="X356">
        <v>0.360682217999739</v>
      </c>
      <c r="Y356">
        <v>-0.6915</v>
      </c>
      <c r="Z356">
        <v>0.9644067796610168</v>
      </c>
      <c r="AA356">
        <v>0.04560530679933665</v>
      </c>
      <c r="AB356">
        <v>0.6341059602649007</v>
      </c>
      <c r="AC356">
        <v>0.9983443708609272</v>
      </c>
      <c r="AD356">
        <v>0.9983443708609272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4.81</v>
      </c>
      <c r="D357">
        <v>791.56246</v>
      </c>
      <c r="E357" t="s">
        <v>643</v>
      </c>
      <c r="F357" t="s">
        <v>614</v>
      </c>
      <c r="G357" t="s">
        <v>653</v>
      </c>
      <c r="H357" t="s">
        <v>683</v>
      </c>
      <c r="I357" t="s">
        <v>1039</v>
      </c>
      <c r="J357" t="s">
        <v>1281</v>
      </c>
      <c r="K357">
        <v>43899</v>
      </c>
      <c r="L357">
        <v>0.338877338877338</v>
      </c>
      <c r="M357">
        <v>0.2554205592209371</v>
      </c>
      <c r="N357">
        <v>0.02</v>
      </c>
      <c r="O357">
        <v>0.4191637926274359</v>
      </c>
      <c r="P357" t="s">
        <v>316</v>
      </c>
      <c r="Q357" t="s">
        <v>617</v>
      </c>
      <c r="R357">
        <v>8</v>
      </c>
      <c r="S357">
        <v>0.6037037037037036</v>
      </c>
      <c r="T357">
        <v>15</v>
      </c>
      <c r="U357">
        <v>0.3206666666666667</v>
      </c>
      <c r="V357">
        <v>0.002</v>
      </c>
      <c r="W357">
        <v>2.7</v>
      </c>
      <c r="X357">
        <v>1.63</v>
      </c>
      <c r="Y357">
        <v>-0.8175</v>
      </c>
      <c r="Z357">
        <v>0.9915254237288136</v>
      </c>
      <c r="AA357">
        <v>0.004975124378109453</v>
      </c>
      <c r="AB357">
        <v>0.1274834437086093</v>
      </c>
      <c r="AC357">
        <v>0.9900662251655629</v>
      </c>
      <c r="AD357">
        <v>0.9966887417218543</v>
      </c>
    </row>
    <row r="358" spans="1:30">
      <c r="A358" s="1" t="s">
        <v>365</v>
      </c>
      <c r="B358">
        <f>HYPERLINK("https://www.suredividend.com/sure-analysis-GEL/","Genesis Energy LP")</f>
        <v>0</v>
      </c>
      <c r="C358">
        <v>6.41</v>
      </c>
      <c r="D358">
        <v>785.731371</v>
      </c>
      <c r="E358" t="s">
        <v>644</v>
      </c>
      <c r="F358" t="s">
        <v>615</v>
      </c>
      <c r="G358" t="s">
        <v>653</v>
      </c>
      <c r="H358" t="s">
        <v>682</v>
      </c>
      <c r="I358" t="s">
        <v>1040</v>
      </c>
      <c r="J358" t="s">
        <v>1284</v>
      </c>
      <c r="K358">
        <v>43881</v>
      </c>
      <c r="L358">
        <v>0.280811232449297</v>
      </c>
      <c r="M358">
        <v>0.2797140268989471</v>
      </c>
      <c r="N358">
        <v>0.02</v>
      </c>
      <c r="O358">
        <v>0.4089290043459075</v>
      </c>
      <c r="P358" t="s">
        <v>316</v>
      </c>
      <c r="Q358" t="s">
        <v>618</v>
      </c>
      <c r="R358">
        <v>1</v>
      </c>
      <c r="S358">
        <v>0.6428571428571429</v>
      </c>
      <c r="T358">
        <v>22</v>
      </c>
      <c r="U358">
        <v>0.2913636363636364</v>
      </c>
      <c r="V358">
        <v>0.2465</v>
      </c>
      <c r="W358">
        <v>2.8</v>
      </c>
      <c r="X358">
        <v>1.8</v>
      </c>
      <c r="Y358">
        <v>-0.7065</v>
      </c>
      <c r="Z358">
        <v>0.9864406779661017</v>
      </c>
      <c r="AA358">
        <v>0.03814262023217247</v>
      </c>
      <c r="AB358">
        <v>0.1274834437086093</v>
      </c>
      <c r="AC358">
        <v>0.9950331125827815</v>
      </c>
      <c r="AD358">
        <v>0.9950331125827815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5.14</v>
      </c>
      <c r="D359">
        <v>241.390334</v>
      </c>
      <c r="E359" t="s">
        <v>647</v>
      </c>
      <c r="F359" t="s">
        <v>614</v>
      </c>
      <c r="G359" t="s">
        <v>653</v>
      </c>
      <c r="H359" t="s">
        <v>682</v>
      </c>
      <c r="I359" t="s">
        <v>1041</v>
      </c>
      <c r="J359" t="s">
        <v>1281</v>
      </c>
      <c r="K359">
        <v>43888</v>
      </c>
      <c r="L359">
        <v>0.214007782101167</v>
      </c>
      <c r="M359">
        <v>0.270273273004731</v>
      </c>
      <c r="N359">
        <v>0.02</v>
      </c>
      <c r="O359">
        <v>0.3761612512875439</v>
      </c>
      <c r="P359" t="s">
        <v>316</v>
      </c>
      <c r="Q359" t="s">
        <v>618</v>
      </c>
      <c r="R359">
        <v>0</v>
      </c>
      <c r="S359">
        <v>0.625</v>
      </c>
      <c r="T359">
        <v>17</v>
      </c>
      <c r="U359">
        <v>0.3023529411764705</v>
      </c>
      <c r="V359">
        <v>-0.2324</v>
      </c>
      <c r="W359">
        <v>1.76</v>
      </c>
      <c r="X359">
        <v>1.1</v>
      </c>
      <c r="Y359">
        <v>-0.7431</v>
      </c>
      <c r="Z359">
        <v>0.9661016949152542</v>
      </c>
      <c r="AA359">
        <v>0.02487562189054726</v>
      </c>
      <c r="AB359">
        <v>0.1274834437086093</v>
      </c>
      <c r="AC359">
        <v>0.9917218543046357</v>
      </c>
      <c r="AD359">
        <v>0.9900662251655629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25.04</v>
      </c>
      <c r="D360">
        <v>1940.106712</v>
      </c>
      <c r="E360" t="s">
        <v>649</v>
      </c>
      <c r="F360" t="s">
        <v>614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0.18001198083067</v>
      </c>
      <c r="M360">
        <v>0.2064494503288425</v>
      </c>
      <c r="N360">
        <v>0.05</v>
      </c>
      <c r="O360">
        <v>0.3346815799920169</v>
      </c>
      <c r="P360" t="s">
        <v>316</v>
      </c>
      <c r="Q360" t="s">
        <v>618</v>
      </c>
      <c r="R360">
        <v>10</v>
      </c>
      <c r="S360">
        <v>0.8504716981132077</v>
      </c>
      <c r="T360">
        <v>64</v>
      </c>
      <c r="U360">
        <v>0.39125</v>
      </c>
      <c r="V360">
        <v>1.9127</v>
      </c>
      <c r="W360">
        <v>5.3</v>
      </c>
      <c r="X360">
        <v>4.5075</v>
      </c>
      <c r="Y360">
        <v>-0.6795</v>
      </c>
      <c r="Z360">
        <v>0.9423728813559322</v>
      </c>
      <c r="AA360">
        <v>0.04975124378109452</v>
      </c>
      <c r="AB360">
        <v>0.4991721854304636</v>
      </c>
      <c r="AC360">
        <v>0.9768211920529801</v>
      </c>
      <c r="AD360">
        <v>0.9817880794701986</v>
      </c>
    </row>
    <row r="361" spans="1:30">
      <c r="A361" s="1" t="s">
        <v>368</v>
      </c>
      <c r="B361">
        <f>HYPERLINK("https://www.suredividend.com/sure-analysis-TRGP/","Targa Resources Corp.")</f>
        <v>0</v>
      </c>
      <c r="C361">
        <v>15.03</v>
      </c>
      <c r="D361">
        <v>3503.73348</v>
      </c>
      <c r="E361" t="s">
        <v>644</v>
      </c>
      <c r="F361" t="s">
        <v>613</v>
      </c>
      <c r="G361" t="s">
        <v>653</v>
      </c>
      <c r="H361" t="s">
        <v>682</v>
      </c>
      <c r="I361" t="s">
        <v>1043</v>
      </c>
      <c r="J361" t="s">
        <v>1284</v>
      </c>
      <c r="K361">
        <v>43886</v>
      </c>
      <c r="L361">
        <v>0.188290086493679</v>
      </c>
      <c r="M361">
        <v>0.1908819260222396</v>
      </c>
      <c r="N361">
        <v>0.03</v>
      </c>
      <c r="O361">
        <v>0.3194792644315392</v>
      </c>
      <c r="P361" t="s">
        <v>316</v>
      </c>
      <c r="Q361" t="s">
        <v>618</v>
      </c>
      <c r="R361">
        <v>0</v>
      </c>
      <c r="S361">
        <v>0.7075</v>
      </c>
      <c r="T361">
        <v>36</v>
      </c>
      <c r="U361">
        <v>0.4175</v>
      </c>
      <c r="V361">
        <v>-8.730499999999999</v>
      </c>
      <c r="W361">
        <v>4</v>
      </c>
      <c r="X361">
        <v>2.83</v>
      </c>
      <c r="Y361">
        <v>-0.6416000000000001</v>
      </c>
      <c r="Z361">
        <v>0.9542372881355932</v>
      </c>
      <c r="AA361">
        <v>0.06633499170812604</v>
      </c>
      <c r="AB361">
        <v>0.2144039735099338</v>
      </c>
      <c r="AC361">
        <v>0.9751655629139073</v>
      </c>
      <c r="AD361">
        <v>0.978476821192053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2.56</v>
      </c>
      <c r="D362">
        <v>10141.373312</v>
      </c>
      <c r="E362" t="s">
        <v>644</v>
      </c>
      <c r="F362" t="s">
        <v>613</v>
      </c>
      <c r="G362" t="s">
        <v>669</v>
      </c>
      <c r="H362" t="s">
        <v>684</v>
      </c>
      <c r="I362" t="s">
        <v>1044</v>
      </c>
      <c r="J362" t="s">
        <v>1277</v>
      </c>
      <c r="K362">
        <v>43879</v>
      </c>
      <c r="L362">
        <v>0.1928125</v>
      </c>
      <c r="M362">
        <v>0.2228455710323991</v>
      </c>
      <c r="N362">
        <v>0.015</v>
      </c>
      <c r="O362">
        <v>0.3148284038749727</v>
      </c>
      <c r="P362" t="s">
        <v>316</v>
      </c>
      <c r="Q362" t="s">
        <v>618</v>
      </c>
      <c r="R362">
        <v>0</v>
      </c>
      <c r="S362">
        <v>0.7051428571428573</v>
      </c>
      <c r="T362">
        <v>7</v>
      </c>
      <c r="U362">
        <v>0.3657142857142857</v>
      </c>
      <c r="V362">
        <v>0.7054</v>
      </c>
      <c r="W362">
        <v>0.7</v>
      </c>
      <c r="X362">
        <v>0.4936</v>
      </c>
      <c r="Y362">
        <v>-0.5601</v>
      </c>
      <c r="Z362">
        <v>0.9576271186440678</v>
      </c>
      <c r="AA362">
        <v>0.1144278606965174</v>
      </c>
      <c r="AB362">
        <v>0.07781456953642384</v>
      </c>
      <c r="AC362">
        <v>0.9801324503311258</v>
      </c>
      <c r="AD362">
        <v>0.9751655629139073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6.7</v>
      </c>
      <c r="D363">
        <v>3074.6032</v>
      </c>
      <c r="E363" t="s">
        <v>643</v>
      </c>
      <c r="F363" t="s">
        <v>613</v>
      </c>
      <c r="G363" t="s">
        <v>653</v>
      </c>
      <c r="H363" t="s">
        <v>682</v>
      </c>
      <c r="I363" t="s">
        <v>1045</v>
      </c>
      <c r="J363" t="s">
        <v>1277</v>
      </c>
      <c r="K363">
        <v>43946</v>
      </c>
      <c r="L363">
        <v>0.185074626865671</v>
      </c>
      <c r="M363">
        <v>0.2444889322202632</v>
      </c>
      <c r="N363">
        <v>0.02</v>
      </c>
      <c r="O363">
        <v>0.3056068015344899</v>
      </c>
      <c r="P363" t="s">
        <v>316</v>
      </c>
      <c r="Q363" t="s">
        <v>618</v>
      </c>
      <c r="R363">
        <v>0</v>
      </c>
      <c r="S363">
        <v>0.6888888888888889</v>
      </c>
      <c r="T363">
        <v>20</v>
      </c>
      <c r="U363">
        <v>0.335</v>
      </c>
      <c r="V363">
        <v>1.0288</v>
      </c>
      <c r="W363">
        <v>1.8</v>
      </c>
      <c r="X363">
        <v>1.24</v>
      </c>
      <c r="Y363">
        <v>-0.6746</v>
      </c>
      <c r="Z363">
        <v>0.9491525423728814</v>
      </c>
      <c r="AA363">
        <v>0.05306799336650083</v>
      </c>
      <c r="AB363">
        <v>0.1274834437086093</v>
      </c>
      <c r="AC363">
        <v>0.9867549668874172</v>
      </c>
      <c r="AD363">
        <v>0.9718543046357615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51.32</v>
      </c>
      <c r="D364">
        <v>33770.582932</v>
      </c>
      <c r="E364" t="s">
        <v>646</v>
      </c>
      <c r="F364" t="s">
        <v>614</v>
      </c>
      <c r="G364" t="s">
        <v>653</v>
      </c>
      <c r="H364" t="s">
        <v>682</v>
      </c>
      <c r="I364" t="s">
        <v>1046</v>
      </c>
      <c r="J364" t="s">
        <v>1281</v>
      </c>
      <c r="K364">
        <v>43912</v>
      </c>
      <c r="L364">
        <v>0.162704598597038</v>
      </c>
      <c r="M364">
        <v>0.1427274777832388</v>
      </c>
      <c r="N364">
        <v>0.07000000000000001</v>
      </c>
      <c r="O364">
        <v>0.2936130764612372</v>
      </c>
      <c r="P364" t="s">
        <v>316</v>
      </c>
      <c r="Q364" t="s">
        <v>618</v>
      </c>
      <c r="R364">
        <v>10</v>
      </c>
      <c r="S364">
        <v>0.835</v>
      </c>
      <c r="T364">
        <v>100</v>
      </c>
      <c r="U364">
        <v>0.5132</v>
      </c>
      <c r="V364">
        <v>6.4145</v>
      </c>
      <c r="W364">
        <v>10</v>
      </c>
      <c r="X364">
        <v>8.35</v>
      </c>
      <c r="Y364">
        <v>-0.7101000000000001</v>
      </c>
      <c r="Z364">
        <v>0.9305084745762712</v>
      </c>
      <c r="AA364">
        <v>0.03648424543946932</v>
      </c>
      <c r="AB364">
        <v>0.7259933774834437</v>
      </c>
      <c r="AC364">
        <v>0.9238410596026491</v>
      </c>
      <c r="AD364">
        <v>0.9685430463576159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2.49</v>
      </c>
      <c r="D365">
        <v>592.35606</v>
      </c>
      <c r="E365" t="s">
        <v>645</v>
      </c>
      <c r="F365" t="s">
        <v>614</v>
      </c>
      <c r="G365" t="s">
        <v>653</v>
      </c>
      <c r="H365" t="s">
        <v>683</v>
      </c>
      <c r="I365" t="s">
        <v>1047</v>
      </c>
      <c r="J365" t="s">
        <v>1281</v>
      </c>
      <c r="K365">
        <v>43922</v>
      </c>
      <c r="L365">
        <v>0.240963855421686</v>
      </c>
      <c r="M365">
        <v>0.1674515941859964</v>
      </c>
      <c r="N365">
        <v>-0.01</v>
      </c>
      <c r="O365">
        <v>0.2808227931428391</v>
      </c>
      <c r="P365" t="s">
        <v>316</v>
      </c>
      <c r="Q365" t="s">
        <v>618</v>
      </c>
      <c r="R365">
        <v>0</v>
      </c>
      <c r="S365">
        <v>0.6666666666666667</v>
      </c>
      <c r="T365">
        <v>5.4</v>
      </c>
      <c r="U365">
        <v>0.4611111111111111</v>
      </c>
      <c r="V365">
        <v>-0.457</v>
      </c>
      <c r="W365">
        <v>0.9</v>
      </c>
      <c r="X365">
        <v>0.6000000000000001</v>
      </c>
      <c r="Y365">
        <v>-0.6907</v>
      </c>
      <c r="Z365">
        <v>0.9728813559322034</v>
      </c>
      <c r="AA365">
        <v>0.04809286898839137</v>
      </c>
      <c r="AB365">
        <v>0.01241721854304636</v>
      </c>
      <c r="AC365">
        <v>0.9536423841059603</v>
      </c>
      <c r="AD365">
        <v>0.9635761589403974</v>
      </c>
    </row>
    <row r="366" spans="1:30">
      <c r="A366" s="1" t="s">
        <v>373</v>
      </c>
      <c r="B366">
        <f>HYPERLINK("https://www.suredividend.com/sure-analysis-BRX/","Brixmor Property Group, Inc.")</f>
        <v>0</v>
      </c>
      <c r="C366">
        <v>9.35</v>
      </c>
      <c r="D366">
        <v>2771.79815</v>
      </c>
      <c r="E366" t="s">
        <v>650</v>
      </c>
      <c r="F366" t="s">
        <v>614</v>
      </c>
      <c r="G366" t="s">
        <v>653</v>
      </c>
      <c r="H366" t="s">
        <v>682</v>
      </c>
      <c r="I366" t="s">
        <v>1048</v>
      </c>
      <c r="J366" t="s">
        <v>1281</v>
      </c>
      <c r="K366">
        <v>43875</v>
      </c>
      <c r="L366">
        <v>0.120855614973262</v>
      </c>
      <c r="M366">
        <v>0.1756594437440968</v>
      </c>
      <c r="N366">
        <v>0.03</v>
      </c>
      <c r="O366">
        <v>0.2673854288819262</v>
      </c>
      <c r="P366" t="s">
        <v>316</v>
      </c>
      <c r="Q366" t="s">
        <v>618</v>
      </c>
      <c r="R366">
        <v>6</v>
      </c>
      <c r="S366">
        <v>0.5854922279792746</v>
      </c>
      <c r="T366">
        <v>21</v>
      </c>
      <c r="U366">
        <v>0.4452380952380952</v>
      </c>
      <c r="V366">
        <v>0.909</v>
      </c>
      <c r="W366">
        <v>1.93</v>
      </c>
      <c r="X366">
        <v>1.13</v>
      </c>
      <c r="Y366">
        <v>-0.486</v>
      </c>
      <c r="Z366">
        <v>0.8762711864406779</v>
      </c>
      <c r="AA366">
        <v>0.175787728026534</v>
      </c>
      <c r="AB366">
        <v>0.2144039735099338</v>
      </c>
      <c r="AC366">
        <v>0.9619205298013245</v>
      </c>
      <c r="AD366">
        <v>0.9552980132450331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28.37</v>
      </c>
      <c r="D367">
        <v>35422.568629</v>
      </c>
      <c r="E367" t="s">
        <v>648</v>
      </c>
      <c r="F367" t="s">
        <v>613</v>
      </c>
      <c r="G367" t="s">
        <v>669</v>
      </c>
      <c r="H367" t="s">
        <v>684</v>
      </c>
      <c r="I367" t="s">
        <v>1049</v>
      </c>
      <c r="J367" t="s">
        <v>1277</v>
      </c>
      <c r="K367">
        <v>43904</v>
      </c>
      <c r="L367">
        <v>0.106450475854776</v>
      </c>
      <c r="M367">
        <v>0.1729952210233585</v>
      </c>
      <c r="N367">
        <v>0.03</v>
      </c>
      <c r="O367">
        <v>0.263484215572684</v>
      </c>
      <c r="P367" t="s">
        <v>316</v>
      </c>
      <c r="Q367" t="s">
        <v>618</v>
      </c>
      <c r="R367">
        <v>3</v>
      </c>
      <c r="S367">
        <v>0.4339080459770115</v>
      </c>
      <c r="T367">
        <v>63</v>
      </c>
      <c r="U367">
        <v>0.4503174603174603</v>
      </c>
      <c r="V367">
        <v>6.9524</v>
      </c>
      <c r="W367">
        <v>6.96</v>
      </c>
      <c r="X367">
        <v>3.02</v>
      </c>
      <c r="Y367">
        <v>-0.4407</v>
      </c>
      <c r="Z367">
        <v>0.8440677966101695</v>
      </c>
      <c r="AA367">
        <v>0.2222222222222222</v>
      </c>
      <c r="AB367">
        <v>0.2144039735099338</v>
      </c>
      <c r="AC367">
        <v>0.9569536423841059</v>
      </c>
      <c r="AD367">
        <v>0.9536423841059603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41.92</v>
      </c>
      <c r="D368">
        <v>87269.4752</v>
      </c>
      <c r="E368" t="s">
        <v>649</v>
      </c>
      <c r="F368" t="s">
        <v>613</v>
      </c>
      <c r="G368" t="s">
        <v>653</v>
      </c>
      <c r="H368" t="s">
        <v>682</v>
      </c>
      <c r="I368" t="s">
        <v>1050</v>
      </c>
      <c r="J368" t="s">
        <v>1277</v>
      </c>
      <c r="K368">
        <v>43939</v>
      </c>
      <c r="L368">
        <v>0.04723282442748</v>
      </c>
      <c r="M368">
        <v>0.1598779161635688</v>
      </c>
      <c r="N368">
        <v>0.06</v>
      </c>
      <c r="O368">
        <v>0.2568542696220575</v>
      </c>
      <c r="P368" t="s">
        <v>316</v>
      </c>
      <c r="Q368" t="s">
        <v>316</v>
      </c>
      <c r="R368">
        <v>6</v>
      </c>
      <c r="S368">
        <v>0.6</v>
      </c>
      <c r="T368">
        <v>88</v>
      </c>
      <c r="U368">
        <v>0.4763636363636364</v>
      </c>
      <c r="V368">
        <v>7.25</v>
      </c>
      <c r="W368">
        <v>3.3</v>
      </c>
      <c r="X368">
        <v>1.98</v>
      </c>
      <c r="Y368">
        <v>-0.3538</v>
      </c>
      <c r="Z368">
        <v>0.5559322033898305</v>
      </c>
      <c r="AA368">
        <v>0.3150912106135987</v>
      </c>
      <c r="AB368">
        <v>0.6341059602649007</v>
      </c>
      <c r="AC368">
        <v>0.9403973509933775</v>
      </c>
      <c r="AD368">
        <v>0.945364238410596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16.54</v>
      </c>
      <c r="D369">
        <v>9654.53032</v>
      </c>
      <c r="E369" t="s">
        <v>643</v>
      </c>
      <c r="F369" t="s">
        <v>613</v>
      </c>
      <c r="G369" t="s">
        <v>653</v>
      </c>
      <c r="H369" t="s">
        <v>682</v>
      </c>
      <c r="I369" t="s">
        <v>1051</v>
      </c>
      <c r="J369" t="s">
        <v>1277</v>
      </c>
      <c r="K369">
        <v>43946</v>
      </c>
      <c r="L369">
        <v>0.052599758162031</v>
      </c>
      <c r="M369">
        <v>0.1682973701960493</v>
      </c>
      <c r="N369">
        <v>0.05</v>
      </c>
      <c r="O369">
        <v>0.2536188912045778</v>
      </c>
      <c r="P369" t="s">
        <v>316</v>
      </c>
      <c r="Q369" t="s">
        <v>316</v>
      </c>
      <c r="R369">
        <v>4</v>
      </c>
      <c r="S369">
        <v>0.58</v>
      </c>
      <c r="T369">
        <v>36</v>
      </c>
      <c r="U369">
        <v>0.4594444444444444</v>
      </c>
      <c r="V369">
        <v>4.4623</v>
      </c>
      <c r="W369">
        <v>1.5</v>
      </c>
      <c r="X369">
        <v>0.87</v>
      </c>
      <c r="Y369">
        <v>-0.5255000000000001</v>
      </c>
      <c r="Z369">
        <v>0.6016949152542374</v>
      </c>
      <c r="AA369">
        <v>0.1326699834162521</v>
      </c>
      <c r="AB369">
        <v>0.4991721854304636</v>
      </c>
      <c r="AC369">
        <v>0.9552980132450331</v>
      </c>
      <c r="AD369">
        <v>0.9420529801324503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12.78</v>
      </c>
      <c r="D370">
        <v>6743.48202</v>
      </c>
      <c r="E370" t="s">
        <v>649</v>
      </c>
      <c r="F370" t="s">
        <v>613</v>
      </c>
      <c r="G370" t="s">
        <v>653</v>
      </c>
      <c r="H370" t="s">
        <v>682</v>
      </c>
      <c r="I370" t="s">
        <v>1052</v>
      </c>
      <c r="J370" t="s">
        <v>1279</v>
      </c>
      <c r="K370">
        <v>43920</v>
      </c>
      <c r="L370">
        <v>0.156494522691705</v>
      </c>
      <c r="M370">
        <v>0.1343212747864497</v>
      </c>
      <c r="N370">
        <v>0.04</v>
      </c>
      <c r="O370">
        <v>0.2512679211497089</v>
      </c>
      <c r="P370" t="s">
        <v>316</v>
      </c>
      <c r="Q370" t="s">
        <v>618</v>
      </c>
      <c r="R370">
        <v>5</v>
      </c>
      <c r="S370">
        <v>0.6666666666666666</v>
      </c>
      <c r="T370">
        <v>24</v>
      </c>
      <c r="U370">
        <v>0.5325</v>
      </c>
      <c r="V370">
        <v>2.7109</v>
      </c>
      <c r="W370">
        <v>3</v>
      </c>
      <c r="X370">
        <v>2</v>
      </c>
      <c r="Y370">
        <v>-0.7624000000000001</v>
      </c>
      <c r="Z370">
        <v>0.9254237288135593</v>
      </c>
      <c r="AA370">
        <v>0.01492537313432836</v>
      </c>
      <c r="AB370">
        <v>0.3493377483443709</v>
      </c>
      <c r="AC370">
        <v>0.9089403973509934</v>
      </c>
      <c r="AD370">
        <v>0.9403973509933775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12.6</v>
      </c>
      <c r="D371">
        <v>1818.8604</v>
      </c>
      <c r="E371" t="s">
        <v>643</v>
      </c>
      <c r="F371" t="s">
        <v>613</v>
      </c>
      <c r="G371" t="s">
        <v>653</v>
      </c>
      <c r="H371" t="s">
        <v>682</v>
      </c>
      <c r="I371" t="s">
        <v>1053</v>
      </c>
      <c r="J371" t="s">
        <v>1281</v>
      </c>
      <c r="K371">
        <v>43892</v>
      </c>
      <c r="L371">
        <v>0.115873015873015</v>
      </c>
      <c r="M371">
        <v>0.173160676311841</v>
      </c>
      <c r="N371">
        <v>0.015</v>
      </c>
      <c r="O371">
        <v>0.2470615586541607</v>
      </c>
      <c r="P371" t="s">
        <v>316</v>
      </c>
      <c r="Q371" t="s">
        <v>618</v>
      </c>
      <c r="R371">
        <v>1</v>
      </c>
      <c r="S371">
        <v>0.5725490196078432</v>
      </c>
      <c r="T371">
        <v>28</v>
      </c>
      <c r="U371">
        <v>0.45</v>
      </c>
      <c r="V371">
        <v>0.9665</v>
      </c>
      <c r="W371">
        <v>2.55</v>
      </c>
      <c r="X371">
        <v>1.46</v>
      </c>
      <c r="Y371">
        <v>-0.5057</v>
      </c>
      <c r="Z371">
        <v>0.8661016949152542</v>
      </c>
      <c r="AA371">
        <v>0.1558872305140962</v>
      </c>
      <c r="AB371">
        <v>0.07781456953642384</v>
      </c>
      <c r="AC371">
        <v>0.9586092715231789</v>
      </c>
      <c r="AD371">
        <v>0.9321192052980132</v>
      </c>
    </row>
    <row r="372" spans="1:30">
      <c r="A372" s="1" t="s">
        <v>379</v>
      </c>
      <c r="B372">
        <f>HYPERLINK("https://www.suredividend.com/sure-analysis-KSS/","Kohl's Corp.")</f>
        <v>0</v>
      </c>
      <c r="C372">
        <v>17.54</v>
      </c>
      <c r="D372">
        <v>2723.03238</v>
      </c>
      <c r="E372" t="s">
        <v>649</v>
      </c>
      <c r="F372" t="s">
        <v>613</v>
      </c>
      <c r="G372" t="s">
        <v>653</v>
      </c>
      <c r="H372" t="s">
        <v>682</v>
      </c>
      <c r="I372" t="s">
        <v>1054</v>
      </c>
      <c r="J372" t="s">
        <v>1279</v>
      </c>
      <c r="K372">
        <v>43899</v>
      </c>
      <c r="L372">
        <v>0.15279361459521</v>
      </c>
      <c r="M372">
        <v>0.1481739547076484</v>
      </c>
      <c r="N372">
        <v>0</v>
      </c>
      <c r="O372">
        <v>0.2350106275140309</v>
      </c>
      <c r="P372" t="s">
        <v>316</v>
      </c>
      <c r="Q372" t="s">
        <v>618</v>
      </c>
      <c r="R372">
        <v>9</v>
      </c>
      <c r="S372">
        <v>0.6160919540229886</v>
      </c>
      <c r="T372">
        <v>35</v>
      </c>
      <c r="U372">
        <v>0.5011428571428571</v>
      </c>
      <c r="V372">
        <v>4.41</v>
      </c>
      <c r="W372">
        <v>4.35</v>
      </c>
      <c r="X372">
        <v>2.68</v>
      </c>
      <c r="Y372">
        <v>-0.7269</v>
      </c>
      <c r="Z372">
        <v>0.9135593220338982</v>
      </c>
      <c r="AA372">
        <v>0.02985074626865672</v>
      </c>
      <c r="AB372">
        <v>0.02980132450331126</v>
      </c>
      <c r="AC372">
        <v>0.9288079470198676</v>
      </c>
      <c r="AD372">
        <v>0.9205298013245033</v>
      </c>
    </row>
    <row r="373" spans="1:30">
      <c r="A373" s="1" t="s">
        <v>380</v>
      </c>
      <c r="B373">
        <f>HYPERLINK("https://www.suredividend.com/sure-analysis-TPR/","Tapestry, Inc.")</f>
        <v>0</v>
      </c>
      <c r="C373">
        <v>12.2</v>
      </c>
      <c r="D373">
        <v>3368.3956</v>
      </c>
      <c r="E373" t="s">
        <v>648</v>
      </c>
      <c r="F373" t="s">
        <v>613</v>
      </c>
      <c r="G373" t="s">
        <v>653</v>
      </c>
      <c r="H373" t="s">
        <v>682</v>
      </c>
      <c r="I373" t="s">
        <v>1055</v>
      </c>
      <c r="J373" t="s">
        <v>1279</v>
      </c>
      <c r="K373">
        <v>43888</v>
      </c>
      <c r="L373">
        <v>0.110655737704918</v>
      </c>
      <c r="M373">
        <v>0.1251555585047419</v>
      </c>
      <c r="N373">
        <v>0.045</v>
      </c>
      <c r="O373">
        <v>0.2312099952529882</v>
      </c>
      <c r="P373" t="s">
        <v>316</v>
      </c>
      <c r="Q373" t="s">
        <v>618</v>
      </c>
      <c r="R373">
        <v>0</v>
      </c>
      <c r="S373">
        <v>0.6136363636363636</v>
      </c>
      <c r="T373">
        <v>22</v>
      </c>
      <c r="U373">
        <v>0.5545454545454546</v>
      </c>
      <c r="V373">
        <v>-0.7844</v>
      </c>
      <c r="W373">
        <v>2.2</v>
      </c>
      <c r="X373">
        <v>1.35</v>
      </c>
      <c r="Y373">
        <v>-0.6075</v>
      </c>
      <c r="Z373">
        <v>0.8559322033898304</v>
      </c>
      <c r="AA373">
        <v>0.0812603648424544</v>
      </c>
      <c r="AB373">
        <v>0.4155629139072847</v>
      </c>
      <c r="AC373">
        <v>0.8923841059602649</v>
      </c>
      <c r="AD373">
        <v>0.9172185430463575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10.86</v>
      </c>
      <c r="D374">
        <v>3003.14838</v>
      </c>
      <c r="E374" t="s">
        <v>641</v>
      </c>
      <c r="F374" t="s">
        <v>613</v>
      </c>
      <c r="G374" t="s">
        <v>653</v>
      </c>
      <c r="H374" t="s">
        <v>682</v>
      </c>
      <c r="I374" t="s">
        <v>1056</v>
      </c>
      <c r="J374" t="s">
        <v>1279</v>
      </c>
      <c r="K374">
        <v>43888</v>
      </c>
      <c r="L374">
        <v>0.11049723756906</v>
      </c>
      <c r="M374">
        <v>0.1409796376259504</v>
      </c>
      <c r="N374">
        <v>0.03</v>
      </c>
      <c r="O374">
        <v>0.2281481648711841</v>
      </c>
      <c r="P374" t="s">
        <v>316</v>
      </c>
      <c r="Q374" t="s">
        <v>618</v>
      </c>
      <c r="R374">
        <v>0</v>
      </c>
      <c r="S374">
        <v>0.5217391304347826</v>
      </c>
      <c r="T374">
        <v>21</v>
      </c>
      <c r="U374">
        <v>0.5171428571428571</v>
      </c>
      <c r="V374">
        <v>-1.3207</v>
      </c>
      <c r="W374">
        <v>2.3</v>
      </c>
      <c r="X374">
        <v>1.2</v>
      </c>
      <c r="Y374">
        <v>-0.5165000000000001</v>
      </c>
      <c r="Z374">
        <v>0.852542372881356</v>
      </c>
      <c r="AA374">
        <v>0.1459369817578773</v>
      </c>
      <c r="AB374">
        <v>0.2144039735099338</v>
      </c>
      <c r="AC374">
        <v>0.9205298013245033</v>
      </c>
      <c r="AD374">
        <v>0.9139072847682119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5.31</v>
      </c>
      <c r="D375">
        <v>1644.3477</v>
      </c>
      <c r="E375" t="s">
        <v>643</v>
      </c>
      <c r="F375" t="s">
        <v>613</v>
      </c>
      <c r="G375" t="s">
        <v>653</v>
      </c>
      <c r="H375" t="s">
        <v>682</v>
      </c>
      <c r="I375" t="s">
        <v>1057</v>
      </c>
      <c r="J375" t="s">
        <v>1279</v>
      </c>
      <c r="K375">
        <v>43903</v>
      </c>
      <c r="L375">
        <v>0.284369114877589</v>
      </c>
      <c r="M375">
        <v>0.1771108016730245</v>
      </c>
      <c r="N375">
        <v>-0.06</v>
      </c>
      <c r="O375">
        <v>0.2265871555462537</v>
      </c>
      <c r="P375" t="s">
        <v>316</v>
      </c>
      <c r="Q375" t="s">
        <v>618</v>
      </c>
      <c r="R375">
        <v>0</v>
      </c>
      <c r="S375">
        <v>0.755</v>
      </c>
      <c r="T375">
        <v>12</v>
      </c>
      <c r="U375">
        <v>0.4424999999999999</v>
      </c>
      <c r="V375">
        <v>1.8212</v>
      </c>
      <c r="W375">
        <v>2</v>
      </c>
      <c r="X375">
        <v>1.51</v>
      </c>
      <c r="Y375">
        <v>-0.7553000000000001</v>
      </c>
      <c r="Z375">
        <v>0.9881355932203389</v>
      </c>
      <c r="AA375">
        <v>0.01824212271973466</v>
      </c>
      <c r="AB375">
        <v>0.004966887417218543</v>
      </c>
      <c r="AC375">
        <v>0.9652317880794702</v>
      </c>
      <c r="AD375">
        <v>0.912251655629139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14.37</v>
      </c>
      <c r="D376">
        <v>15926.32848</v>
      </c>
      <c r="E376" t="s">
        <v>642</v>
      </c>
      <c r="F376" t="s">
        <v>613</v>
      </c>
      <c r="G376" t="s">
        <v>674</v>
      </c>
      <c r="H376" t="s">
        <v>684</v>
      </c>
      <c r="I376" t="s">
        <v>1058</v>
      </c>
      <c r="J376" t="s">
        <v>1277</v>
      </c>
      <c r="K376">
        <v>43883</v>
      </c>
      <c r="L376">
        <v>0.067432150313152</v>
      </c>
      <c r="M376">
        <v>0.1259090655121371</v>
      </c>
      <c r="N376">
        <v>0.046</v>
      </c>
      <c r="O376">
        <v>0.2184078246889836</v>
      </c>
      <c r="P376" t="s">
        <v>316</v>
      </c>
      <c r="Q376" t="s">
        <v>375</v>
      </c>
      <c r="R376">
        <v>0</v>
      </c>
      <c r="S376">
        <v>0.4845</v>
      </c>
      <c r="T376">
        <v>26</v>
      </c>
      <c r="U376">
        <v>0.5526923076923077</v>
      </c>
      <c r="V376">
        <v>1.1425</v>
      </c>
      <c r="W376">
        <v>2</v>
      </c>
      <c r="X376">
        <v>0.969</v>
      </c>
      <c r="Y376">
        <v>-0.3459</v>
      </c>
      <c r="Z376">
        <v>0.6915254237288135</v>
      </c>
      <c r="AA376">
        <v>0.3283582089552239</v>
      </c>
      <c r="AB376">
        <v>0.4246688741721855</v>
      </c>
      <c r="AC376">
        <v>0.8990066225165563</v>
      </c>
      <c r="AD376">
        <v>0.8990066225165563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15.24</v>
      </c>
      <c r="D377">
        <v>5686.89744</v>
      </c>
      <c r="E377" t="s">
        <v>643</v>
      </c>
      <c r="F377" t="s">
        <v>613</v>
      </c>
      <c r="G377" t="s">
        <v>653</v>
      </c>
      <c r="H377" t="s">
        <v>682</v>
      </c>
      <c r="I377" t="s">
        <v>1059</v>
      </c>
      <c r="J377" t="s">
        <v>1277</v>
      </c>
      <c r="K377">
        <v>43958</v>
      </c>
      <c r="L377">
        <v>0.045931758530183</v>
      </c>
      <c r="M377">
        <v>0.1293657500263214</v>
      </c>
      <c r="N377">
        <v>0.05</v>
      </c>
      <c r="O377">
        <v>0.2178590919911545</v>
      </c>
      <c r="P377" t="s">
        <v>316</v>
      </c>
      <c r="Q377" t="s">
        <v>316</v>
      </c>
      <c r="R377">
        <v>4</v>
      </c>
      <c r="S377">
        <v>0.5833333333333334</v>
      </c>
      <c r="T377">
        <v>28</v>
      </c>
      <c r="U377">
        <v>0.5442857142857143</v>
      </c>
      <c r="V377">
        <v>2.582</v>
      </c>
      <c r="W377">
        <v>1.2</v>
      </c>
      <c r="X377">
        <v>0.7000000000000001</v>
      </c>
      <c r="Y377">
        <v>-0.4772</v>
      </c>
      <c r="Z377">
        <v>0.5389830508474577</v>
      </c>
      <c r="AA377">
        <v>0.1857379767827529</v>
      </c>
      <c r="AB377">
        <v>0.4991721854304636</v>
      </c>
      <c r="AC377">
        <v>0.9039735099337749</v>
      </c>
      <c r="AD377">
        <v>0.8973509933774834</v>
      </c>
    </row>
    <row r="378" spans="1:30">
      <c r="A378" s="1" t="s">
        <v>385</v>
      </c>
      <c r="B378">
        <f>HYPERLINK("https://www.suredividend.com/sure-analysis-HST/","Host Hotels &amp; Resorts, Inc.")</f>
        <v>0</v>
      </c>
      <c r="C378">
        <v>10.06</v>
      </c>
      <c r="D378">
        <v>7091.88754</v>
      </c>
      <c r="E378" t="s">
        <v>644</v>
      </c>
      <c r="F378" t="s">
        <v>614</v>
      </c>
      <c r="G378" t="s">
        <v>653</v>
      </c>
      <c r="H378" t="s">
        <v>682</v>
      </c>
      <c r="I378" t="s">
        <v>1060</v>
      </c>
      <c r="J378" t="s">
        <v>1281</v>
      </c>
      <c r="K378">
        <v>43886</v>
      </c>
      <c r="L378">
        <v>0.07952286282306101</v>
      </c>
      <c r="M378">
        <v>0.1356150096449622</v>
      </c>
      <c r="N378">
        <v>0.02</v>
      </c>
      <c r="O378">
        <v>0.2032791162396377</v>
      </c>
      <c r="P378" t="s">
        <v>316</v>
      </c>
      <c r="Q378" t="s">
        <v>618</v>
      </c>
      <c r="R378">
        <v>0</v>
      </c>
      <c r="S378">
        <v>0.4733727810650888</v>
      </c>
      <c r="T378">
        <v>19</v>
      </c>
      <c r="U378">
        <v>0.5294736842105263</v>
      </c>
      <c r="V378">
        <v>1.0017</v>
      </c>
      <c r="W378">
        <v>1.69</v>
      </c>
      <c r="X378">
        <v>0.8</v>
      </c>
      <c r="Y378">
        <v>-0.4782</v>
      </c>
      <c r="Z378">
        <v>0.771186440677966</v>
      </c>
      <c r="AA378">
        <v>0.1824212271973466</v>
      </c>
      <c r="AB378">
        <v>0.1274834437086093</v>
      </c>
      <c r="AC378">
        <v>0.912251655629139</v>
      </c>
      <c r="AD378">
        <v>0.8791390728476821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9.27</v>
      </c>
      <c r="D379">
        <v>10173.825</v>
      </c>
      <c r="E379" t="s">
        <v>647</v>
      </c>
      <c r="F379" t="s">
        <v>613</v>
      </c>
      <c r="G379" t="s">
        <v>653</v>
      </c>
      <c r="H379" t="s">
        <v>682</v>
      </c>
      <c r="I379" t="s">
        <v>1061</v>
      </c>
      <c r="J379" t="s">
        <v>1282</v>
      </c>
      <c r="K379">
        <v>43888</v>
      </c>
      <c r="L379">
        <v>0.107874865156418</v>
      </c>
      <c r="M379">
        <v>0.1111277233435986</v>
      </c>
      <c r="N379">
        <v>0.03</v>
      </c>
      <c r="O379">
        <v>0.201389709217602</v>
      </c>
      <c r="P379" t="s">
        <v>316</v>
      </c>
      <c r="Q379" t="s">
        <v>618</v>
      </c>
      <c r="R379">
        <v>0</v>
      </c>
      <c r="S379">
        <v>0.6993006993006994</v>
      </c>
      <c r="T379">
        <v>15.7</v>
      </c>
      <c r="U379">
        <v>0.5904458598726114</v>
      </c>
      <c r="V379">
        <v>1.1277</v>
      </c>
      <c r="W379">
        <v>1.43</v>
      </c>
      <c r="X379">
        <v>1</v>
      </c>
      <c r="Y379">
        <v>-0.1534</v>
      </c>
      <c r="Z379">
        <v>0.847457627118644</v>
      </c>
      <c r="AA379">
        <v>0.6019900497512438</v>
      </c>
      <c r="AB379">
        <v>0.2144039735099338</v>
      </c>
      <c r="AC379">
        <v>0.8725165562913908</v>
      </c>
      <c r="AD379">
        <v>0.8774834437086092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7.2</v>
      </c>
      <c r="D380">
        <v>19399.032</v>
      </c>
      <c r="E380" t="s">
        <v>646</v>
      </c>
      <c r="F380" t="s">
        <v>615</v>
      </c>
      <c r="G380" t="s">
        <v>653</v>
      </c>
      <c r="H380" t="s">
        <v>682</v>
      </c>
      <c r="I380" t="s">
        <v>1062</v>
      </c>
      <c r="J380" t="s">
        <v>1284</v>
      </c>
      <c r="K380">
        <v>43913</v>
      </c>
      <c r="L380">
        <v>0.169444444444444</v>
      </c>
      <c r="M380">
        <v>0.03131030647754507</v>
      </c>
      <c r="N380">
        <v>0.074</v>
      </c>
      <c r="O380">
        <v>0.1994093377312784</v>
      </c>
      <c r="P380" t="s">
        <v>316</v>
      </c>
      <c r="Q380" t="s">
        <v>617</v>
      </c>
      <c r="R380">
        <v>0</v>
      </c>
      <c r="S380">
        <v>0.8714285714285714</v>
      </c>
      <c r="T380">
        <v>8.4</v>
      </c>
      <c r="U380">
        <v>0.8571428571428571</v>
      </c>
      <c r="V380">
        <v>0.716</v>
      </c>
      <c r="W380">
        <v>1.4</v>
      </c>
      <c r="X380">
        <v>1.22</v>
      </c>
      <c r="Y380">
        <v>-0.5181</v>
      </c>
      <c r="Z380">
        <v>0.9389830508474576</v>
      </c>
      <c r="AA380">
        <v>0.142620232172471</v>
      </c>
      <c r="AB380">
        <v>0.7599337748344371</v>
      </c>
      <c r="AC380">
        <v>0.597682119205298</v>
      </c>
      <c r="AD380">
        <v>0.8758278145695364</v>
      </c>
    </row>
    <row r="381" spans="1:30">
      <c r="A381" s="1" t="s">
        <v>388</v>
      </c>
      <c r="B381">
        <f>HYPERLINK("https://www.suredividend.com/sure-analysis-USB/","U.S. Bancorp")</f>
        <v>0</v>
      </c>
      <c r="C381">
        <v>30.68</v>
      </c>
      <c r="D381">
        <v>46212.9772</v>
      </c>
      <c r="E381" t="s">
        <v>649</v>
      </c>
      <c r="F381" t="s">
        <v>613</v>
      </c>
      <c r="G381" t="s">
        <v>653</v>
      </c>
      <c r="H381" t="s">
        <v>682</v>
      </c>
      <c r="I381" t="s">
        <v>1063</v>
      </c>
      <c r="J381" t="s">
        <v>1277</v>
      </c>
      <c r="K381">
        <v>43940</v>
      </c>
      <c r="L381">
        <v>0.053129074315514</v>
      </c>
      <c r="M381">
        <v>0.09816638292095736</v>
      </c>
      <c r="N381">
        <v>0.06</v>
      </c>
      <c r="O381">
        <v>0.1977117065843619</v>
      </c>
      <c r="P381" t="s">
        <v>316</v>
      </c>
      <c r="Q381" t="s">
        <v>375</v>
      </c>
      <c r="R381">
        <v>10</v>
      </c>
      <c r="S381">
        <v>0.6269230769230768</v>
      </c>
      <c r="T381">
        <v>49</v>
      </c>
      <c r="U381">
        <v>0.6261224489795918</v>
      </c>
      <c r="V381">
        <v>3.8728</v>
      </c>
      <c r="W381">
        <v>2.6</v>
      </c>
      <c r="X381">
        <v>1.63</v>
      </c>
      <c r="Y381">
        <v>-0.3959</v>
      </c>
      <c r="Z381">
        <v>0.6050847457627119</v>
      </c>
      <c r="AA381">
        <v>0.2669983416252073</v>
      </c>
      <c r="AB381">
        <v>0.6341059602649007</v>
      </c>
      <c r="AC381">
        <v>0.8526490066225166</v>
      </c>
      <c r="AD381">
        <v>0.8741721854304636</v>
      </c>
    </row>
    <row r="382" spans="1:30">
      <c r="A382" s="1" t="s">
        <v>389</v>
      </c>
      <c r="B382">
        <f>HYPERLINK("https://www.suredividend.com/sure-analysis-MIC/","Macquarie Infrastructure Corp.")</f>
        <v>0</v>
      </c>
      <c r="C382">
        <v>27.43</v>
      </c>
      <c r="D382">
        <v>2379.335803</v>
      </c>
      <c r="E382" t="s">
        <v>643</v>
      </c>
      <c r="F382" t="s">
        <v>613</v>
      </c>
      <c r="G382" t="s">
        <v>653</v>
      </c>
      <c r="H382" t="s">
        <v>682</v>
      </c>
      <c r="I382" t="s">
        <v>1064</v>
      </c>
      <c r="J382" t="s">
        <v>1278</v>
      </c>
      <c r="K382">
        <v>43892</v>
      </c>
      <c r="L382">
        <v>0.145825738242799</v>
      </c>
      <c r="M382">
        <v>0.08894186933322579</v>
      </c>
      <c r="N382">
        <v>0.02</v>
      </c>
      <c r="O382">
        <v>0.1933038065099428</v>
      </c>
      <c r="P382" t="s">
        <v>316</v>
      </c>
      <c r="Q382" t="s">
        <v>618</v>
      </c>
      <c r="R382">
        <v>0</v>
      </c>
      <c r="S382">
        <v>0.7547169811320755</v>
      </c>
      <c r="T382">
        <v>42</v>
      </c>
      <c r="U382">
        <v>0.6530952380952381</v>
      </c>
      <c r="V382">
        <v>1.1236</v>
      </c>
      <c r="W382">
        <v>5.3</v>
      </c>
      <c r="X382">
        <v>4</v>
      </c>
      <c r="Y382">
        <v>-0.3471</v>
      </c>
      <c r="Z382">
        <v>0.9033898305084747</v>
      </c>
      <c r="AA382">
        <v>0.3266998341625207</v>
      </c>
      <c r="AB382">
        <v>0.1274834437086093</v>
      </c>
      <c r="AC382">
        <v>0.8294701986754967</v>
      </c>
      <c r="AD382">
        <v>0.8658940397350993</v>
      </c>
    </row>
    <row r="383" spans="1:30">
      <c r="A383" s="1" t="s">
        <v>390</v>
      </c>
      <c r="B383">
        <f>HYPERLINK("https://www.suredividend.com/sure-analysis-WELL/","Welltower, Inc.")</f>
        <v>0</v>
      </c>
      <c r="C383">
        <v>40.65</v>
      </c>
      <c r="D383">
        <v>16970.52135</v>
      </c>
      <c r="E383" t="s">
        <v>650</v>
      </c>
      <c r="F383" t="s">
        <v>614</v>
      </c>
      <c r="G383" t="s">
        <v>653</v>
      </c>
      <c r="H383" t="s">
        <v>682</v>
      </c>
      <c r="I383" t="s">
        <v>1065</v>
      </c>
      <c r="J383" t="s">
        <v>1281</v>
      </c>
      <c r="K383">
        <v>43875</v>
      </c>
      <c r="L383">
        <v>0.08560885608856</v>
      </c>
      <c r="M383">
        <v>0.1083825315649714</v>
      </c>
      <c r="N383">
        <v>0.03</v>
      </c>
      <c r="O383">
        <v>0.1907135656250023</v>
      </c>
      <c r="P383" t="s">
        <v>316</v>
      </c>
      <c r="Q383" t="s">
        <v>375</v>
      </c>
      <c r="R383">
        <v>0</v>
      </c>
      <c r="S383">
        <v>0.8188235294117647</v>
      </c>
      <c r="T383">
        <v>68</v>
      </c>
      <c r="U383">
        <v>0.5977941176470588</v>
      </c>
      <c r="V383">
        <v>1.0316</v>
      </c>
      <c r="W383">
        <v>4.25</v>
      </c>
      <c r="X383">
        <v>3.48</v>
      </c>
      <c r="Y383">
        <v>-0.4834</v>
      </c>
      <c r="Z383">
        <v>0.8</v>
      </c>
      <c r="AA383">
        <v>0.1791044776119403</v>
      </c>
      <c r="AB383">
        <v>0.2144039735099338</v>
      </c>
      <c r="AC383">
        <v>0.8658940397350993</v>
      </c>
      <c r="AD383">
        <v>0.8592715231788079</v>
      </c>
    </row>
    <row r="384" spans="1:30">
      <c r="A384" s="1" t="s">
        <v>391</v>
      </c>
      <c r="B384">
        <f>HYPERLINK("https://www.suredividend.com/sure-analysis-IMBBY/","Imperial Brands Plc")</f>
        <v>0</v>
      </c>
      <c r="C384">
        <v>19.89</v>
      </c>
      <c r="D384">
        <v>18824.05512</v>
      </c>
      <c r="E384" t="s">
        <v>642</v>
      </c>
      <c r="F384" t="s">
        <v>613</v>
      </c>
      <c r="G384" t="s">
        <v>654</v>
      </c>
      <c r="H384" t="s">
        <v>684</v>
      </c>
      <c r="I384" t="s">
        <v>1066</v>
      </c>
      <c r="J384" t="s">
        <v>1285</v>
      </c>
      <c r="K384">
        <v>43774</v>
      </c>
      <c r="L384">
        <v>0.124161488185017</v>
      </c>
      <c r="M384">
        <v>0.07833237161071027</v>
      </c>
      <c r="N384">
        <v>0.03</v>
      </c>
      <c r="O384">
        <v>0.1818892965948971</v>
      </c>
      <c r="P384" t="s">
        <v>316</v>
      </c>
      <c r="Q384" t="s">
        <v>618</v>
      </c>
      <c r="R384">
        <v>3</v>
      </c>
      <c r="S384">
        <v>0.6879030640668523</v>
      </c>
      <c r="T384">
        <v>29</v>
      </c>
      <c r="U384">
        <v>0.6858620689655173</v>
      </c>
      <c r="V384">
        <v>1.3594</v>
      </c>
      <c r="W384">
        <v>3.59</v>
      </c>
      <c r="X384">
        <v>2.469572</v>
      </c>
      <c r="Y384">
        <v>-0.273</v>
      </c>
      <c r="Z384">
        <v>0.8864406779661017</v>
      </c>
      <c r="AA384">
        <v>0.4262023217247098</v>
      </c>
      <c r="AB384">
        <v>0.2144039735099338</v>
      </c>
      <c r="AC384">
        <v>0.7963576158940397</v>
      </c>
      <c r="AD384">
        <v>0.8476821192052981</v>
      </c>
    </row>
    <row r="385" spans="1:30">
      <c r="A385" s="1" t="s">
        <v>392</v>
      </c>
      <c r="B385">
        <f>HYPERLINK("https://www.suredividend.com/sure-analysis-HSBC/","HSBC Holdings Plc")</f>
        <v>0</v>
      </c>
      <c r="C385">
        <v>24.33</v>
      </c>
      <c r="D385">
        <v>99096.09</v>
      </c>
      <c r="E385" t="s">
        <v>648</v>
      </c>
      <c r="F385" t="s">
        <v>613</v>
      </c>
      <c r="G385" t="s">
        <v>654</v>
      </c>
      <c r="H385" t="s">
        <v>682</v>
      </c>
      <c r="I385" t="s">
        <v>1067</v>
      </c>
      <c r="J385" t="s">
        <v>1277</v>
      </c>
      <c r="K385">
        <v>43901</v>
      </c>
      <c r="L385">
        <v>0.10439786272092</v>
      </c>
      <c r="M385">
        <v>0.09896661557452036</v>
      </c>
      <c r="N385">
        <v>0.02</v>
      </c>
      <c r="O385">
        <v>0.1806268665727437</v>
      </c>
      <c r="P385" t="s">
        <v>316</v>
      </c>
      <c r="Q385" t="s">
        <v>375</v>
      </c>
      <c r="R385">
        <v>0</v>
      </c>
      <c r="S385">
        <v>0.7815384615384615</v>
      </c>
      <c r="T385">
        <v>39</v>
      </c>
      <c r="U385">
        <v>0.6238461538461538</v>
      </c>
      <c r="V385">
        <v>1.4927</v>
      </c>
      <c r="W385">
        <v>3.25</v>
      </c>
      <c r="X385">
        <v>2.54</v>
      </c>
      <c r="Y385">
        <v>-0.4283</v>
      </c>
      <c r="Z385">
        <v>0.8423728813559321</v>
      </c>
      <c r="AA385">
        <v>0.2371475953565506</v>
      </c>
      <c r="AB385">
        <v>0.1274834437086093</v>
      </c>
      <c r="AC385">
        <v>0.8543046357615894</v>
      </c>
      <c r="AD385">
        <v>0.8443708609271523</v>
      </c>
    </row>
    <row r="386" spans="1:30">
      <c r="A386" s="1" t="s">
        <v>393</v>
      </c>
      <c r="B386">
        <f>HYPERLINK("https://www.suredividend.com/sure-analysis-BAC/","Bank of America Corp.")</f>
        <v>0</v>
      </c>
      <c r="C386">
        <v>21.44</v>
      </c>
      <c r="D386">
        <v>186005.0784</v>
      </c>
      <c r="E386" t="s">
        <v>649</v>
      </c>
      <c r="F386" t="s">
        <v>613</v>
      </c>
      <c r="G386" t="s">
        <v>653</v>
      </c>
      <c r="H386" t="s">
        <v>682</v>
      </c>
      <c r="I386" t="s">
        <v>1068</v>
      </c>
      <c r="J386" t="s">
        <v>1277</v>
      </c>
      <c r="K386">
        <v>43939</v>
      </c>
      <c r="L386">
        <v>0.032182835820895</v>
      </c>
      <c r="M386">
        <v>0.09007864504181762</v>
      </c>
      <c r="N386">
        <v>0.06</v>
      </c>
      <c r="O386">
        <v>0.1797511822150448</v>
      </c>
      <c r="P386" t="s">
        <v>316</v>
      </c>
      <c r="Q386" t="s">
        <v>316</v>
      </c>
      <c r="R386">
        <v>6</v>
      </c>
      <c r="S386">
        <v>0.46</v>
      </c>
      <c r="T386">
        <v>33</v>
      </c>
      <c r="U386">
        <v>0.6496969696969698</v>
      </c>
      <c r="V386">
        <v>2.4632</v>
      </c>
      <c r="W386">
        <v>1.5</v>
      </c>
      <c r="X386">
        <v>0.6900000000000001</v>
      </c>
      <c r="Y386">
        <v>-0.2421</v>
      </c>
      <c r="Z386">
        <v>0.3796610169491526</v>
      </c>
      <c r="AA386">
        <v>0.4593698175787728</v>
      </c>
      <c r="AB386">
        <v>0.6341059602649007</v>
      </c>
      <c r="AC386">
        <v>0.8344370860927153</v>
      </c>
      <c r="AD386">
        <v>0.8410596026490066</v>
      </c>
    </row>
    <row r="387" spans="1:30">
      <c r="A387" s="1" t="s">
        <v>394</v>
      </c>
      <c r="B387">
        <f>HYPERLINK("https://www.suredividend.com/sure-analysis-WPP/","WPP Plc")</f>
        <v>0</v>
      </c>
      <c r="C387">
        <v>33.91</v>
      </c>
      <c r="D387">
        <v>8209.672079</v>
      </c>
      <c r="E387" t="s">
        <v>649</v>
      </c>
      <c r="F387" t="s">
        <v>613</v>
      </c>
      <c r="G387" t="s">
        <v>654</v>
      </c>
      <c r="H387" t="s">
        <v>682</v>
      </c>
      <c r="I387" t="s">
        <v>1069</v>
      </c>
      <c r="J387" t="s">
        <v>1282</v>
      </c>
      <c r="K387">
        <v>43897</v>
      </c>
      <c r="L387">
        <v>0.110651725154821</v>
      </c>
      <c r="M387">
        <v>0.07197014339923191</v>
      </c>
      <c r="N387">
        <v>0.03</v>
      </c>
      <c r="O387">
        <v>0.1762713237328026</v>
      </c>
      <c r="P387" t="s">
        <v>316</v>
      </c>
      <c r="Q387" t="s">
        <v>618</v>
      </c>
      <c r="R387">
        <v>0</v>
      </c>
      <c r="S387">
        <v>0.7079622641509434</v>
      </c>
      <c r="T387">
        <v>48</v>
      </c>
      <c r="U387">
        <v>0.7064583333333333</v>
      </c>
      <c r="V387">
        <v>2.8145</v>
      </c>
      <c r="W387">
        <v>5.3</v>
      </c>
      <c r="X387">
        <v>3.7522</v>
      </c>
      <c r="Y387">
        <v>-0.4482</v>
      </c>
      <c r="Z387">
        <v>0.8542372881355932</v>
      </c>
      <c r="AA387">
        <v>0.2172470978441128</v>
      </c>
      <c r="AB387">
        <v>0.2144039735099338</v>
      </c>
      <c r="AC387">
        <v>0.7615894039735099</v>
      </c>
      <c r="AD387">
        <v>0.8294701986754967</v>
      </c>
    </row>
    <row r="388" spans="1:30">
      <c r="A388" s="1" t="s">
        <v>395</v>
      </c>
      <c r="B388">
        <f>HYPERLINK("https://www.suredividend.com/sure-analysis-NWL/","Newell Brands, Inc.")</f>
        <v>0</v>
      </c>
      <c r="C388">
        <v>11.7</v>
      </c>
      <c r="D388">
        <v>4961.97</v>
      </c>
      <c r="E388" t="s">
        <v>649</v>
      </c>
      <c r="F388" t="s">
        <v>613</v>
      </c>
      <c r="G388" t="s">
        <v>653</v>
      </c>
      <c r="H388" t="s">
        <v>683</v>
      </c>
      <c r="I388" t="s">
        <v>1070</v>
      </c>
      <c r="J388" t="s">
        <v>1285</v>
      </c>
      <c r="K388">
        <v>43883</v>
      </c>
      <c r="L388">
        <v>0.07863247863247801</v>
      </c>
      <c r="M388">
        <v>0.07758766622357949</v>
      </c>
      <c r="N388">
        <v>0.05</v>
      </c>
      <c r="O388">
        <v>0.1758268252539965</v>
      </c>
      <c r="P388" t="s">
        <v>316</v>
      </c>
      <c r="Q388" t="s">
        <v>375</v>
      </c>
      <c r="R388">
        <v>0</v>
      </c>
      <c r="S388">
        <v>0.6052631578947368</v>
      </c>
      <c r="T388">
        <v>17</v>
      </c>
      <c r="U388">
        <v>0.6882352941176471</v>
      </c>
      <c r="V388">
        <v>-2.409</v>
      </c>
      <c r="W388">
        <v>1.52</v>
      </c>
      <c r="X388">
        <v>0.92</v>
      </c>
      <c r="Y388">
        <v>-0.2514</v>
      </c>
      <c r="Z388">
        <v>0.7661016949152543</v>
      </c>
      <c r="AA388">
        <v>0.4494195688225539</v>
      </c>
      <c r="AB388">
        <v>0.4991721854304636</v>
      </c>
      <c r="AC388">
        <v>0.7930463576158941</v>
      </c>
      <c r="AD388">
        <v>0.8278145695364238</v>
      </c>
    </row>
    <row r="389" spans="1:30">
      <c r="A389" s="1" t="s">
        <v>396</v>
      </c>
      <c r="B389">
        <f>HYPERLINK("https://www.suredividend.com/sure-analysis-TEF/","Telefónica SA")</f>
        <v>0</v>
      </c>
      <c r="C389">
        <v>4.59</v>
      </c>
      <c r="D389">
        <v>23475.864205</v>
      </c>
      <c r="E389" t="s">
        <v>643</v>
      </c>
      <c r="F389" t="s">
        <v>613</v>
      </c>
      <c r="G389" t="s">
        <v>661</v>
      </c>
      <c r="H389" t="s">
        <v>682</v>
      </c>
      <c r="I389" t="s">
        <v>1071</v>
      </c>
      <c r="J389" t="s">
        <v>1282</v>
      </c>
      <c r="K389">
        <v>43883</v>
      </c>
      <c r="L389">
        <v>0.09755991285403001</v>
      </c>
      <c r="M389">
        <v>0.0942182708221897</v>
      </c>
      <c r="N389">
        <v>0.02</v>
      </c>
      <c r="O389">
        <v>0.1740470355188302</v>
      </c>
      <c r="P389" t="s">
        <v>316</v>
      </c>
      <c r="Q389" t="s">
        <v>618</v>
      </c>
      <c r="R389">
        <v>0</v>
      </c>
      <c r="S389">
        <v>0.55975</v>
      </c>
      <c r="T389">
        <v>7.2</v>
      </c>
      <c r="U389">
        <v>0.6375</v>
      </c>
      <c r="V389">
        <v>0.2067</v>
      </c>
      <c r="W389">
        <v>0.8</v>
      </c>
      <c r="X389">
        <v>0.4478</v>
      </c>
      <c r="Y389">
        <v>-0.427</v>
      </c>
      <c r="Z389">
        <v>0.8271186440677967</v>
      </c>
      <c r="AA389">
        <v>0.2404643449419569</v>
      </c>
      <c r="AB389">
        <v>0.1274834437086093</v>
      </c>
      <c r="AC389">
        <v>0.8443708609271523</v>
      </c>
      <c r="AD389">
        <v>0.8228476821192053</v>
      </c>
    </row>
    <row r="390" spans="1:30">
      <c r="A390" s="1" t="s">
        <v>397</v>
      </c>
      <c r="B390">
        <f>HYPERLINK("https://www.suredividend.com/sure-analysis-UBS/","UBS Group AG")</f>
        <v>0</v>
      </c>
      <c r="C390">
        <v>9.26</v>
      </c>
      <c r="D390">
        <v>33188.724173</v>
      </c>
      <c r="E390" t="s">
        <v>644</v>
      </c>
      <c r="F390" t="s">
        <v>613</v>
      </c>
      <c r="G390" t="s">
        <v>655</v>
      </c>
      <c r="H390" t="s">
        <v>682</v>
      </c>
      <c r="I390" t="s">
        <v>1072</v>
      </c>
      <c r="J390" t="s">
        <v>1277</v>
      </c>
      <c r="K390">
        <v>43808</v>
      </c>
      <c r="L390">
        <v>0.05842332613390901</v>
      </c>
      <c r="M390">
        <v>0.1113676041352452</v>
      </c>
      <c r="N390">
        <v>0.01</v>
      </c>
      <c r="O390">
        <v>0.169630193269539</v>
      </c>
      <c r="P390" t="s">
        <v>316</v>
      </c>
      <c r="Q390" t="s">
        <v>375</v>
      </c>
      <c r="R390">
        <v>3</v>
      </c>
      <c r="S390">
        <v>0.425984251968504</v>
      </c>
      <c r="T390">
        <v>15.7</v>
      </c>
      <c r="U390">
        <v>0.5898089171974522</v>
      </c>
      <c r="V390">
        <v>1.3084</v>
      </c>
      <c r="W390">
        <v>1.27</v>
      </c>
      <c r="X390">
        <v>0.541</v>
      </c>
      <c r="Y390">
        <v>-0.2146</v>
      </c>
      <c r="Z390">
        <v>0.6457627118644068</v>
      </c>
      <c r="AA390">
        <v>0.4991708126036485</v>
      </c>
      <c r="AB390">
        <v>0.05960264900662252</v>
      </c>
      <c r="AC390">
        <v>0.8741721854304636</v>
      </c>
      <c r="AD390">
        <v>0.8096026490066225</v>
      </c>
    </row>
    <row r="391" spans="1:30">
      <c r="A391" s="1" t="s">
        <v>398</v>
      </c>
      <c r="B391">
        <f>HYPERLINK("https://www.suredividend.com/sure-analysis-HEP/","Holly Energy Partners LP")</f>
        <v>0</v>
      </c>
      <c r="C391">
        <v>14.7</v>
      </c>
      <c r="D391">
        <v>1549.968</v>
      </c>
      <c r="E391" t="s">
        <v>644</v>
      </c>
      <c r="F391" t="s">
        <v>615</v>
      </c>
      <c r="G391" t="s">
        <v>653</v>
      </c>
      <c r="H391" t="s">
        <v>682</v>
      </c>
      <c r="I391" t="s">
        <v>1073</v>
      </c>
      <c r="J391" t="s">
        <v>1284</v>
      </c>
      <c r="K391">
        <v>43958</v>
      </c>
      <c r="L391">
        <v>0.1828231292517</v>
      </c>
      <c r="M391">
        <v>0.05265789789617825</v>
      </c>
      <c r="N391">
        <v>0.04</v>
      </c>
      <c r="O391">
        <v>0.1677866291789887</v>
      </c>
      <c r="P391" t="s">
        <v>316</v>
      </c>
      <c r="Q391" t="s">
        <v>618</v>
      </c>
      <c r="R391">
        <v>0</v>
      </c>
      <c r="S391">
        <v>1.279761904761905</v>
      </c>
      <c r="T391">
        <v>19</v>
      </c>
      <c r="U391">
        <v>0.7736842105263158</v>
      </c>
      <c r="V391">
        <v>1.8832</v>
      </c>
      <c r="W391">
        <v>2.1</v>
      </c>
      <c r="X391">
        <v>2.6875</v>
      </c>
      <c r="Y391">
        <v>-0.4765</v>
      </c>
      <c r="Z391">
        <v>0.947457627118644</v>
      </c>
      <c r="AA391">
        <v>0.1907131011608623</v>
      </c>
      <c r="AB391">
        <v>0.3493377483443709</v>
      </c>
      <c r="AC391">
        <v>0.6804635761589404</v>
      </c>
      <c r="AD391">
        <v>0.8062913907284768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22.42</v>
      </c>
      <c r="D392">
        <v>6454.33686</v>
      </c>
      <c r="E392" t="s">
        <v>643</v>
      </c>
      <c r="F392" t="s">
        <v>614</v>
      </c>
      <c r="G392" t="s">
        <v>653</v>
      </c>
      <c r="H392" t="s">
        <v>682</v>
      </c>
      <c r="I392" t="s">
        <v>1074</v>
      </c>
      <c r="J392" t="s">
        <v>1281</v>
      </c>
      <c r="K392">
        <v>43962</v>
      </c>
      <c r="L392">
        <v>0.109678858162355</v>
      </c>
      <c r="M392">
        <v>0.0669528236898238</v>
      </c>
      <c r="N392">
        <v>0.03</v>
      </c>
      <c r="O392">
        <v>0.1677066824346676</v>
      </c>
      <c r="P392" t="s">
        <v>316</v>
      </c>
      <c r="Q392" t="s">
        <v>618</v>
      </c>
      <c r="R392">
        <v>10</v>
      </c>
      <c r="S392">
        <v>0.8335593220338983</v>
      </c>
      <c r="T392">
        <v>31</v>
      </c>
      <c r="U392">
        <v>0.7232258064516129</v>
      </c>
      <c r="V392">
        <v>1.0506</v>
      </c>
      <c r="W392">
        <v>2.95</v>
      </c>
      <c r="X392">
        <v>2.459</v>
      </c>
      <c r="Y392">
        <v>-0.2985</v>
      </c>
      <c r="Z392">
        <v>0.8491525423728814</v>
      </c>
      <c r="AA392">
        <v>0.384742951907131</v>
      </c>
      <c r="AB392">
        <v>0.2144039735099338</v>
      </c>
      <c r="AC392">
        <v>0.7384105960264901</v>
      </c>
      <c r="AD392">
        <v>0.804635761589404</v>
      </c>
    </row>
    <row r="393" spans="1:30">
      <c r="A393" s="1" t="s">
        <v>400</v>
      </c>
      <c r="B393">
        <f>HYPERLINK("https://www.suredividend.com/sure-analysis-NTAP/","NetApp, Inc.")</f>
        <v>0</v>
      </c>
      <c r="C393">
        <v>42.38</v>
      </c>
      <c r="D393">
        <v>9373.48126</v>
      </c>
      <c r="E393" t="s">
        <v>641</v>
      </c>
      <c r="F393" t="s">
        <v>613</v>
      </c>
      <c r="G393" t="s">
        <v>653</v>
      </c>
      <c r="H393" t="s">
        <v>683</v>
      </c>
      <c r="I393" t="s">
        <v>1075</v>
      </c>
      <c r="J393" t="s">
        <v>1286</v>
      </c>
      <c r="K393">
        <v>43879</v>
      </c>
      <c r="L393">
        <v>0.04341670599339301</v>
      </c>
      <c r="M393">
        <v>0.07200808208264564</v>
      </c>
      <c r="N393">
        <v>0.06</v>
      </c>
      <c r="O393">
        <v>0.1658780975638714</v>
      </c>
      <c r="P393" t="s">
        <v>316</v>
      </c>
      <c r="Q393" t="s">
        <v>316</v>
      </c>
      <c r="R393">
        <v>6</v>
      </c>
      <c r="S393">
        <v>0.46</v>
      </c>
      <c r="T393">
        <v>60</v>
      </c>
      <c r="U393">
        <v>0.7063333333333334</v>
      </c>
      <c r="V393">
        <v>4.307</v>
      </c>
      <c r="W393">
        <v>4</v>
      </c>
      <c r="X393">
        <v>1.84</v>
      </c>
      <c r="Y393">
        <v>-0.3748</v>
      </c>
      <c r="Z393">
        <v>0.5050847457627118</v>
      </c>
      <c r="AA393">
        <v>0.296849087893864</v>
      </c>
      <c r="AB393">
        <v>0.6341059602649007</v>
      </c>
      <c r="AC393">
        <v>0.7632450331125828</v>
      </c>
      <c r="AD393">
        <v>0.7930463576158941</v>
      </c>
    </row>
    <row r="394" spans="1:30">
      <c r="A394" s="1" t="s">
        <v>401</v>
      </c>
      <c r="B394">
        <f>HYPERLINK("https://www.suredividend.com/sure-analysis-CHL/","China Mobile Ltd.")</f>
        <v>0</v>
      </c>
      <c r="C394">
        <v>36.47</v>
      </c>
      <c r="D394">
        <v>149348.297</v>
      </c>
      <c r="E394" t="s">
        <v>647</v>
      </c>
      <c r="F394" t="s">
        <v>613</v>
      </c>
      <c r="G394" t="s">
        <v>675</v>
      </c>
      <c r="H394" t="s">
        <v>682</v>
      </c>
      <c r="J394" t="s">
        <v>1282</v>
      </c>
      <c r="K394">
        <v>43930</v>
      </c>
      <c r="L394">
        <v>0.051439840965176</v>
      </c>
      <c r="M394">
        <v>0.08563887227994482</v>
      </c>
      <c r="N394">
        <v>0.04</v>
      </c>
      <c r="O394">
        <v>0.1651050338286717</v>
      </c>
      <c r="P394" t="s">
        <v>316</v>
      </c>
      <c r="Q394" t="s">
        <v>375</v>
      </c>
      <c r="R394">
        <v>1</v>
      </c>
      <c r="S394">
        <v>0.4078284782608696</v>
      </c>
      <c r="T394">
        <v>55</v>
      </c>
      <c r="U394">
        <v>0.6630909090909091</v>
      </c>
      <c r="V394">
        <v>3.7744</v>
      </c>
      <c r="W394">
        <v>4.6</v>
      </c>
      <c r="X394">
        <v>1.876011</v>
      </c>
      <c r="Y394">
        <v>-0.2023</v>
      </c>
      <c r="Z394">
        <v>0.5898305084745763</v>
      </c>
      <c r="AA394">
        <v>0.5190713101160863</v>
      </c>
      <c r="AB394">
        <v>0.3493377483443709</v>
      </c>
      <c r="AC394">
        <v>0.8178807947019868</v>
      </c>
      <c r="AD394">
        <v>0.7880794701986755</v>
      </c>
    </row>
    <row r="395" spans="1:30">
      <c r="A395" s="1" t="s">
        <v>402</v>
      </c>
      <c r="B395">
        <f>HYPERLINK("https://www.suredividend.com/sure-analysis-JPM/","JPMorgan Chase &amp; Co.")</f>
        <v>0</v>
      </c>
      <c r="C395">
        <v>85.90000000000001</v>
      </c>
      <c r="D395">
        <v>261739.018</v>
      </c>
      <c r="E395" t="s">
        <v>649</v>
      </c>
      <c r="F395" t="s">
        <v>613</v>
      </c>
      <c r="G395" t="s">
        <v>653</v>
      </c>
      <c r="H395" t="s">
        <v>682</v>
      </c>
      <c r="I395" t="s">
        <v>1076</v>
      </c>
      <c r="J395" t="s">
        <v>1277</v>
      </c>
      <c r="K395">
        <v>43939</v>
      </c>
      <c r="L395">
        <v>0.04074505238649501</v>
      </c>
      <c r="M395">
        <v>0.06914747948704236</v>
      </c>
      <c r="N395">
        <v>0.06</v>
      </c>
      <c r="O395">
        <v>0.1621593351435227</v>
      </c>
      <c r="P395" t="s">
        <v>316</v>
      </c>
      <c r="Q395" t="s">
        <v>316</v>
      </c>
      <c r="R395">
        <v>10</v>
      </c>
      <c r="S395">
        <v>0.6363636363636364</v>
      </c>
      <c r="T395">
        <v>120</v>
      </c>
      <c r="U395">
        <v>0.7158333333333334</v>
      </c>
      <c r="V395">
        <v>8.879899999999999</v>
      </c>
      <c r="W395">
        <v>5.5</v>
      </c>
      <c r="X395">
        <v>3.5</v>
      </c>
      <c r="Y395">
        <v>-0.2184</v>
      </c>
      <c r="Z395">
        <v>0.4728813559322034</v>
      </c>
      <c r="AA395">
        <v>0.4933665008291874</v>
      </c>
      <c r="AB395">
        <v>0.6341059602649007</v>
      </c>
      <c r="AC395">
        <v>0.7466887417218543</v>
      </c>
      <c r="AD395">
        <v>0.7864238410596026</v>
      </c>
    </row>
    <row r="396" spans="1:30">
      <c r="A396" s="1" t="s">
        <v>403</v>
      </c>
      <c r="B396">
        <f>HYPERLINK("https://www.suredividend.com/sure-analysis-SUUIF/","Superior Plus Corp.")</f>
        <v>0</v>
      </c>
      <c r="C396">
        <v>6.5</v>
      </c>
      <c r="D396">
        <v>1139.0535</v>
      </c>
      <c r="E396" t="s">
        <v>650</v>
      </c>
      <c r="F396" t="s">
        <v>613</v>
      </c>
      <c r="G396" t="s">
        <v>659</v>
      </c>
      <c r="H396" t="s">
        <v>684</v>
      </c>
      <c r="I396" t="s">
        <v>1077</v>
      </c>
      <c r="J396" t="s">
        <v>1287</v>
      </c>
      <c r="K396">
        <v>43886</v>
      </c>
      <c r="L396">
        <v>0.08323435799994</v>
      </c>
      <c r="M396">
        <v>0.1109534595426207</v>
      </c>
      <c r="N396">
        <v>0</v>
      </c>
      <c r="O396">
        <v>0.1608108054716124</v>
      </c>
      <c r="P396" t="s">
        <v>316</v>
      </c>
      <c r="Q396" t="s">
        <v>618</v>
      </c>
      <c r="R396">
        <v>0</v>
      </c>
      <c r="S396">
        <v>0.3513138487010454</v>
      </c>
      <c r="T396">
        <v>11</v>
      </c>
      <c r="U396">
        <v>0.5909090909090909</v>
      </c>
      <c r="V396">
        <v>-0.0104</v>
      </c>
      <c r="W396">
        <v>1.54</v>
      </c>
      <c r="X396">
        <v>0.54102332699961</v>
      </c>
      <c r="Y396">
        <v>-0.3003</v>
      </c>
      <c r="Z396">
        <v>0.7932203389830508</v>
      </c>
      <c r="AA396">
        <v>0.3830845771144278</v>
      </c>
      <c r="AB396">
        <v>0.02980132450331126</v>
      </c>
      <c r="AC396">
        <v>0.8708609271523179</v>
      </c>
      <c r="AD396">
        <v>0.7781456953642385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26</v>
      </c>
      <c r="D397">
        <v>7055.776</v>
      </c>
      <c r="E397" t="s">
        <v>641</v>
      </c>
      <c r="F397" t="s">
        <v>613</v>
      </c>
      <c r="G397" t="s">
        <v>653</v>
      </c>
      <c r="H397" t="s">
        <v>682</v>
      </c>
      <c r="I397" t="s">
        <v>1078</v>
      </c>
      <c r="J397" t="s">
        <v>1277</v>
      </c>
      <c r="K397">
        <v>43958</v>
      </c>
      <c r="L397">
        <v>0.054615384615384</v>
      </c>
      <c r="M397">
        <v>0.07885244396237145</v>
      </c>
      <c r="N397">
        <v>0.04</v>
      </c>
      <c r="O397">
        <v>0.1598252896240813</v>
      </c>
      <c r="P397" t="s">
        <v>316</v>
      </c>
      <c r="Q397" t="s">
        <v>375</v>
      </c>
      <c r="R397">
        <v>4</v>
      </c>
      <c r="S397">
        <v>0.44375</v>
      </c>
      <c r="T397">
        <v>38</v>
      </c>
      <c r="U397">
        <v>0.6842105263157895</v>
      </c>
      <c r="V397">
        <v>2.1984</v>
      </c>
      <c r="W397">
        <v>3.2</v>
      </c>
      <c r="X397">
        <v>1.42</v>
      </c>
      <c r="Y397">
        <v>-0.4266</v>
      </c>
      <c r="Z397">
        <v>0.6152542372881356</v>
      </c>
      <c r="AA397">
        <v>0.24212271973466</v>
      </c>
      <c r="AB397">
        <v>0.3493377483443709</v>
      </c>
      <c r="AC397">
        <v>0.8013245033112583</v>
      </c>
      <c r="AD397">
        <v>0.7748344370860927</v>
      </c>
    </row>
    <row r="398" spans="1:30">
      <c r="A398" s="1" t="s">
        <v>405</v>
      </c>
      <c r="B398">
        <f>HYPERLINK("https://www.suredividend.com/sure-analysis-XRX/","Xerox Holdings Corp.")</f>
        <v>0</v>
      </c>
      <c r="C398">
        <v>14.89</v>
      </c>
      <c r="D398">
        <v>3170.60215</v>
      </c>
      <c r="E398" t="s">
        <v>649</v>
      </c>
      <c r="F398" t="s">
        <v>613</v>
      </c>
      <c r="G398" t="s">
        <v>653</v>
      </c>
      <c r="H398" t="s">
        <v>682</v>
      </c>
      <c r="I398" t="s">
        <v>1079</v>
      </c>
      <c r="J398" t="s">
        <v>1286</v>
      </c>
      <c r="K398">
        <v>43954</v>
      </c>
      <c r="L398">
        <v>0.06715916722632601</v>
      </c>
      <c r="M398">
        <v>0.1179328812438123</v>
      </c>
      <c r="N398">
        <v>0</v>
      </c>
      <c r="O398">
        <v>0.1579595777128815</v>
      </c>
      <c r="P398" t="s">
        <v>316</v>
      </c>
      <c r="Q398" t="s">
        <v>375</v>
      </c>
      <c r="R398">
        <v>0</v>
      </c>
      <c r="S398">
        <v>0.6666666666666666</v>
      </c>
      <c r="T398">
        <v>26</v>
      </c>
      <c r="U398">
        <v>0.5726923076923077</v>
      </c>
      <c r="V398">
        <v>2.6161</v>
      </c>
      <c r="W398">
        <v>1.5</v>
      </c>
      <c r="X398">
        <v>1</v>
      </c>
      <c r="Y398">
        <v>-0.5344</v>
      </c>
      <c r="Z398">
        <v>0.6847457627118644</v>
      </c>
      <c r="AA398">
        <v>0.1227197346600332</v>
      </c>
      <c r="AB398">
        <v>0.02980132450331126</v>
      </c>
      <c r="AC398">
        <v>0.8791390728476821</v>
      </c>
      <c r="AD398">
        <v>0.7649006622516556</v>
      </c>
    </row>
    <row r="399" spans="1:30">
      <c r="A399" s="1" t="s">
        <v>406</v>
      </c>
      <c r="B399">
        <f>HYPERLINK("https://www.suredividend.com/sure-analysis-ABEV/","Ambev SA")</f>
        <v>0</v>
      </c>
      <c r="C399">
        <v>2.02</v>
      </c>
      <c r="D399">
        <v>31780.79736</v>
      </c>
      <c r="E399" t="s">
        <v>645</v>
      </c>
      <c r="F399" t="s">
        <v>613</v>
      </c>
      <c r="G399" t="s">
        <v>664</v>
      </c>
      <c r="H399" t="s">
        <v>682</v>
      </c>
      <c r="I399" t="s">
        <v>1080</v>
      </c>
      <c r="J399" t="s">
        <v>1285</v>
      </c>
      <c r="K399">
        <v>43916</v>
      </c>
      <c r="L399">
        <v>0.050846534653465</v>
      </c>
      <c r="M399">
        <v>0.08873308826701298</v>
      </c>
      <c r="N399">
        <v>0.03</v>
      </c>
      <c r="O399">
        <v>0.1566708486905586</v>
      </c>
      <c r="P399" t="s">
        <v>316</v>
      </c>
      <c r="Q399" t="s">
        <v>316</v>
      </c>
      <c r="R399">
        <v>0</v>
      </c>
      <c r="S399">
        <v>0.6419375</v>
      </c>
      <c r="T399">
        <v>3.09</v>
      </c>
      <c r="U399">
        <v>0.6537216828478964</v>
      </c>
      <c r="V399">
        <v>0.1891</v>
      </c>
      <c r="W399">
        <v>0.16</v>
      </c>
      <c r="X399">
        <v>0.10271</v>
      </c>
      <c r="Y399">
        <v>-0.5121</v>
      </c>
      <c r="Z399">
        <v>0.5830508474576271</v>
      </c>
      <c r="AA399">
        <v>0.1475953565505804</v>
      </c>
      <c r="AB399">
        <v>0.2144039735099338</v>
      </c>
      <c r="AC399">
        <v>0.8261589403973509</v>
      </c>
      <c r="AD399">
        <v>0.7599337748344371</v>
      </c>
    </row>
    <row r="400" spans="1:30">
      <c r="A400" s="1" t="s">
        <v>407</v>
      </c>
      <c r="B400">
        <f>HYPERLINK("https://www.suredividend.com/sure-analysis-NTR/","Nutrien Ltd.")</f>
        <v>0</v>
      </c>
      <c r="C400">
        <v>31.69</v>
      </c>
      <c r="D400">
        <v>18036.23674</v>
      </c>
      <c r="E400" t="s">
        <v>648</v>
      </c>
      <c r="F400" t="s">
        <v>613</v>
      </c>
      <c r="G400" t="s">
        <v>659</v>
      </c>
      <c r="H400" t="s">
        <v>682</v>
      </c>
      <c r="I400" t="s">
        <v>1081</v>
      </c>
      <c r="J400" t="s">
        <v>1283</v>
      </c>
      <c r="K400">
        <v>43886</v>
      </c>
      <c r="L400">
        <v>0.056531922688877</v>
      </c>
      <c r="M400">
        <v>0.07265004401417752</v>
      </c>
      <c r="N400">
        <v>0.04</v>
      </c>
      <c r="O400">
        <v>0.1552224326560383</v>
      </c>
      <c r="P400" t="s">
        <v>316</v>
      </c>
      <c r="Q400" t="s">
        <v>316</v>
      </c>
      <c r="R400">
        <v>1</v>
      </c>
      <c r="S400">
        <v>0.7962207244491289</v>
      </c>
      <c r="T400">
        <v>45</v>
      </c>
      <c r="U400">
        <v>0.7042222222222223</v>
      </c>
      <c r="V400">
        <v>1.5767</v>
      </c>
      <c r="W400">
        <v>2.25</v>
      </c>
      <c r="X400">
        <v>1.79149663001054</v>
      </c>
      <c r="Y400">
        <v>-0.3714</v>
      </c>
      <c r="Z400">
        <v>0.6338983050847458</v>
      </c>
      <c r="AA400">
        <v>0.2985074626865672</v>
      </c>
      <c r="AB400">
        <v>0.3493377483443709</v>
      </c>
      <c r="AC400">
        <v>0.7698675496688742</v>
      </c>
      <c r="AD400">
        <v>0.7549668874172185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21.9</v>
      </c>
      <c r="D401">
        <v>1055.6019</v>
      </c>
      <c r="E401" t="s">
        <v>644</v>
      </c>
      <c r="F401" t="s">
        <v>614</v>
      </c>
      <c r="G401" t="s">
        <v>653</v>
      </c>
      <c r="H401" t="s">
        <v>683</v>
      </c>
      <c r="I401" t="s">
        <v>1082</v>
      </c>
      <c r="J401" t="s">
        <v>1281</v>
      </c>
      <c r="K401">
        <v>43965</v>
      </c>
      <c r="L401">
        <v>0.100456621004566</v>
      </c>
      <c r="M401">
        <v>0.07880058353604125</v>
      </c>
      <c r="N401">
        <v>0.01</v>
      </c>
      <c r="O401">
        <v>0.1530312358674404</v>
      </c>
      <c r="P401" t="s">
        <v>316</v>
      </c>
      <c r="Q401" t="s">
        <v>618</v>
      </c>
      <c r="R401">
        <v>1</v>
      </c>
      <c r="S401">
        <v>0.4150943396226416</v>
      </c>
      <c r="T401">
        <v>32</v>
      </c>
      <c r="U401">
        <v>0.684375</v>
      </c>
      <c r="V401">
        <v>0.1475</v>
      </c>
      <c r="W401">
        <v>5.3</v>
      </c>
      <c r="X401">
        <v>2.2</v>
      </c>
      <c r="Y401">
        <v>-0.1969</v>
      </c>
      <c r="Z401">
        <v>0.8305084745762712</v>
      </c>
      <c r="AA401">
        <v>0.5290215588723052</v>
      </c>
      <c r="AB401">
        <v>0.05960264900662252</v>
      </c>
      <c r="AC401">
        <v>0.7996688741721855</v>
      </c>
      <c r="AD401">
        <v>0.7433774834437087</v>
      </c>
    </row>
    <row r="402" spans="1:30">
      <c r="A402" s="1" t="s">
        <v>409</v>
      </c>
      <c r="B402">
        <f>HYPERLINK("https://www.suredividend.com/sure-analysis-LTC/","LTC Properties, Inc.")</f>
        <v>0</v>
      </c>
      <c r="C402">
        <v>32.2</v>
      </c>
      <c r="D402">
        <v>1262.81316</v>
      </c>
      <c r="E402" t="s">
        <v>644</v>
      </c>
      <c r="F402" t="s">
        <v>614</v>
      </c>
      <c r="G402" t="s">
        <v>653</v>
      </c>
      <c r="H402" t="s">
        <v>682</v>
      </c>
      <c r="I402" t="s">
        <v>1083</v>
      </c>
      <c r="J402" t="s">
        <v>1281</v>
      </c>
      <c r="K402">
        <v>43886</v>
      </c>
      <c r="L402">
        <v>0.07080745341614901</v>
      </c>
      <c r="M402">
        <v>0.07394092378577932</v>
      </c>
      <c r="N402">
        <v>0.03</v>
      </c>
      <c r="O402">
        <v>0.1521680273083237</v>
      </c>
      <c r="P402" t="s">
        <v>316</v>
      </c>
      <c r="Q402" t="s">
        <v>375</v>
      </c>
      <c r="R402">
        <v>0</v>
      </c>
      <c r="S402">
        <v>0.7475409836065575</v>
      </c>
      <c r="T402">
        <v>46</v>
      </c>
      <c r="U402">
        <v>0.7000000000000001</v>
      </c>
      <c r="V402">
        <v>3.1155</v>
      </c>
      <c r="W402">
        <v>3.05</v>
      </c>
      <c r="X402">
        <v>2.28</v>
      </c>
      <c r="Y402">
        <v>-0.2968</v>
      </c>
      <c r="Z402">
        <v>0.711864406779661</v>
      </c>
      <c r="AA402">
        <v>0.3913764510779436</v>
      </c>
      <c r="AB402">
        <v>0.2144039735099338</v>
      </c>
      <c r="AC402">
        <v>0.7764900662251655</v>
      </c>
      <c r="AD402">
        <v>0.7400662251655629</v>
      </c>
    </row>
    <row r="403" spans="1:30">
      <c r="A403" s="1" t="s">
        <v>410</v>
      </c>
      <c r="B403">
        <f>HYPERLINK("https://www.suredividend.com/sure-analysis-AXS/","AXIS Capital Holdings Ltd.")</f>
        <v>0</v>
      </c>
      <c r="C403">
        <v>34.3</v>
      </c>
      <c r="D403">
        <v>2891.56889</v>
      </c>
      <c r="E403" t="s">
        <v>649</v>
      </c>
      <c r="F403" t="s">
        <v>613</v>
      </c>
      <c r="G403" t="s">
        <v>660</v>
      </c>
      <c r="H403" t="s">
        <v>682</v>
      </c>
      <c r="I403" t="s">
        <v>1084</v>
      </c>
      <c r="J403" t="s">
        <v>1277</v>
      </c>
      <c r="K403">
        <v>43956</v>
      </c>
      <c r="L403">
        <v>0.04723032069970801</v>
      </c>
      <c r="M403">
        <v>0.06502731796910655</v>
      </c>
      <c r="N403">
        <v>0.05</v>
      </c>
      <c r="O403">
        <v>0.1516690089617019</v>
      </c>
      <c r="P403" t="s">
        <v>316</v>
      </c>
      <c r="Q403" t="s">
        <v>316</v>
      </c>
      <c r="R403">
        <v>18</v>
      </c>
      <c r="S403">
        <v>1.2</v>
      </c>
      <c r="T403">
        <v>47</v>
      </c>
      <c r="U403">
        <v>0.7297872340425531</v>
      </c>
      <c r="V403">
        <v>-0.0097</v>
      </c>
      <c r="W403">
        <v>1.35</v>
      </c>
      <c r="X403">
        <v>1.62</v>
      </c>
      <c r="Y403">
        <v>-0.4097</v>
      </c>
      <c r="Z403">
        <v>0.5542372881355933</v>
      </c>
      <c r="AA403">
        <v>0.2587064676616915</v>
      </c>
      <c r="AB403">
        <v>0.4991721854304636</v>
      </c>
      <c r="AC403">
        <v>0.7301324503311258</v>
      </c>
      <c r="AD403">
        <v>0.7367549668874172</v>
      </c>
    </row>
    <row r="404" spans="1:30">
      <c r="A404" s="1" t="s">
        <v>411</v>
      </c>
      <c r="B404">
        <f>HYPERLINK("https://www.suredividend.com/sure-analysis-PSO/","Pearson Plc")</f>
        <v>0</v>
      </c>
      <c r="C404">
        <v>5.22</v>
      </c>
      <c r="D404">
        <v>3910.54734</v>
      </c>
      <c r="E404" t="s">
        <v>643</v>
      </c>
      <c r="F404" t="s">
        <v>613</v>
      </c>
      <c r="G404" t="s">
        <v>654</v>
      </c>
      <c r="H404" t="s">
        <v>682</v>
      </c>
      <c r="I404" t="s">
        <v>1085</v>
      </c>
      <c r="J404" t="s">
        <v>1282</v>
      </c>
      <c r="K404">
        <v>43951</v>
      </c>
      <c r="L404">
        <v>0.046149425287356</v>
      </c>
      <c r="M404">
        <v>0.1011265673942863</v>
      </c>
      <c r="N404">
        <v>0.02</v>
      </c>
      <c r="O404">
        <v>0.1506607711812133</v>
      </c>
      <c r="P404" t="s">
        <v>316</v>
      </c>
      <c r="Q404" t="s">
        <v>316</v>
      </c>
      <c r="R404">
        <v>0</v>
      </c>
      <c r="S404">
        <v>0.60225</v>
      </c>
      <c r="T404">
        <v>8.449999999999999</v>
      </c>
      <c r="U404">
        <v>0.6177514792899409</v>
      </c>
      <c r="V404">
        <v>0.4298</v>
      </c>
      <c r="W404">
        <v>0.4</v>
      </c>
      <c r="X404">
        <v>0.2409</v>
      </c>
      <c r="Y404">
        <v>-0.4922</v>
      </c>
      <c r="Z404">
        <v>0.5423728813559322</v>
      </c>
      <c r="AA404">
        <v>0.1691542288557214</v>
      </c>
      <c r="AB404">
        <v>0.1274834437086093</v>
      </c>
      <c r="AC404">
        <v>0.8592715231788079</v>
      </c>
      <c r="AD404">
        <v>0.728476821192053</v>
      </c>
    </row>
    <row r="405" spans="1:30">
      <c r="A405" s="1" t="s">
        <v>412</v>
      </c>
      <c r="B405">
        <f>HYPERLINK("https://www.suredividend.com/sure-analysis-STAG/","STAG Industrial, Inc.")</f>
        <v>0</v>
      </c>
      <c r="C405">
        <v>23.16</v>
      </c>
      <c r="D405">
        <v>3532.114647</v>
      </c>
      <c r="E405" t="s">
        <v>644</v>
      </c>
      <c r="F405" t="s">
        <v>614</v>
      </c>
      <c r="G405" t="s">
        <v>653</v>
      </c>
      <c r="H405" t="s">
        <v>682</v>
      </c>
      <c r="I405" t="s">
        <v>1086</v>
      </c>
      <c r="J405" t="s">
        <v>1281</v>
      </c>
      <c r="K405">
        <v>43874</v>
      </c>
      <c r="L405">
        <v>0.061886873920552</v>
      </c>
      <c r="M405">
        <v>0.04600049142514595</v>
      </c>
      <c r="N405">
        <v>0.06</v>
      </c>
      <c r="O405">
        <v>0.1481880937680089</v>
      </c>
      <c r="P405" t="s">
        <v>316</v>
      </c>
      <c r="Q405" t="s">
        <v>375</v>
      </c>
      <c r="R405">
        <v>9</v>
      </c>
      <c r="S405">
        <v>0.7543684210526316</v>
      </c>
      <c r="T405">
        <v>29</v>
      </c>
      <c r="U405">
        <v>0.7986206896551724</v>
      </c>
      <c r="V405">
        <v>0.7144</v>
      </c>
      <c r="W405">
        <v>1.9</v>
      </c>
      <c r="X405">
        <v>1.4333</v>
      </c>
      <c r="Y405">
        <v>-0.2138</v>
      </c>
      <c r="Z405">
        <v>0.6610169491525424</v>
      </c>
      <c r="AA405">
        <v>0.5024875621890547</v>
      </c>
      <c r="AB405">
        <v>0.6341059602649007</v>
      </c>
      <c r="AC405">
        <v>0.6539735099337749</v>
      </c>
      <c r="AD405">
        <v>0.7201986754966887</v>
      </c>
    </row>
    <row r="406" spans="1:30">
      <c r="A406" s="1" t="s">
        <v>413</v>
      </c>
      <c r="B406">
        <f>HYPERLINK("https://www.suredividend.com/sure-analysis-OHI/","Omega Healthcare Investors, Inc.")</f>
        <v>0</v>
      </c>
      <c r="C406">
        <v>26.31</v>
      </c>
      <c r="D406">
        <v>5969.79162</v>
      </c>
      <c r="E406" t="s">
        <v>649</v>
      </c>
      <c r="F406" t="s">
        <v>614</v>
      </c>
      <c r="G406" t="s">
        <v>653</v>
      </c>
      <c r="H406" t="s">
        <v>682</v>
      </c>
      <c r="I406" t="s">
        <v>1087</v>
      </c>
      <c r="J406" t="s">
        <v>1281</v>
      </c>
      <c r="K406">
        <v>43960</v>
      </c>
      <c r="L406">
        <v>0.101482326111744</v>
      </c>
      <c r="M406">
        <v>0.05874028739318549</v>
      </c>
      <c r="N406">
        <v>0.02</v>
      </c>
      <c r="O406">
        <v>0.1479988396111778</v>
      </c>
      <c r="P406" t="s">
        <v>316</v>
      </c>
      <c r="Q406" t="s">
        <v>375</v>
      </c>
      <c r="R406">
        <v>17</v>
      </c>
      <c r="S406">
        <v>0.9206896551724137</v>
      </c>
      <c r="T406">
        <v>35</v>
      </c>
      <c r="U406">
        <v>0.7517142857142857</v>
      </c>
      <c r="V406">
        <v>1.6494</v>
      </c>
      <c r="W406">
        <v>2.9</v>
      </c>
      <c r="X406">
        <v>2.67</v>
      </c>
      <c r="Y406">
        <v>-0.2977</v>
      </c>
      <c r="Z406">
        <v>0.8338983050847457</v>
      </c>
      <c r="AA406">
        <v>0.3897180762852405</v>
      </c>
      <c r="AB406">
        <v>0.1274834437086093</v>
      </c>
      <c r="AC406">
        <v>0.7052980132450331</v>
      </c>
      <c r="AD406">
        <v>0.7185430463576159</v>
      </c>
    </row>
    <row r="407" spans="1:30">
      <c r="A407" s="1" t="s">
        <v>414</v>
      </c>
      <c r="B407">
        <f>HYPERLINK("https://www.suredividend.com/sure-analysis-BXP/","Boston Properties, Inc.")</f>
        <v>0</v>
      </c>
      <c r="C407">
        <v>74.95</v>
      </c>
      <c r="D407">
        <v>11644.90655</v>
      </c>
      <c r="E407" t="s">
        <v>646</v>
      </c>
      <c r="F407" t="s">
        <v>614</v>
      </c>
      <c r="G407" t="s">
        <v>653</v>
      </c>
      <c r="H407" t="s">
        <v>682</v>
      </c>
      <c r="I407" t="s">
        <v>1088</v>
      </c>
      <c r="J407" t="s">
        <v>1281</v>
      </c>
      <c r="K407">
        <v>43958</v>
      </c>
      <c r="L407">
        <v>0.051501000667111</v>
      </c>
      <c r="M407">
        <v>0.08365060326489737</v>
      </c>
      <c r="N407">
        <v>0.027</v>
      </c>
      <c r="O407">
        <v>0.1460111506750539</v>
      </c>
      <c r="P407" t="s">
        <v>316</v>
      </c>
      <c r="Q407" t="s">
        <v>375</v>
      </c>
      <c r="R407">
        <v>9</v>
      </c>
      <c r="S407">
        <v>0.5514285714285714</v>
      </c>
      <c r="T407">
        <v>112</v>
      </c>
      <c r="U407">
        <v>0.6691964285714286</v>
      </c>
      <c r="V407">
        <v>5.8734</v>
      </c>
      <c r="W407">
        <v>7</v>
      </c>
      <c r="X407">
        <v>3.86</v>
      </c>
      <c r="Y407">
        <v>-0.4402</v>
      </c>
      <c r="Z407">
        <v>0.5932203389830508</v>
      </c>
      <c r="AA407">
        <v>0.2238805970149254</v>
      </c>
      <c r="AB407">
        <v>0.1697019867549669</v>
      </c>
      <c r="AC407">
        <v>0.8079470198675497</v>
      </c>
      <c r="AD407">
        <v>0.7102649006622517</v>
      </c>
    </row>
    <row r="408" spans="1:30">
      <c r="A408" s="1" t="s">
        <v>415</v>
      </c>
      <c r="B408">
        <f>HYPERLINK("https://www.suredividend.com/sure-analysis-CWCO/","Consolidated Water Co. Ltd.")</f>
        <v>0</v>
      </c>
      <c r="C408">
        <v>13.45</v>
      </c>
      <c r="D408">
        <v>202.805825</v>
      </c>
      <c r="E408" t="s">
        <v>646</v>
      </c>
      <c r="F408" t="s">
        <v>613</v>
      </c>
      <c r="G408" t="s">
        <v>676</v>
      </c>
      <c r="H408" t="s">
        <v>683</v>
      </c>
      <c r="I408" t="s">
        <v>1089</v>
      </c>
      <c r="J408" t="s">
        <v>1287</v>
      </c>
      <c r="K408">
        <v>43916</v>
      </c>
      <c r="L408">
        <v>0.025278810408921</v>
      </c>
      <c r="M408">
        <v>0.05041576824822736</v>
      </c>
      <c r="N408">
        <v>0.06900000000000001</v>
      </c>
      <c r="O408">
        <v>0.1455322499406013</v>
      </c>
      <c r="P408" t="s">
        <v>316</v>
      </c>
      <c r="Q408" t="s">
        <v>516</v>
      </c>
      <c r="R408">
        <v>0</v>
      </c>
      <c r="S408">
        <v>0.3953488372093024</v>
      </c>
      <c r="T408">
        <v>17.2</v>
      </c>
      <c r="U408">
        <v>0.7819767441860465</v>
      </c>
      <c r="V408">
        <v>0.589</v>
      </c>
      <c r="W408">
        <v>0.86</v>
      </c>
      <c r="X408">
        <v>0.34</v>
      </c>
      <c r="Y408">
        <v>-0.0407</v>
      </c>
      <c r="Z408">
        <v>0.2932203389830508</v>
      </c>
      <c r="AA408">
        <v>0.7213930348258707</v>
      </c>
      <c r="AB408">
        <v>0.6920529801324503</v>
      </c>
      <c r="AC408">
        <v>0.6672185430463575</v>
      </c>
      <c r="AD408">
        <v>0.7069536423841059</v>
      </c>
    </row>
    <row r="409" spans="1:30">
      <c r="A409" s="1" t="s">
        <v>416</v>
      </c>
      <c r="B409">
        <f>HYPERLINK("https://www.suredividend.com/sure-analysis-LYB/","LyondellBasell Industries NV")</f>
        <v>0</v>
      </c>
      <c r="C409">
        <v>53.6</v>
      </c>
      <c r="D409">
        <v>17886.6416</v>
      </c>
      <c r="E409" t="s">
        <v>641</v>
      </c>
      <c r="F409" t="s">
        <v>613</v>
      </c>
      <c r="G409" t="s">
        <v>654</v>
      </c>
      <c r="H409" t="s">
        <v>682</v>
      </c>
      <c r="I409" t="s">
        <v>1090</v>
      </c>
      <c r="J409" t="s">
        <v>1283</v>
      </c>
      <c r="K409">
        <v>43958</v>
      </c>
      <c r="L409">
        <v>0.07835820895522301</v>
      </c>
      <c r="M409">
        <v>0.001488101823806209</v>
      </c>
      <c r="N409">
        <v>0.09</v>
      </c>
      <c r="O409">
        <v>0.1447888950034915</v>
      </c>
      <c r="P409" t="s">
        <v>316</v>
      </c>
      <c r="Q409" t="s">
        <v>375</v>
      </c>
      <c r="R409">
        <v>9</v>
      </c>
      <c r="S409">
        <v>0.7000000000000001</v>
      </c>
      <c r="T409">
        <v>54</v>
      </c>
      <c r="U409">
        <v>0.9925925925925926</v>
      </c>
      <c r="V409">
        <v>7.8057</v>
      </c>
      <c r="W409">
        <v>6</v>
      </c>
      <c r="X409">
        <v>4.2</v>
      </c>
      <c r="Y409">
        <v>-0.3361</v>
      </c>
      <c r="Z409">
        <v>0.7610169491525425</v>
      </c>
      <c r="AA409">
        <v>0.3399668325041459</v>
      </c>
      <c r="AB409">
        <v>0.8600993377483444</v>
      </c>
      <c r="AC409">
        <v>0.4304635761589404</v>
      </c>
      <c r="AD409">
        <v>0.7019867549668873</v>
      </c>
    </row>
    <row r="410" spans="1:30">
      <c r="A410" s="1" t="s">
        <v>417</v>
      </c>
      <c r="B410">
        <f>HYPERLINK("https://www.suredividend.com/sure-analysis-UBA/","Urstadt Biddle Properties, Inc.")</f>
        <v>0</v>
      </c>
      <c r="C410">
        <v>11.54</v>
      </c>
      <c r="D410">
        <v>462.30394</v>
      </c>
      <c r="E410" t="s">
        <v>646</v>
      </c>
      <c r="F410" t="s">
        <v>614</v>
      </c>
      <c r="G410" t="s">
        <v>653</v>
      </c>
      <c r="H410" t="s">
        <v>682</v>
      </c>
      <c r="I410" t="s">
        <v>1091</v>
      </c>
      <c r="J410" t="s">
        <v>1281</v>
      </c>
      <c r="K410">
        <v>43936</v>
      </c>
      <c r="L410">
        <v>0.095753899480069</v>
      </c>
      <c r="M410">
        <v>0.007848114001454798</v>
      </c>
      <c r="N410">
        <v>0.07000000000000001</v>
      </c>
      <c r="O410">
        <v>0.1431680359185679</v>
      </c>
      <c r="P410" t="s">
        <v>316</v>
      </c>
      <c r="Q410" t="s">
        <v>618</v>
      </c>
      <c r="R410">
        <v>25</v>
      </c>
      <c r="S410">
        <v>1.105</v>
      </c>
      <c r="T410">
        <v>12</v>
      </c>
      <c r="U410">
        <v>0.9616666666666666</v>
      </c>
      <c r="V410">
        <v>0.554</v>
      </c>
      <c r="W410">
        <v>1</v>
      </c>
      <c r="X410">
        <v>1.105</v>
      </c>
      <c r="Y410">
        <v>-0.4932</v>
      </c>
      <c r="Z410">
        <v>0.8220338983050847</v>
      </c>
      <c r="AA410">
        <v>0.1674958540630183</v>
      </c>
      <c r="AB410">
        <v>0.7259933774834437</v>
      </c>
      <c r="AC410">
        <v>0.4718543046357616</v>
      </c>
      <c r="AD410">
        <v>0.6903973509933775</v>
      </c>
    </row>
    <row r="411" spans="1:30">
      <c r="A411" s="1" t="s">
        <v>418</v>
      </c>
      <c r="B411">
        <f>HYPERLINK("https://www.suredividend.com/sure-analysis-PDCO/","Patterson Cos., Inc.")</f>
        <v>0</v>
      </c>
      <c r="C411">
        <v>14.88</v>
      </c>
      <c r="D411">
        <v>1425.59328</v>
      </c>
      <c r="E411" t="s">
        <v>645</v>
      </c>
      <c r="F411" t="s">
        <v>613</v>
      </c>
      <c r="G411" t="s">
        <v>653</v>
      </c>
      <c r="H411" t="s">
        <v>683</v>
      </c>
      <c r="I411" t="s">
        <v>1092</v>
      </c>
      <c r="J411" t="s">
        <v>1280</v>
      </c>
      <c r="K411">
        <v>43958</v>
      </c>
      <c r="L411">
        <v>0.06989247311827901</v>
      </c>
      <c r="M411">
        <v>0.0500987317136008</v>
      </c>
      <c r="N411">
        <v>0.04</v>
      </c>
      <c r="O411">
        <v>0.1373314202510243</v>
      </c>
      <c r="P411" t="s">
        <v>316</v>
      </c>
      <c r="Q411" t="s">
        <v>375</v>
      </c>
      <c r="R411">
        <v>0</v>
      </c>
      <c r="S411">
        <v>1</v>
      </c>
      <c r="T411">
        <v>19</v>
      </c>
      <c r="U411">
        <v>0.7831578947368422</v>
      </c>
      <c r="V411">
        <v>0.5084000000000001</v>
      </c>
      <c r="W411">
        <v>1.04</v>
      </c>
      <c r="X411">
        <v>1.04</v>
      </c>
      <c r="Y411">
        <v>-0.3246</v>
      </c>
      <c r="Z411">
        <v>0.7050847457627119</v>
      </c>
      <c r="AA411">
        <v>0.3499170812603649</v>
      </c>
      <c r="AB411">
        <v>0.3493377483443709</v>
      </c>
      <c r="AC411">
        <v>0.6655629139072847</v>
      </c>
      <c r="AD411">
        <v>0.6639072847682119</v>
      </c>
    </row>
    <row r="412" spans="1:30">
      <c r="A412" s="1" t="s">
        <v>419</v>
      </c>
      <c r="B412">
        <f>HYPERLINK("https://www.suredividend.com/sure-analysis-HAS/","Hasbro, Inc.")</f>
        <v>0</v>
      </c>
      <c r="C412">
        <v>64.8</v>
      </c>
      <c r="D412">
        <v>8878.3128</v>
      </c>
      <c r="E412" t="s">
        <v>649</v>
      </c>
      <c r="F412" t="s">
        <v>613</v>
      </c>
      <c r="G412" t="s">
        <v>653</v>
      </c>
      <c r="H412" t="s">
        <v>683</v>
      </c>
      <c r="I412" t="s">
        <v>1093</v>
      </c>
      <c r="J412" t="s">
        <v>1279</v>
      </c>
      <c r="K412">
        <v>43964</v>
      </c>
      <c r="L412">
        <v>0.041975308641975</v>
      </c>
      <c r="M412">
        <v>0.02129568760013512</v>
      </c>
      <c r="N412">
        <v>0.08</v>
      </c>
      <c r="O412">
        <v>0.1331942556939061</v>
      </c>
      <c r="P412" t="s">
        <v>316</v>
      </c>
      <c r="Q412" t="s">
        <v>316</v>
      </c>
      <c r="R412">
        <v>17</v>
      </c>
      <c r="S412">
        <v>0.777142857142857</v>
      </c>
      <c r="T412">
        <v>72</v>
      </c>
      <c r="U412">
        <v>0.8999999999999999</v>
      </c>
      <c r="V412">
        <v>3.3</v>
      </c>
      <c r="W412">
        <v>3.5</v>
      </c>
      <c r="X412">
        <v>2.72</v>
      </c>
      <c r="Y412">
        <v>-0.3347</v>
      </c>
      <c r="Z412">
        <v>0.4881355932203389</v>
      </c>
      <c r="AA412">
        <v>0.3416252072968491</v>
      </c>
      <c r="AB412">
        <v>0.8038079470198676</v>
      </c>
      <c r="AC412">
        <v>0.5480132450331126</v>
      </c>
      <c r="AD412">
        <v>0.6506622516556291</v>
      </c>
    </row>
    <row r="413" spans="1:30">
      <c r="A413" s="1" t="s">
        <v>420</v>
      </c>
      <c r="B413">
        <f>HYPERLINK("https://www.suredividend.com/sure-analysis-GNL/","Global Net Lease, Inc.")</f>
        <v>0</v>
      </c>
      <c r="C413">
        <v>12.78</v>
      </c>
      <c r="D413">
        <v>1143.353754</v>
      </c>
      <c r="E413" t="s">
        <v>646</v>
      </c>
      <c r="F413" t="s">
        <v>614</v>
      </c>
      <c r="G413" t="s">
        <v>653</v>
      </c>
      <c r="H413" t="s">
        <v>682</v>
      </c>
      <c r="I413" t="s">
        <v>1094</v>
      </c>
      <c r="J413" t="s">
        <v>1281</v>
      </c>
      <c r="K413">
        <v>43913</v>
      </c>
      <c r="L413">
        <v>0.128521126760563</v>
      </c>
      <c r="M413">
        <v>0.01840245217991354</v>
      </c>
      <c r="N413">
        <v>0.015</v>
      </c>
      <c r="O413">
        <v>0.1327285320689895</v>
      </c>
      <c r="P413" t="s">
        <v>316</v>
      </c>
      <c r="Q413" t="s">
        <v>618</v>
      </c>
      <c r="R413">
        <v>0</v>
      </c>
      <c r="S413">
        <v>0.82125</v>
      </c>
      <c r="T413">
        <v>14</v>
      </c>
      <c r="U413">
        <v>0.9128571428571428</v>
      </c>
      <c r="V413">
        <v>0.3835</v>
      </c>
      <c r="W413">
        <v>2</v>
      </c>
      <c r="X413">
        <v>1.6425</v>
      </c>
      <c r="Y413">
        <v>-0.345</v>
      </c>
      <c r="Z413">
        <v>0.8932203389830508</v>
      </c>
      <c r="AA413">
        <v>0.330016583747927</v>
      </c>
      <c r="AB413">
        <v>0.07781456953642384</v>
      </c>
      <c r="AC413">
        <v>0.5347682119205298</v>
      </c>
      <c r="AD413">
        <v>0.6473509933774834</v>
      </c>
    </row>
    <row r="414" spans="1:30">
      <c r="A414" s="1" t="s">
        <v>421</v>
      </c>
      <c r="B414">
        <f>HYPERLINK("https://www.suredividend.com/sure-analysis-KMI/","Kinder Morgan, Inc.")</f>
        <v>0</v>
      </c>
      <c r="C414">
        <v>14.84</v>
      </c>
      <c r="D414">
        <v>33560.5116</v>
      </c>
      <c r="E414" t="s">
        <v>646</v>
      </c>
      <c r="F414" t="s">
        <v>613</v>
      </c>
      <c r="G414" t="s">
        <v>653</v>
      </c>
      <c r="H414" t="s">
        <v>682</v>
      </c>
      <c r="I414" t="s">
        <v>1095</v>
      </c>
      <c r="J414" t="s">
        <v>1284</v>
      </c>
      <c r="K414">
        <v>43963</v>
      </c>
      <c r="L414">
        <v>0.067385444743935</v>
      </c>
      <c r="M414">
        <v>0.06149809461109701</v>
      </c>
      <c r="N414">
        <v>0.019</v>
      </c>
      <c r="O414">
        <v>0.1314692014423688</v>
      </c>
      <c r="P414" t="s">
        <v>316</v>
      </c>
      <c r="Q414" t="s">
        <v>375</v>
      </c>
      <c r="R414">
        <v>2</v>
      </c>
      <c r="S414">
        <v>0.5</v>
      </c>
      <c r="T414">
        <v>20</v>
      </c>
      <c r="U414">
        <v>0.742</v>
      </c>
      <c r="V414">
        <v>0.5814</v>
      </c>
      <c r="W414">
        <v>2</v>
      </c>
      <c r="X414">
        <v>1</v>
      </c>
      <c r="Y414">
        <v>-0.2632</v>
      </c>
      <c r="Z414">
        <v>0.688135593220339</v>
      </c>
      <c r="AA414">
        <v>0.4394693200663349</v>
      </c>
      <c r="AB414">
        <v>0.09188741721854304</v>
      </c>
      <c r="AC414">
        <v>0.7201986754966887</v>
      </c>
      <c r="AD414">
        <v>0.6390728476821192</v>
      </c>
    </row>
    <row r="415" spans="1:30">
      <c r="A415" s="1" t="s">
        <v>422</v>
      </c>
      <c r="B415">
        <f>HYPERLINK("https://www.suredividend.com/sure-analysis-MCY/","Mercury General Corp.")</f>
        <v>0</v>
      </c>
      <c r="C415">
        <v>37.97</v>
      </c>
      <c r="D415">
        <v>2101.94326</v>
      </c>
      <c r="E415" t="s">
        <v>643</v>
      </c>
      <c r="F415" t="s">
        <v>613</v>
      </c>
      <c r="G415" t="s">
        <v>653</v>
      </c>
      <c r="H415" t="s">
        <v>682</v>
      </c>
      <c r="I415" t="s">
        <v>1096</v>
      </c>
      <c r="J415" t="s">
        <v>1277</v>
      </c>
      <c r="K415">
        <v>43955</v>
      </c>
      <c r="L415">
        <v>0.06623650250197501</v>
      </c>
      <c r="M415">
        <v>0.06897378397173393</v>
      </c>
      <c r="N415">
        <v>0.015</v>
      </c>
      <c r="O415">
        <v>0.1297356945430019</v>
      </c>
      <c r="P415" t="s">
        <v>316</v>
      </c>
      <c r="Q415" t="s">
        <v>375</v>
      </c>
      <c r="R415">
        <v>32</v>
      </c>
      <c r="S415">
        <v>0.7185714285714286</v>
      </c>
      <c r="T415">
        <v>53</v>
      </c>
      <c r="U415">
        <v>0.7164150943396226</v>
      </c>
      <c r="V415">
        <v>0.8134</v>
      </c>
      <c r="W415">
        <v>3.5</v>
      </c>
      <c r="X415">
        <v>2.515</v>
      </c>
      <c r="Y415">
        <v>-0.3216</v>
      </c>
      <c r="Z415">
        <v>0.6796610169491525</v>
      </c>
      <c r="AA415">
        <v>0.3565505804311775</v>
      </c>
      <c r="AB415">
        <v>0.07781456953642384</v>
      </c>
      <c r="AC415">
        <v>0.7433774834437087</v>
      </c>
      <c r="AD415">
        <v>0.6274834437086093</v>
      </c>
    </row>
    <row r="416" spans="1:30">
      <c r="A416" s="1" t="s">
        <v>423</v>
      </c>
      <c r="B416">
        <f>HYPERLINK("https://www.suredividend.com/sure-analysis-PFE/","Pfizer Inc.")</f>
        <v>0</v>
      </c>
      <c r="C416">
        <v>37.76</v>
      </c>
      <c r="D416">
        <v>209750.3808</v>
      </c>
      <c r="E416" t="s">
        <v>645</v>
      </c>
      <c r="F416" t="s">
        <v>613</v>
      </c>
      <c r="G416" t="s">
        <v>653</v>
      </c>
      <c r="H416" t="s">
        <v>682</v>
      </c>
      <c r="I416" t="s">
        <v>1097</v>
      </c>
      <c r="J416" t="s">
        <v>1280</v>
      </c>
      <c r="K416">
        <v>43901</v>
      </c>
      <c r="L416">
        <v>0.039194915254237</v>
      </c>
      <c r="M416">
        <v>0.04026783228628505</v>
      </c>
      <c r="N416">
        <v>0.06</v>
      </c>
      <c r="O416">
        <v>0.1294354392009867</v>
      </c>
      <c r="P416" t="s">
        <v>316</v>
      </c>
      <c r="Q416" t="s">
        <v>316</v>
      </c>
      <c r="R416">
        <v>10</v>
      </c>
      <c r="S416">
        <v>0.550185873605948</v>
      </c>
      <c r="T416">
        <v>46</v>
      </c>
      <c r="U416">
        <v>0.8208695652173913</v>
      </c>
      <c r="V416">
        <v>2.8425</v>
      </c>
      <c r="W416">
        <v>2.69</v>
      </c>
      <c r="X416">
        <v>1.48</v>
      </c>
      <c r="Y416">
        <v>-0.0824</v>
      </c>
      <c r="Z416">
        <v>0.4610169491525424</v>
      </c>
      <c r="AA416">
        <v>0.6981757877280265</v>
      </c>
      <c r="AB416">
        <v>0.6341059602649007</v>
      </c>
      <c r="AC416">
        <v>0.6324503311258278</v>
      </c>
      <c r="AD416">
        <v>0.6258278145695364</v>
      </c>
    </row>
    <row r="417" spans="1:30">
      <c r="A417" s="1" t="s">
        <v>424</v>
      </c>
      <c r="B417">
        <f>HYPERLINK("https://www.suredividend.com/sure-analysis-GLW/","Corning, Inc.")</f>
        <v>0</v>
      </c>
      <c r="C417">
        <v>19.65</v>
      </c>
      <c r="D417">
        <v>14914.35</v>
      </c>
      <c r="E417" t="s">
        <v>641</v>
      </c>
      <c r="F417" t="s">
        <v>613</v>
      </c>
      <c r="G417" t="s">
        <v>653</v>
      </c>
      <c r="H417" t="s">
        <v>682</v>
      </c>
      <c r="I417" t="s">
        <v>1098</v>
      </c>
      <c r="J417" t="s">
        <v>1286</v>
      </c>
      <c r="K417">
        <v>43951</v>
      </c>
      <c r="L417">
        <v>0.041730279898218</v>
      </c>
      <c r="M417">
        <v>0.03198421925489003</v>
      </c>
      <c r="N417">
        <v>0.06</v>
      </c>
      <c r="O417">
        <v>0.1290006166022457</v>
      </c>
      <c r="P417" t="s">
        <v>316</v>
      </c>
      <c r="Q417" t="s">
        <v>316</v>
      </c>
      <c r="R417">
        <v>10</v>
      </c>
      <c r="S417">
        <v>0.8200000000000001</v>
      </c>
      <c r="T417">
        <v>23</v>
      </c>
      <c r="U417">
        <v>0.8543478260869565</v>
      </c>
      <c r="V417">
        <v>0.3435</v>
      </c>
      <c r="W417">
        <v>1</v>
      </c>
      <c r="X417">
        <v>0.8200000000000001</v>
      </c>
      <c r="Y417">
        <v>-0.3508</v>
      </c>
      <c r="Z417">
        <v>0.4847457627118644</v>
      </c>
      <c r="AA417">
        <v>0.3200663349917081</v>
      </c>
      <c r="AB417">
        <v>0.6341059602649007</v>
      </c>
      <c r="AC417">
        <v>0.5993377483443709</v>
      </c>
      <c r="AD417">
        <v>0.6241721854304636</v>
      </c>
    </row>
    <row r="418" spans="1:30">
      <c r="A418" s="1" t="s">
        <v>425</v>
      </c>
      <c r="B418">
        <f>HYPERLINK("https://www.suredividend.com/sure-analysis-WMB/","The Williams Cos., Inc.")</f>
        <v>0</v>
      </c>
      <c r="C418">
        <v>18.76</v>
      </c>
      <c r="D418">
        <v>22759.632</v>
      </c>
      <c r="E418" t="s">
        <v>644</v>
      </c>
      <c r="F418" t="s">
        <v>613</v>
      </c>
      <c r="G418" t="s">
        <v>653</v>
      </c>
      <c r="H418" t="s">
        <v>682</v>
      </c>
      <c r="I418" t="s">
        <v>1099</v>
      </c>
      <c r="J418" t="s">
        <v>1284</v>
      </c>
      <c r="K418">
        <v>43966</v>
      </c>
      <c r="L418">
        <v>0.082089552238805</v>
      </c>
      <c r="M418">
        <v>0.0128833503748802</v>
      </c>
      <c r="N418">
        <v>0.05</v>
      </c>
      <c r="O418">
        <v>0.1289580263235175</v>
      </c>
      <c r="P418" t="s">
        <v>316</v>
      </c>
      <c r="Q418" t="s">
        <v>618</v>
      </c>
      <c r="R418">
        <v>3</v>
      </c>
      <c r="S418">
        <v>0.5767790262172285</v>
      </c>
      <c r="T418">
        <v>20</v>
      </c>
      <c r="U418">
        <v>0.9380000000000001</v>
      </c>
      <c r="V418">
        <v>0.1117</v>
      </c>
      <c r="W418">
        <v>2.67</v>
      </c>
      <c r="X418">
        <v>1.54</v>
      </c>
      <c r="Y418">
        <v>-0.323</v>
      </c>
      <c r="Z418">
        <v>0.7864406779661017</v>
      </c>
      <c r="AA418">
        <v>0.3548922056384743</v>
      </c>
      <c r="AB418">
        <v>0.4991721854304636</v>
      </c>
      <c r="AC418">
        <v>0.4983443708609271</v>
      </c>
      <c r="AD418">
        <v>0.6225165562913907</v>
      </c>
    </row>
    <row r="419" spans="1:30">
      <c r="A419" s="1" t="s">
        <v>426</v>
      </c>
      <c r="B419">
        <f>HYPERLINK("https://www.suredividend.com/sure-analysis-NOK/","Nokia Oyj")</f>
        <v>0</v>
      </c>
      <c r="C419">
        <v>3.45</v>
      </c>
      <c r="D419">
        <v>19355.981402</v>
      </c>
      <c r="E419" t="s">
        <v>643</v>
      </c>
      <c r="F419" t="s">
        <v>613</v>
      </c>
      <c r="G419" t="s">
        <v>674</v>
      </c>
      <c r="H419" t="s">
        <v>682</v>
      </c>
      <c r="I419" t="s">
        <v>1100</v>
      </c>
      <c r="J419" t="s">
        <v>1286</v>
      </c>
      <c r="K419">
        <v>43960</v>
      </c>
      <c r="L419">
        <v>0.032521739130434</v>
      </c>
      <c r="M419">
        <v>0.02482356331085978</v>
      </c>
      <c r="N419">
        <v>0.07000000000000001</v>
      </c>
      <c r="O419">
        <v>0.1268594826067473</v>
      </c>
      <c r="P419" t="s">
        <v>316</v>
      </c>
      <c r="Q419" t="s">
        <v>316</v>
      </c>
      <c r="R419">
        <v>0</v>
      </c>
      <c r="S419">
        <v>0.4315384615384615</v>
      </c>
      <c r="T419">
        <v>3.9</v>
      </c>
      <c r="U419">
        <v>0.8846153846153847</v>
      </c>
      <c r="V419">
        <v>-0.0017</v>
      </c>
      <c r="W419">
        <v>0.26</v>
      </c>
      <c r="X419">
        <v>0.1122</v>
      </c>
      <c r="Y419">
        <v>-0.2767</v>
      </c>
      <c r="Z419">
        <v>0.3830508474576271</v>
      </c>
      <c r="AA419">
        <v>0.4195688225538972</v>
      </c>
      <c r="AB419">
        <v>0.7259933774834437</v>
      </c>
      <c r="AC419">
        <v>0.5629139072847682</v>
      </c>
      <c r="AD419">
        <v>0.6142384105960265</v>
      </c>
    </row>
    <row r="420" spans="1:30">
      <c r="A420" s="1" t="s">
        <v>427</v>
      </c>
      <c r="B420">
        <f>HYPERLINK("https://www.suredividend.com/sure-analysis-NYCB/","New York Community Bancorp, Inc.")</f>
        <v>0</v>
      </c>
      <c r="C420">
        <v>8.9</v>
      </c>
      <c r="D420">
        <v>4129.0393</v>
      </c>
      <c r="E420" t="s">
        <v>649</v>
      </c>
      <c r="F420" t="s">
        <v>613</v>
      </c>
      <c r="G420" t="s">
        <v>653</v>
      </c>
      <c r="H420" t="s">
        <v>682</v>
      </c>
      <c r="I420" t="s">
        <v>1101</v>
      </c>
      <c r="J420" t="s">
        <v>1277</v>
      </c>
      <c r="K420">
        <v>43953</v>
      </c>
      <c r="L420">
        <v>0.076404494382022</v>
      </c>
      <c r="M420">
        <v>0.02358048826922654</v>
      </c>
      <c r="N420">
        <v>0.05</v>
      </c>
      <c r="O420">
        <v>0.1267443848452328</v>
      </c>
      <c r="P420" t="s">
        <v>316</v>
      </c>
      <c r="Q420" t="s">
        <v>375</v>
      </c>
      <c r="R420">
        <v>0</v>
      </c>
      <c r="S420">
        <v>0.8</v>
      </c>
      <c r="T420">
        <v>10</v>
      </c>
      <c r="U420">
        <v>0.89</v>
      </c>
      <c r="V420">
        <v>0.775</v>
      </c>
      <c r="W420">
        <v>0.85</v>
      </c>
      <c r="X420">
        <v>0.68</v>
      </c>
      <c r="Y420">
        <v>-0.1659</v>
      </c>
      <c r="Z420">
        <v>0.7508474576271186</v>
      </c>
      <c r="AA420">
        <v>0.5804311774461028</v>
      </c>
      <c r="AB420">
        <v>0.4991721854304636</v>
      </c>
      <c r="AC420">
        <v>0.5596026490066225</v>
      </c>
      <c r="AD420">
        <v>0.6125827814569537</v>
      </c>
    </row>
    <row r="421" spans="1:30">
      <c r="A421" s="1" t="s">
        <v>428</v>
      </c>
      <c r="B421">
        <f>HYPERLINK("https://www.suredividend.com/sure-analysis-WRK/","WestRock Co.")</f>
        <v>0</v>
      </c>
      <c r="C421">
        <v>24.21</v>
      </c>
      <c r="D421">
        <v>6276.56355</v>
      </c>
      <c r="E421" t="s">
        <v>644</v>
      </c>
      <c r="F421" t="s">
        <v>613</v>
      </c>
      <c r="G421" t="s">
        <v>653</v>
      </c>
      <c r="H421" t="s">
        <v>682</v>
      </c>
      <c r="I421" t="s">
        <v>1102</v>
      </c>
      <c r="J421" t="s">
        <v>1279</v>
      </c>
      <c r="K421">
        <v>43965</v>
      </c>
      <c r="L421">
        <v>0.07600165220983</v>
      </c>
      <c r="M421">
        <v>0.03676575007619576</v>
      </c>
      <c r="N421">
        <v>0.06</v>
      </c>
      <c r="O421">
        <v>0.1249369511407044</v>
      </c>
      <c r="P421" t="s">
        <v>316</v>
      </c>
      <c r="Q421" t="s">
        <v>375</v>
      </c>
      <c r="R421">
        <v>0</v>
      </c>
      <c r="S421">
        <v>0.7076923076923076</v>
      </c>
      <c r="T421">
        <v>29</v>
      </c>
      <c r="U421">
        <v>0.8348275862068966</v>
      </c>
      <c r="V421">
        <v>3.2952</v>
      </c>
      <c r="W421">
        <v>2.6</v>
      </c>
      <c r="X421">
        <v>1.84</v>
      </c>
      <c r="Y421">
        <v>-0.3534</v>
      </c>
      <c r="Z421">
        <v>0.7457627118644068</v>
      </c>
      <c r="AA421">
        <v>0.3167495854063018</v>
      </c>
      <c r="AB421">
        <v>0.6341059602649007</v>
      </c>
      <c r="AC421">
        <v>0.6092715231788079</v>
      </c>
      <c r="AD421">
        <v>0.5993377483443709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24.82</v>
      </c>
      <c r="D422">
        <v>5306.44154</v>
      </c>
      <c r="E422" t="s">
        <v>649</v>
      </c>
      <c r="F422" t="s">
        <v>613</v>
      </c>
      <c r="G422" t="s">
        <v>653</v>
      </c>
      <c r="H422" t="s">
        <v>682</v>
      </c>
      <c r="I422" t="s">
        <v>1103</v>
      </c>
      <c r="J422" t="s">
        <v>1283</v>
      </c>
      <c r="K422">
        <v>43966</v>
      </c>
      <c r="L422">
        <v>0.048348106365834</v>
      </c>
      <c r="M422">
        <v>0.07115730383416574</v>
      </c>
      <c r="N422">
        <v>0.02</v>
      </c>
      <c r="O422">
        <v>0.1245790389274182</v>
      </c>
      <c r="P422" t="s">
        <v>316</v>
      </c>
      <c r="Q422" t="s">
        <v>316</v>
      </c>
      <c r="R422">
        <v>0</v>
      </c>
      <c r="S422">
        <v>0.7999999999999999</v>
      </c>
      <c r="T422">
        <v>35</v>
      </c>
      <c r="U422">
        <v>0.7091428571428572</v>
      </c>
      <c r="V422">
        <v>2.1444</v>
      </c>
      <c r="W422">
        <v>1.5</v>
      </c>
      <c r="X422">
        <v>1.2</v>
      </c>
      <c r="Y422">
        <v>-0.4079</v>
      </c>
      <c r="Z422">
        <v>0.5627118644067797</v>
      </c>
      <c r="AA422">
        <v>0.2620232172470978</v>
      </c>
      <c r="AB422">
        <v>0.1274834437086093</v>
      </c>
      <c r="AC422">
        <v>0.7566225165562913</v>
      </c>
      <c r="AD422">
        <v>0.5960264900662251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16.03</v>
      </c>
      <c r="D423">
        <v>8469.161959999999</v>
      </c>
      <c r="E423" t="s">
        <v>646</v>
      </c>
      <c r="F423" t="s">
        <v>614</v>
      </c>
      <c r="G423" t="s">
        <v>653</v>
      </c>
      <c r="H423" t="s">
        <v>682</v>
      </c>
      <c r="I423" t="s">
        <v>1104</v>
      </c>
      <c r="J423" t="s">
        <v>1281</v>
      </c>
      <c r="K423">
        <v>43921</v>
      </c>
      <c r="L423">
        <v>0.06487835308796</v>
      </c>
      <c r="M423">
        <v>0.02345274828168709</v>
      </c>
      <c r="N423">
        <v>0.047</v>
      </c>
      <c r="O423">
        <v>0.1243586584349261</v>
      </c>
      <c r="P423" t="s">
        <v>316</v>
      </c>
      <c r="Q423" t="s">
        <v>375</v>
      </c>
      <c r="R423">
        <v>7</v>
      </c>
      <c r="S423">
        <v>0.7123287671232877</v>
      </c>
      <c r="T423">
        <v>18</v>
      </c>
      <c r="U423">
        <v>0.8905555555555557</v>
      </c>
      <c r="V423">
        <v>0.8187000000000001</v>
      </c>
      <c r="W423">
        <v>1.46</v>
      </c>
      <c r="X423">
        <v>1.04</v>
      </c>
      <c r="Y423">
        <v>-0.1139</v>
      </c>
      <c r="Z423">
        <v>0.6694915254237288</v>
      </c>
      <c r="AA423">
        <v>0.6616915422885572</v>
      </c>
      <c r="AB423">
        <v>0.4304635761589404</v>
      </c>
      <c r="AC423">
        <v>0.5579470198675497</v>
      </c>
      <c r="AD423">
        <v>0.5943708609271523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28.46</v>
      </c>
      <c r="D424">
        <v>21170.31252</v>
      </c>
      <c r="E424" t="s">
        <v>641</v>
      </c>
      <c r="F424" t="s">
        <v>613</v>
      </c>
      <c r="G424" t="s">
        <v>658</v>
      </c>
      <c r="H424" t="s">
        <v>682</v>
      </c>
      <c r="I424" t="s">
        <v>1105</v>
      </c>
      <c r="J424" t="s">
        <v>1278</v>
      </c>
      <c r="K424">
        <v>43958</v>
      </c>
      <c r="L424">
        <v>0.036542515811665</v>
      </c>
      <c r="M424">
        <v>0.00376632229827667</v>
      </c>
      <c r="N424">
        <v>0.09</v>
      </c>
      <c r="O424">
        <v>0.1226206872197375</v>
      </c>
      <c r="P424" t="s">
        <v>316</v>
      </c>
      <c r="Q424" t="s">
        <v>316</v>
      </c>
      <c r="R424">
        <v>0</v>
      </c>
      <c r="S424">
        <v>0.5777777777777778</v>
      </c>
      <c r="T424">
        <v>29</v>
      </c>
      <c r="U424">
        <v>0.9813793103448276</v>
      </c>
      <c r="V424">
        <v>0.1113</v>
      </c>
      <c r="W424">
        <v>1.8</v>
      </c>
      <c r="X424">
        <v>1.04</v>
      </c>
      <c r="Y424">
        <v>-0.2712</v>
      </c>
      <c r="Z424">
        <v>0.4220338983050848</v>
      </c>
      <c r="AA424">
        <v>0.4311774461028193</v>
      </c>
      <c r="AB424">
        <v>0.8600993377483444</v>
      </c>
      <c r="AC424">
        <v>0.4437086092715232</v>
      </c>
      <c r="AD424">
        <v>0.5860927152317881</v>
      </c>
    </row>
    <row r="425" spans="1:30">
      <c r="A425" s="1" t="s">
        <v>432</v>
      </c>
      <c r="B425">
        <f>HYPERLINK("https://www.suredividend.com/sure-analysis-PEAK/","Healthpeak Properties, Inc.")</f>
        <v>0</v>
      </c>
      <c r="C425">
        <v>21.94</v>
      </c>
      <c r="D425">
        <v>11809.6438</v>
      </c>
      <c r="E425" t="s">
        <v>644</v>
      </c>
      <c r="F425" t="s">
        <v>614</v>
      </c>
      <c r="G425" t="s">
        <v>653</v>
      </c>
      <c r="H425" t="s">
        <v>682</v>
      </c>
      <c r="I425" t="s">
        <v>1106</v>
      </c>
      <c r="J425" t="s">
        <v>1281</v>
      </c>
      <c r="K425">
        <v>43873</v>
      </c>
      <c r="L425">
        <v>0.06745670009115701</v>
      </c>
      <c r="M425">
        <v>0.0423784594465999</v>
      </c>
      <c r="N425">
        <v>0.03</v>
      </c>
      <c r="O425">
        <v>0.1215767542051494</v>
      </c>
      <c r="P425" t="s">
        <v>316</v>
      </c>
      <c r="Q425" t="s">
        <v>316</v>
      </c>
      <c r="R425">
        <v>0</v>
      </c>
      <c r="S425">
        <v>0.8222222222222222</v>
      </c>
      <c r="T425">
        <v>27</v>
      </c>
      <c r="U425">
        <v>0.8125925925925926</v>
      </c>
      <c r="V425">
        <v>0.5114000000000001</v>
      </c>
      <c r="W425">
        <v>1.8</v>
      </c>
      <c r="X425">
        <v>1.48</v>
      </c>
      <c r="Y425">
        <v>-0.2966</v>
      </c>
      <c r="Z425">
        <v>0.6932203389830508</v>
      </c>
      <c r="AA425">
        <v>0.3930348258706468</v>
      </c>
      <c r="AB425">
        <v>0.2144039735099338</v>
      </c>
      <c r="AC425">
        <v>0.6423841059602649</v>
      </c>
      <c r="AD425">
        <v>0.5778145695364238</v>
      </c>
    </row>
    <row r="426" spans="1:30">
      <c r="A426" s="1" t="s">
        <v>433</v>
      </c>
      <c r="B426">
        <f>HYPERLINK("https://www.suredividend.com/sure-analysis-CODI/","Compass Diversified Holdings")</f>
        <v>0</v>
      </c>
      <c r="C426">
        <v>15.4</v>
      </c>
      <c r="D426">
        <v>999.46</v>
      </c>
      <c r="E426" t="s">
        <v>643</v>
      </c>
      <c r="F426" t="s">
        <v>613</v>
      </c>
      <c r="G426" t="s">
        <v>653</v>
      </c>
      <c r="H426" t="s">
        <v>682</v>
      </c>
      <c r="I426" t="s">
        <v>1107</v>
      </c>
      <c r="J426" t="s">
        <v>1278</v>
      </c>
      <c r="K426">
        <v>43893</v>
      </c>
      <c r="L426">
        <v>0.09350649350649301</v>
      </c>
      <c r="M426">
        <v>0.007673534376565039</v>
      </c>
      <c r="N426">
        <v>0.045</v>
      </c>
      <c r="O426">
        <v>0.1199905007515514</v>
      </c>
      <c r="P426" t="s">
        <v>316</v>
      </c>
      <c r="Q426" t="s">
        <v>375</v>
      </c>
      <c r="R426">
        <v>0</v>
      </c>
      <c r="S426">
        <v>0.7384615384615385</v>
      </c>
      <c r="T426">
        <v>16</v>
      </c>
      <c r="U426">
        <v>0.9625</v>
      </c>
      <c r="V426">
        <v>-1.8733</v>
      </c>
      <c r="W426">
        <v>1.95</v>
      </c>
      <c r="X426">
        <v>1.44</v>
      </c>
      <c r="Y426">
        <v>-0.0844</v>
      </c>
      <c r="Z426">
        <v>0.8186440677966101</v>
      </c>
      <c r="AA426">
        <v>0.6948590381426202</v>
      </c>
      <c r="AB426">
        <v>0.4155629139072847</v>
      </c>
      <c r="AC426">
        <v>0.4701986754966888</v>
      </c>
      <c r="AD426">
        <v>0.5678807947019867</v>
      </c>
    </row>
    <row r="427" spans="1:30">
      <c r="A427" s="1" t="s">
        <v>434</v>
      </c>
      <c r="B427">
        <f>HYPERLINK("https://www.suredividend.com/sure-analysis-NLSN/","Nielsen Holdings Plc")</f>
        <v>0</v>
      </c>
      <c r="C427">
        <v>12.71</v>
      </c>
      <c r="D427">
        <v>4530.80996</v>
      </c>
      <c r="E427" t="s">
        <v>643</v>
      </c>
      <c r="F427" t="s">
        <v>613</v>
      </c>
      <c r="G427" t="s">
        <v>653</v>
      </c>
      <c r="H427" t="s">
        <v>682</v>
      </c>
      <c r="I427" t="s">
        <v>1108</v>
      </c>
      <c r="J427" t="s">
        <v>1278</v>
      </c>
      <c r="K427">
        <v>43961</v>
      </c>
      <c r="L427">
        <v>0.06451612903225801</v>
      </c>
      <c r="M427">
        <v>0.07207554852844789</v>
      </c>
      <c r="N427">
        <v>0.03</v>
      </c>
      <c r="O427">
        <v>0.1184176876663987</v>
      </c>
      <c r="P427" t="s">
        <v>316</v>
      </c>
      <c r="Q427" t="s">
        <v>375</v>
      </c>
      <c r="R427">
        <v>0</v>
      </c>
      <c r="S427">
        <v>0.543046357615894</v>
      </c>
      <c r="T427">
        <v>18</v>
      </c>
      <c r="U427">
        <v>0.7061111111111111</v>
      </c>
      <c r="V427">
        <v>-1.3333</v>
      </c>
      <c r="W427">
        <v>1.51</v>
      </c>
      <c r="X427">
        <v>0.8200000000000001</v>
      </c>
      <c r="Y427">
        <v>-0.4666</v>
      </c>
      <c r="Z427">
        <v>0.6677966101694914</v>
      </c>
      <c r="AA427">
        <v>0.2072968490878939</v>
      </c>
      <c r="AB427">
        <v>0.2144039735099338</v>
      </c>
      <c r="AC427">
        <v>0.7649006622516556</v>
      </c>
      <c r="AD427">
        <v>0.5562913907284769</v>
      </c>
    </row>
    <row r="428" spans="1:30">
      <c r="A428" s="1" t="s">
        <v>435</v>
      </c>
      <c r="B428">
        <f>HYPERLINK("https://www.suredividend.com/sure-analysis-SAN/","Banco Santander SA")</f>
        <v>0</v>
      </c>
      <c r="C428">
        <v>1.97</v>
      </c>
      <c r="D428">
        <v>32721.049063</v>
      </c>
      <c r="E428" t="s">
        <v>649</v>
      </c>
      <c r="F428" t="s">
        <v>613</v>
      </c>
      <c r="G428" t="s">
        <v>661</v>
      </c>
      <c r="H428" t="s">
        <v>682</v>
      </c>
      <c r="I428" t="s">
        <v>1109</v>
      </c>
      <c r="J428" t="s">
        <v>1277</v>
      </c>
      <c r="K428">
        <v>43953</v>
      </c>
      <c r="L428">
        <v>0.056497461928934</v>
      </c>
      <c r="M428">
        <v>0.1153278279254291</v>
      </c>
      <c r="N428">
        <v>0</v>
      </c>
      <c r="O428">
        <v>0.1153278279254291</v>
      </c>
      <c r="P428" t="s">
        <v>316</v>
      </c>
      <c r="Q428" t="s">
        <v>375</v>
      </c>
      <c r="R428">
        <v>0</v>
      </c>
      <c r="S428">
        <v>0.4452</v>
      </c>
      <c r="T428">
        <v>3.4</v>
      </c>
      <c r="U428">
        <v>0.5794117647058824</v>
      </c>
      <c r="V428">
        <v>0.4234</v>
      </c>
      <c r="W428">
        <v>0.25</v>
      </c>
      <c r="X428">
        <v>0.1113</v>
      </c>
      <c r="Y428">
        <v>-0.5680000000000001</v>
      </c>
      <c r="Z428">
        <v>0.6322033898305084</v>
      </c>
      <c r="AA428">
        <v>0.1077943615257048</v>
      </c>
      <c r="AB428">
        <v>0.02980132450331126</v>
      </c>
      <c r="AC428">
        <v>0.8774834437086092</v>
      </c>
      <c r="AD428">
        <v>0.5413907284768212</v>
      </c>
    </row>
    <row r="429" spans="1:30">
      <c r="A429" s="1" t="s">
        <v>436</v>
      </c>
      <c r="B429">
        <f>HYPERLINK("https://www.suredividend.com/sure-analysis-TRP/","TC Energy Corp.")</f>
        <v>0</v>
      </c>
      <c r="C429">
        <v>44.51</v>
      </c>
      <c r="D429">
        <v>41839.4</v>
      </c>
      <c r="E429" t="s">
        <v>644</v>
      </c>
      <c r="F429" t="s">
        <v>613</v>
      </c>
      <c r="G429" t="s">
        <v>659</v>
      </c>
      <c r="H429" t="s">
        <v>682</v>
      </c>
      <c r="I429" t="s">
        <v>1110</v>
      </c>
      <c r="J429" t="s">
        <v>1284</v>
      </c>
      <c r="K429">
        <v>43878</v>
      </c>
      <c r="L429">
        <v>0.051648439116942</v>
      </c>
      <c r="M429">
        <v>0.0275962633302409</v>
      </c>
      <c r="N429">
        <v>0.04</v>
      </c>
      <c r="O429">
        <v>0.1144045551121038</v>
      </c>
      <c r="P429" t="s">
        <v>316</v>
      </c>
      <c r="Q429" t="s">
        <v>316</v>
      </c>
      <c r="R429">
        <v>5</v>
      </c>
      <c r="S429">
        <v>0.718397507842225</v>
      </c>
      <c r="T429">
        <v>51</v>
      </c>
      <c r="U429">
        <v>0.8727450980392156</v>
      </c>
      <c r="V429">
        <v>3.3123</v>
      </c>
      <c r="W429">
        <v>3.2</v>
      </c>
      <c r="X429">
        <v>2.29887202509512</v>
      </c>
      <c r="Y429">
        <v>-0.06770000000000001</v>
      </c>
      <c r="Z429">
        <v>0.5949152542372882</v>
      </c>
      <c r="AA429">
        <v>0.7056384742951907</v>
      </c>
      <c r="AB429">
        <v>0.3493377483443709</v>
      </c>
      <c r="AC429">
        <v>0.5794701986754967</v>
      </c>
      <c r="AD429">
        <v>0.5314569536423841</v>
      </c>
    </row>
    <row r="430" spans="1:30">
      <c r="A430" s="1" t="s">
        <v>437</v>
      </c>
      <c r="B430">
        <f>HYPERLINK("https://www.suredividend.com/sure-analysis-DTEGY/","Deutsche Telekom AG")</f>
        <v>0</v>
      </c>
      <c r="C430">
        <v>14.82</v>
      </c>
      <c r="D430">
        <v>70283.25719999999</v>
      </c>
      <c r="E430" t="s">
        <v>644</v>
      </c>
      <c r="F430" t="s">
        <v>613</v>
      </c>
      <c r="G430" t="s">
        <v>656</v>
      </c>
      <c r="H430" t="s">
        <v>684</v>
      </c>
      <c r="I430" t="s">
        <v>1111</v>
      </c>
      <c r="J430" t="s">
        <v>1282</v>
      </c>
      <c r="K430">
        <v>43881</v>
      </c>
      <c r="L430">
        <v>0.043967611336032</v>
      </c>
      <c r="M430">
        <v>0.03964449980411033</v>
      </c>
      <c r="N430">
        <v>0.04</v>
      </c>
      <c r="O430">
        <v>0.11280083329075</v>
      </c>
      <c r="P430" t="s">
        <v>316</v>
      </c>
      <c r="Q430" t="s">
        <v>316</v>
      </c>
      <c r="R430">
        <v>0</v>
      </c>
      <c r="S430">
        <v>0.543</v>
      </c>
      <c r="T430">
        <v>18</v>
      </c>
      <c r="U430">
        <v>0.8233333333333334</v>
      </c>
      <c r="V430">
        <v>0.9098000000000001</v>
      </c>
      <c r="W430">
        <v>1.2</v>
      </c>
      <c r="X430">
        <v>0.6516000000000001</v>
      </c>
      <c r="Y430">
        <v>-0.1104</v>
      </c>
      <c r="Z430">
        <v>0.5135593220338983</v>
      </c>
      <c r="AA430">
        <v>0.6666666666666667</v>
      </c>
      <c r="AB430">
        <v>0.3493377483443709</v>
      </c>
      <c r="AC430">
        <v>0.6274834437086093</v>
      </c>
      <c r="AD430">
        <v>0.5281456953642384</v>
      </c>
    </row>
    <row r="431" spans="1:30">
      <c r="A431" s="1" t="s">
        <v>438</v>
      </c>
      <c r="B431">
        <f>HYPERLINK("https://www.suredividend.com/sure-analysis-PM/","Philip Morris International, Inc.")</f>
        <v>0</v>
      </c>
      <c r="C431">
        <v>67.78</v>
      </c>
      <c r="D431">
        <v>105542.2714</v>
      </c>
      <c r="E431" t="s">
        <v>641</v>
      </c>
      <c r="F431" t="s">
        <v>613</v>
      </c>
      <c r="G431" t="s">
        <v>653</v>
      </c>
      <c r="H431" t="s">
        <v>682</v>
      </c>
      <c r="I431" t="s">
        <v>1112</v>
      </c>
      <c r="J431" t="s">
        <v>1285</v>
      </c>
      <c r="K431">
        <v>43944</v>
      </c>
      <c r="L431">
        <v>0.068604308055473</v>
      </c>
      <c r="M431">
        <v>0.01215304591006894</v>
      </c>
      <c r="N431">
        <v>0.04</v>
      </c>
      <c r="O431">
        <v>0.1070663468779351</v>
      </c>
      <c r="P431" t="s">
        <v>316</v>
      </c>
      <c r="Q431" t="s">
        <v>618</v>
      </c>
      <c r="R431">
        <v>12</v>
      </c>
      <c r="S431">
        <v>0.9687500000000001</v>
      </c>
      <c r="T431">
        <v>72</v>
      </c>
      <c r="U431">
        <v>0.9413888888888889</v>
      </c>
      <c r="V431">
        <v>4.908</v>
      </c>
      <c r="W431">
        <v>4.8</v>
      </c>
      <c r="X431">
        <v>4.65</v>
      </c>
      <c r="Y431">
        <v>-0.2058</v>
      </c>
      <c r="Z431">
        <v>0.7</v>
      </c>
      <c r="AA431">
        <v>0.5091210613598673</v>
      </c>
      <c r="AB431">
        <v>0.3493377483443709</v>
      </c>
      <c r="AC431">
        <v>0.4933774834437086</v>
      </c>
      <c r="AD431">
        <v>0.5082781456953642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41.35</v>
      </c>
      <c r="D432">
        <v>60881.707337</v>
      </c>
      <c r="E432" t="s">
        <v>644</v>
      </c>
      <c r="F432" t="s">
        <v>613</v>
      </c>
      <c r="G432" t="s">
        <v>677</v>
      </c>
      <c r="H432" t="s">
        <v>682</v>
      </c>
      <c r="I432" t="s">
        <v>1113</v>
      </c>
      <c r="J432" t="s">
        <v>1283</v>
      </c>
      <c r="K432">
        <v>43895</v>
      </c>
      <c r="L432">
        <v>0.06916565900846401</v>
      </c>
      <c r="M432">
        <v>0.05089680372095917</v>
      </c>
      <c r="N432">
        <v>0.01</v>
      </c>
      <c r="O432">
        <v>0.1062301775719445</v>
      </c>
      <c r="P432" t="s">
        <v>316</v>
      </c>
      <c r="Q432" t="s">
        <v>375</v>
      </c>
      <c r="R432">
        <v>3</v>
      </c>
      <c r="S432">
        <v>0.7526315789473684</v>
      </c>
      <c r="T432">
        <v>53</v>
      </c>
      <c r="U432">
        <v>0.780188679245283</v>
      </c>
      <c r="V432">
        <v>3.7318</v>
      </c>
      <c r="W432">
        <v>3.8</v>
      </c>
      <c r="X432">
        <v>2.86</v>
      </c>
      <c r="Y432">
        <v>-0.1958</v>
      </c>
      <c r="Z432">
        <v>0.7016949152542372</v>
      </c>
      <c r="AA432">
        <v>0.5306799336650083</v>
      </c>
      <c r="AB432">
        <v>0.05960264900662252</v>
      </c>
      <c r="AC432">
        <v>0.6738410596026491</v>
      </c>
      <c r="AD432">
        <v>0.5033112582781457</v>
      </c>
    </row>
    <row r="433" spans="1:30">
      <c r="A433" s="1" t="s">
        <v>440</v>
      </c>
      <c r="B433">
        <f>HYPERLINK("https://www.suredividend.com/sure-analysis-DD/","DuPont de Nemours, Inc.")</f>
        <v>0</v>
      </c>
      <c r="C433">
        <v>45.45</v>
      </c>
      <c r="D433">
        <v>33351.07365</v>
      </c>
      <c r="E433" t="s">
        <v>649</v>
      </c>
      <c r="F433" t="s">
        <v>613</v>
      </c>
      <c r="G433" t="s">
        <v>653</v>
      </c>
      <c r="H433" t="s">
        <v>682</v>
      </c>
      <c r="I433" t="s">
        <v>1114</v>
      </c>
      <c r="J433" t="s">
        <v>1283</v>
      </c>
      <c r="K433">
        <v>43957</v>
      </c>
      <c r="L433">
        <v>0.029042904290429</v>
      </c>
      <c r="M433">
        <v>0.01097745294817321</v>
      </c>
      <c r="N433">
        <v>0.07000000000000001</v>
      </c>
      <c r="O433">
        <v>0.1051193772874286</v>
      </c>
      <c r="P433" t="s">
        <v>316</v>
      </c>
      <c r="Q433" t="s">
        <v>316</v>
      </c>
      <c r="R433">
        <v>0</v>
      </c>
      <c r="S433">
        <v>0.44</v>
      </c>
      <c r="T433">
        <v>48</v>
      </c>
      <c r="U433">
        <v>0.946875</v>
      </c>
      <c r="V433">
        <v>-0.8598</v>
      </c>
      <c r="W433">
        <v>3</v>
      </c>
      <c r="X433">
        <v>1.32</v>
      </c>
      <c r="Y433">
        <v>-0.2865</v>
      </c>
      <c r="Z433">
        <v>0.3423728813559322</v>
      </c>
      <c r="AA433">
        <v>0.4129353233830846</v>
      </c>
      <c r="AB433">
        <v>0.7259933774834437</v>
      </c>
      <c r="AC433">
        <v>0.4850993377483444</v>
      </c>
      <c r="AD433">
        <v>0.4966887417218543</v>
      </c>
    </row>
    <row r="434" spans="1:30">
      <c r="A434" s="1" t="s">
        <v>441</v>
      </c>
      <c r="B434">
        <f>HYPERLINK("https://www.suredividend.com/sure-analysis-WDR/","Waddell &amp; Reed Financial, Inc.")</f>
        <v>0</v>
      </c>
      <c r="C434">
        <v>12.85</v>
      </c>
      <c r="D434">
        <v>843.251695</v>
      </c>
      <c r="E434" t="s">
        <v>645</v>
      </c>
      <c r="F434" t="s">
        <v>613</v>
      </c>
      <c r="G434" t="s">
        <v>653</v>
      </c>
      <c r="H434" t="s">
        <v>682</v>
      </c>
      <c r="I434" t="s">
        <v>1115</v>
      </c>
      <c r="J434" t="s">
        <v>1277</v>
      </c>
      <c r="K434">
        <v>43901</v>
      </c>
      <c r="L434">
        <v>0.077821011673151</v>
      </c>
      <c r="M434">
        <v>0.05757008771696404</v>
      </c>
      <c r="N434">
        <v>-0.01</v>
      </c>
      <c r="O434">
        <v>0.1049701405681764</v>
      </c>
      <c r="P434" t="s">
        <v>316</v>
      </c>
      <c r="Q434" t="s">
        <v>375</v>
      </c>
      <c r="R434">
        <v>0</v>
      </c>
      <c r="S434">
        <v>0.591715976331361</v>
      </c>
      <c r="T434">
        <v>17</v>
      </c>
      <c r="U434">
        <v>0.7558823529411764</v>
      </c>
      <c r="V434">
        <v>1.464</v>
      </c>
      <c r="W434">
        <v>1.69</v>
      </c>
      <c r="X434">
        <v>1</v>
      </c>
      <c r="Y434">
        <v>-0.2538</v>
      </c>
      <c r="Z434">
        <v>0.7576271186440678</v>
      </c>
      <c r="AA434">
        <v>0.4477611940298508</v>
      </c>
      <c r="AB434">
        <v>0.01241721854304636</v>
      </c>
      <c r="AC434">
        <v>0.7003311258278145</v>
      </c>
      <c r="AD434">
        <v>0.4933774834437086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260.41</v>
      </c>
      <c r="D435">
        <v>104109.57431</v>
      </c>
      <c r="E435" t="s">
        <v>643</v>
      </c>
      <c r="F435" t="s">
        <v>613</v>
      </c>
      <c r="G435" t="s">
        <v>653</v>
      </c>
      <c r="H435" t="s">
        <v>683</v>
      </c>
      <c r="I435" t="s">
        <v>1116</v>
      </c>
      <c r="J435" t="s">
        <v>1286</v>
      </c>
      <c r="K435">
        <v>43923</v>
      </c>
      <c r="L435">
        <v>0.043009101032986</v>
      </c>
      <c r="M435">
        <v>-0.01783634298635006</v>
      </c>
      <c r="N435">
        <v>0.075</v>
      </c>
      <c r="O435">
        <v>0.1024287574471352</v>
      </c>
      <c r="P435" t="s">
        <v>316</v>
      </c>
      <c r="Q435" t="s">
        <v>316</v>
      </c>
      <c r="R435">
        <v>9</v>
      </c>
      <c r="S435">
        <v>0.5894736842105263</v>
      </c>
      <c r="T435">
        <v>238</v>
      </c>
      <c r="U435">
        <v>1.094159663865546</v>
      </c>
      <c r="V435">
        <v>6.3789</v>
      </c>
      <c r="W435">
        <v>19</v>
      </c>
      <c r="X435">
        <v>11.2</v>
      </c>
      <c r="Y435">
        <v>-0.1444</v>
      </c>
      <c r="Z435">
        <v>0.5016949152542373</v>
      </c>
      <c r="AA435">
        <v>0.6135986733001658</v>
      </c>
      <c r="AB435">
        <v>0.7665562913907285</v>
      </c>
      <c r="AC435">
        <v>0.3377483443708609</v>
      </c>
      <c r="AD435">
        <v>0.4768211920529801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9.1</v>
      </c>
      <c r="D436">
        <v>14327.404</v>
      </c>
      <c r="E436" t="s">
        <v>651</v>
      </c>
      <c r="F436" t="s">
        <v>613</v>
      </c>
      <c r="G436" t="s">
        <v>654</v>
      </c>
      <c r="H436" t="s">
        <v>682</v>
      </c>
      <c r="I436" t="s">
        <v>1117</v>
      </c>
      <c r="J436" t="s">
        <v>1279</v>
      </c>
      <c r="K436">
        <v>43875</v>
      </c>
      <c r="L436">
        <v>0.03846153846153801</v>
      </c>
      <c r="M436">
        <v>-0.02543744906113798</v>
      </c>
      <c r="N436">
        <v>0.08</v>
      </c>
      <c r="O436">
        <v>0.1022881315468926</v>
      </c>
      <c r="P436" t="s">
        <v>316</v>
      </c>
      <c r="Q436" t="s">
        <v>316</v>
      </c>
      <c r="R436">
        <v>36</v>
      </c>
      <c r="S436">
        <v>0.7000000000000001</v>
      </c>
      <c r="T436">
        <v>8</v>
      </c>
      <c r="U436">
        <v>1.1375</v>
      </c>
      <c r="V436">
        <v>0.3143</v>
      </c>
      <c r="W436">
        <v>0.5</v>
      </c>
      <c r="X436">
        <v>0.35</v>
      </c>
      <c r="Y436">
        <v>-0.186</v>
      </c>
      <c r="Z436">
        <v>0.4457627118644068</v>
      </c>
      <c r="AA436">
        <v>0.5489220563847429</v>
      </c>
      <c r="AB436">
        <v>0.8038079470198676</v>
      </c>
      <c r="AC436">
        <v>0.304635761589404</v>
      </c>
      <c r="AD436">
        <v>0.4751655629139073</v>
      </c>
    </row>
    <row r="437" spans="1:30">
      <c r="A437" s="1" t="s">
        <v>444</v>
      </c>
      <c r="B437">
        <f>HYPERLINK("https://www.suredividend.com/sure-analysis-DREUF/","Dream Industrial Real Estate Investment Trust")</f>
        <v>0</v>
      </c>
      <c r="C437">
        <v>6.25</v>
      </c>
      <c r="D437">
        <v>1070.136594</v>
      </c>
      <c r="E437" t="s">
        <v>646</v>
      </c>
      <c r="F437" t="s">
        <v>614</v>
      </c>
      <c r="G437" t="s">
        <v>659</v>
      </c>
      <c r="H437" t="s">
        <v>684</v>
      </c>
      <c r="I437" t="s">
        <v>1118</v>
      </c>
      <c r="J437" t="s">
        <v>1277</v>
      </c>
      <c r="K437">
        <v>43913</v>
      </c>
      <c r="L437">
        <v>0.08415437510369901</v>
      </c>
      <c r="M437">
        <v>-0.02172354317408065</v>
      </c>
      <c r="N437">
        <v>0.052</v>
      </c>
      <c r="O437">
        <v>0.1001386409177847</v>
      </c>
      <c r="P437" t="s">
        <v>316</v>
      </c>
      <c r="Q437" t="s">
        <v>375</v>
      </c>
      <c r="R437">
        <v>0</v>
      </c>
      <c r="S437">
        <v>0.7513783491401702</v>
      </c>
      <c r="T437">
        <v>5.6</v>
      </c>
      <c r="U437">
        <v>1.116071428571429</v>
      </c>
      <c r="V437">
        <v>1.1947</v>
      </c>
      <c r="W437">
        <v>0.7</v>
      </c>
      <c r="X437">
        <v>0.5259648443981191</v>
      </c>
      <c r="Y437">
        <v>-0.2716</v>
      </c>
      <c r="Z437">
        <v>0.7966101694915254</v>
      </c>
      <c r="AA437">
        <v>0.4295190713101161</v>
      </c>
      <c r="AB437">
        <v>0.5670529801324503</v>
      </c>
      <c r="AC437">
        <v>0.3245033112582781</v>
      </c>
      <c r="AD437">
        <v>0.4602649006622517</v>
      </c>
    </row>
    <row r="438" spans="1:30">
      <c r="A438" s="1" t="s">
        <v>445</v>
      </c>
      <c r="B438">
        <f>HYPERLINK("https://www.suredividend.com/sure-analysis-LAMR/","Lamar Advertising Co.")</f>
        <v>0</v>
      </c>
      <c r="C438">
        <v>59.2</v>
      </c>
      <c r="D438">
        <v>5964.949672</v>
      </c>
      <c r="E438" t="s">
        <v>646</v>
      </c>
      <c r="F438" t="s">
        <v>614</v>
      </c>
      <c r="G438" t="s">
        <v>653</v>
      </c>
      <c r="H438" t="s">
        <v>683</v>
      </c>
      <c r="I438" t="s">
        <v>1119</v>
      </c>
      <c r="J438" t="s">
        <v>1281</v>
      </c>
      <c r="K438">
        <v>43921</v>
      </c>
      <c r="L438">
        <v>0.06554054054054001</v>
      </c>
      <c r="M438">
        <v>0.002688210842791472</v>
      </c>
      <c r="N438">
        <v>0.046</v>
      </c>
      <c r="O438">
        <v>0.09880877625015771</v>
      </c>
      <c r="P438" t="s">
        <v>316</v>
      </c>
      <c r="Q438" t="s">
        <v>316</v>
      </c>
      <c r="R438">
        <v>4</v>
      </c>
      <c r="S438">
        <v>0.776</v>
      </c>
      <c r="T438">
        <v>60</v>
      </c>
      <c r="U438">
        <v>0.9866666666666667</v>
      </c>
      <c r="V438">
        <v>3.5994</v>
      </c>
      <c r="W438">
        <v>5</v>
      </c>
      <c r="X438">
        <v>3.88</v>
      </c>
      <c r="Y438">
        <v>-0.2759</v>
      </c>
      <c r="Z438">
        <v>0.676271186440678</v>
      </c>
      <c r="AA438">
        <v>0.4245439469320066</v>
      </c>
      <c r="AB438">
        <v>0.4246688741721855</v>
      </c>
      <c r="AC438">
        <v>0.4370860927152318</v>
      </c>
      <c r="AD438">
        <v>0.4470198675496689</v>
      </c>
    </row>
    <row r="439" spans="1:30">
      <c r="A439" s="1" t="s">
        <v>446</v>
      </c>
      <c r="B439">
        <f>HYPERLINK("https://www.suredividend.com/sure-analysis-PHG/","Koninklijke Philips NV")</f>
        <v>0</v>
      </c>
      <c r="C439">
        <v>41.24</v>
      </c>
      <c r="D439">
        <v>36745.791366</v>
      </c>
      <c r="E439" t="s">
        <v>644</v>
      </c>
      <c r="F439" t="s">
        <v>613</v>
      </c>
      <c r="G439" t="s">
        <v>665</v>
      </c>
      <c r="H439" t="s">
        <v>682</v>
      </c>
      <c r="I439" t="s">
        <v>1120</v>
      </c>
      <c r="J439" t="s">
        <v>1280</v>
      </c>
      <c r="K439">
        <v>43966</v>
      </c>
      <c r="L439">
        <v>0.022686711930164</v>
      </c>
      <c r="M439">
        <v>-0.0268119469938668</v>
      </c>
      <c r="N439">
        <v>0.11</v>
      </c>
      <c r="O439">
        <v>0.09843621864937768</v>
      </c>
      <c r="P439" t="s">
        <v>316</v>
      </c>
      <c r="Q439" t="s">
        <v>516</v>
      </c>
      <c r="R439">
        <v>0</v>
      </c>
      <c r="S439">
        <v>0.4678</v>
      </c>
      <c r="T439">
        <v>36</v>
      </c>
      <c r="U439">
        <v>1.145555555555556</v>
      </c>
      <c r="V439">
        <v>1.7016</v>
      </c>
      <c r="W439">
        <v>2</v>
      </c>
      <c r="X439">
        <v>0.9356000000000001</v>
      </c>
      <c r="Y439">
        <v>0.021</v>
      </c>
      <c r="Z439">
        <v>0.2355932203389831</v>
      </c>
      <c r="AA439">
        <v>0.7844112769485904</v>
      </c>
      <c r="AB439">
        <v>0.9180463576158941</v>
      </c>
      <c r="AC439">
        <v>0.2980132450331126</v>
      </c>
      <c r="AD439">
        <v>0.4437086092715232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47.77</v>
      </c>
      <c r="D440">
        <v>12258.97625</v>
      </c>
      <c r="E440" t="s">
        <v>643</v>
      </c>
      <c r="F440" t="s">
        <v>613</v>
      </c>
      <c r="G440" t="s">
        <v>658</v>
      </c>
      <c r="H440" t="s">
        <v>683</v>
      </c>
      <c r="I440" t="s">
        <v>1121</v>
      </c>
      <c r="J440" t="s">
        <v>1286</v>
      </c>
      <c r="K440">
        <v>43867</v>
      </c>
      <c r="L440">
        <v>0.05359011932175001</v>
      </c>
      <c r="M440">
        <v>0.01317155168782902</v>
      </c>
      <c r="N440">
        <v>0.04</v>
      </c>
      <c r="O440">
        <v>0.09746771080017691</v>
      </c>
      <c r="P440" t="s">
        <v>316</v>
      </c>
      <c r="Q440" t="s">
        <v>375</v>
      </c>
      <c r="R440">
        <v>1</v>
      </c>
      <c r="S440">
        <v>0.5019607843137255</v>
      </c>
      <c r="T440">
        <v>51</v>
      </c>
      <c r="U440">
        <v>0.9366666666666668</v>
      </c>
      <c r="V440">
        <v>6.7662</v>
      </c>
      <c r="W440">
        <v>5.1</v>
      </c>
      <c r="X440">
        <v>2.56</v>
      </c>
      <c r="Y440">
        <v>0.0478</v>
      </c>
      <c r="Z440">
        <v>0.6101694915254238</v>
      </c>
      <c r="AA440">
        <v>0.8059701492537313</v>
      </c>
      <c r="AB440">
        <v>0.3493377483443709</v>
      </c>
      <c r="AC440">
        <v>0.5016556291390729</v>
      </c>
      <c r="AD440">
        <v>0.4354304635761589</v>
      </c>
    </row>
    <row r="441" spans="1:30">
      <c r="A441" s="1" t="s">
        <v>448</v>
      </c>
      <c r="B441">
        <f>HYPERLINK("https://www.suredividend.com/sure-analysis-TS/","Tenaris SA")</f>
        <v>0</v>
      </c>
      <c r="C441">
        <v>12.61</v>
      </c>
      <c r="D441">
        <v>7443.284713</v>
      </c>
      <c r="E441" t="s">
        <v>649</v>
      </c>
      <c r="F441" t="s">
        <v>613</v>
      </c>
      <c r="G441" t="s">
        <v>666</v>
      </c>
      <c r="H441" t="s">
        <v>682</v>
      </c>
      <c r="I441" t="s">
        <v>1122</v>
      </c>
      <c r="J441" t="s">
        <v>1284</v>
      </c>
      <c r="K441">
        <v>43951</v>
      </c>
      <c r="L441">
        <v>0.015714512291831</v>
      </c>
      <c r="M441">
        <v>0.02113365432407299</v>
      </c>
      <c r="N441">
        <v>0.06</v>
      </c>
      <c r="O441">
        <v>0.09592521552042843</v>
      </c>
      <c r="P441" t="s">
        <v>316</v>
      </c>
      <c r="Q441" t="s">
        <v>516</v>
      </c>
      <c r="R441">
        <v>0</v>
      </c>
      <c r="S441">
        <v>0.4954</v>
      </c>
      <c r="T441">
        <v>14</v>
      </c>
      <c r="U441">
        <v>0.9007142857142857</v>
      </c>
      <c r="V441">
        <v>0.2601</v>
      </c>
      <c r="W441">
        <v>0.4</v>
      </c>
      <c r="X441">
        <v>0.19816</v>
      </c>
      <c r="Y441">
        <v>-0.5355</v>
      </c>
      <c r="Z441">
        <v>0.1135593220338983</v>
      </c>
      <c r="AA441">
        <v>0.12106135986733</v>
      </c>
      <c r="AB441">
        <v>0.6341059602649007</v>
      </c>
      <c r="AC441">
        <v>0.5463576158940397</v>
      </c>
      <c r="AD441">
        <v>0.4321192052980132</v>
      </c>
    </row>
    <row r="442" spans="1:30">
      <c r="A442" s="1" t="s">
        <v>449</v>
      </c>
      <c r="B442">
        <f>HYPERLINK("https://www.suredividend.com/sure-analysis-GSK/","GlaxoSmithKline Plc")</f>
        <v>0</v>
      </c>
      <c r="C442">
        <v>40.91</v>
      </c>
      <c r="D442">
        <v>101879.706205</v>
      </c>
      <c r="E442" t="s">
        <v>642</v>
      </c>
      <c r="F442" t="s">
        <v>613</v>
      </c>
      <c r="G442" t="s">
        <v>654</v>
      </c>
      <c r="H442" t="s">
        <v>682</v>
      </c>
      <c r="I442" t="s">
        <v>1123</v>
      </c>
      <c r="J442" t="s">
        <v>1280</v>
      </c>
      <c r="K442">
        <v>43951</v>
      </c>
      <c r="L442">
        <v>0.048023637252505</v>
      </c>
      <c r="M442">
        <v>0.02373056605608093</v>
      </c>
      <c r="N442">
        <v>0.03</v>
      </c>
      <c r="O442">
        <v>0.09522385336807937</v>
      </c>
      <c r="P442" t="s">
        <v>316</v>
      </c>
      <c r="Q442" t="s">
        <v>316</v>
      </c>
      <c r="R442">
        <v>0</v>
      </c>
      <c r="S442">
        <v>0.6420415032679738</v>
      </c>
      <c r="T442">
        <v>46</v>
      </c>
      <c r="U442">
        <v>0.8893478260869564</v>
      </c>
      <c r="V442">
        <v>2.3865</v>
      </c>
      <c r="W442">
        <v>3.06</v>
      </c>
      <c r="X442">
        <v>1.964647</v>
      </c>
      <c r="Y442">
        <v>0.0336</v>
      </c>
      <c r="Z442">
        <v>0.559322033898305</v>
      </c>
      <c r="AA442">
        <v>0.7993366500829187</v>
      </c>
      <c r="AB442">
        <v>0.2144039735099338</v>
      </c>
      <c r="AC442">
        <v>0.5612582781456954</v>
      </c>
      <c r="AD442">
        <v>0.4271523178807947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25.57</v>
      </c>
      <c r="D443">
        <v>2677.92053</v>
      </c>
      <c r="E443" t="s">
        <v>645</v>
      </c>
      <c r="F443" t="s">
        <v>613</v>
      </c>
      <c r="G443" t="s">
        <v>653</v>
      </c>
      <c r="H443" t="s">
        <v>682</v>
      </c>
      <c r="I443" t="s">
        <v>1124</v>
      </c>
      <c r="J443" t="s">
        <v>1277</v>
      </c>
      <c r="K443">
        <v>43958</v>
      </c>
      <c r="L443">
        <v>0.073523660539694</v>
      </c>
      <c r="M443">
        <v>-0.02096228645408427</v>
      </c>
      <c r="N443">
        <v>0.05</v>
      </c>
      <c r="O443">
        <v>0.09335670365394644</v>
      </c>
      <c r="P443" t="s">
        <v>316</v>
      </c>
      <c r="Q443" t="s">
        <v>618</v>
      </c>
      <c r="R443">
        <v>12</v>
      </c>
      <c r="S443">
        <v>1.074285714285714</v>
      </c>
      <c r="T443">
        <v>23</v>
      </c>
      <c r="U443">
        <v>1.111739130434783</v>
      </c>
      <c r="V443">
        <v>2.3232</v>
      </c>
      <c r="W443">
        <v>1.75</v>
      </c>
      <c r="X443">
        <v>1.88</v>
      </c>
      <c r="Y443">
        <v>-0.2705</v>
      </c>
      <c r="Z443">
        <v>0.7338983050847457</v>
      </c>
      <c r="AA443">
        <v>0.4328358208955224</v>
      </c>
      <c r="AB443">
        <v>0.4991721854304636</v>
      </c>
      <c r="AC443">
        <v>0.3261589403973509</v>
      </c>
      <c r="AD443">
        <v>0.4188741721854305</v>
      </c>
    </row>
    <row r="444" spans="1:30">
      <c r="A444" s="1" t="s">
        <v>451</v>
      </c>
      <c r="B444">
        <f>HYPERLINK("https://www.suredividend.com/sure-analysis-TCP/","TC Pipelines LP")</f>
        <v>0</v>
      </c>
      <c r="C444">
        <v>32.82</v>
      </c>
      <c r="D444">
        <v>2402.634048</v>
      </c>
      <c r="E444" t="s">
        <v>644</v>
      </c>
      <c r="F444" t="s">
        <v>615</v>
      </c>
      <c r="G444" t="s">
        <v>653</v>
      </c>
      <c r="H444" t="s">
        <v>682</v>
      </c>
      <c r="I444" t="s">
        <v>1125</v>
      </c>
      <c r="J444" t="s">
        <v>1284</v>
      </c>
      <c r="K444">
        <v>43888</v>
      </c>
      <c r="L444">
        <v>0.079219987812309</v>
      </c>
      <c r="M444">
        <v>0.001094493682438635</v>
      </c>
      <c r="N444">
        <v>0.02</v>
      </c>
      <c r="O444">
        <v>0.08796818323775546</v>
      </c>
      <c r="P444" t="s">
        <v>316</v>
      </c>
      <c r="Q444" t="s">
        <v>375</v>
      </c>
      <c r="R444">
        <v>0</v>
      </c>
      <c r="S444">
        <v>0.5531914893617021</v>
      </c>
      <c r="T444">
        <v>33</v>
      </c>
      <c r="U444">
        <v>0.9945454545454545</v>
      </c>
      <c r="V444">
        <v>3.6746</v>
      </c>
      <c r="W444">
        <v>4.7</v>
      </c>
      <c r="X444">
        <v>2.6</v>
      </c>
      <c r="Y444">
        <v>-0.09910000000000001</v>
      </c>
      <c r="Z444">
        <v>0.7694915254237289</v>
      </c>
      <c r="AA444">
        <v>0.6782752902155887</v>
      </c>
      <c r="AB444">
        <v>0.1274834437086093</v>
      </c>
      <c r="AC444">
        <v>0.4288079470198676</v>
      </c>
      <c r="AD444">
        <v>0.3824503311258278</v>
      </c>
    </row>
    <row r="445" spans="1:30">
      <c r="A445" s="1" t="s">
        <v>452</v>
      </c>
      <c r="B445">
        <f>HYPERLINK("https://www.suredividend.com/sure-analysis-TT/","Trane Technologies Plc")</f>
        <v>0</v>
      </c>
      <c r="C445">
        <v>77.20999999999999</v>
      </c>
      <c r="D445">
        <v>18469.24968</v>
      </c>
      <c r="E445" t="s">
        <v>641</v>
      </c>
      <c r="F445" t="s">
        <v>613</v>
      </c>
      <c r="G445" t="s">
        <v>658</v>
      </c>
      <c r="H445" t="s">
        <v>682</v>
      </c>
      <c r="I445" t="s">
        <v>1126</v>
      </c>
      <c r="J445" t="s">
        <v>1278</v>
      </c>
      <c r="K445">
        <v>43958</v>
      </c>
      <c r="L445">
        <v>0.027457583214609</v>
      </c>
      <c r="M445">
        <v>-0.03683368768208872</v>
      </c>
      <c r="N445">
        <v>0.1</v>
      </c>
      <c r="O445">
        <v>0.08568458711334825</v>
      </c>
      <c r="P445" t="s">
        <v>316</v>
      </c>
      <c r="Q445" t="s">
        <v>516</v>
      </c>
      <c r="R445">
        <v>9</v>
      </c>
      <c r="S445">
        <v>0.53</v>
      </c>
      <c r="T445">
        <v>64</v>
      </c>
      <c r="U445">
        <v>1.20640625</v>
      </c>
      <c r="V445">
        <v>4.9028</v>
      </c>
      <c r="W445">
        <v>4</v>
      </c>
      <c r="X445">
        <v>2.12</v>
      </c>
      <c r="Y445">
        <v>-0.1797</v>
      </c>
      <c r="Z445">
        <v>0.3220338983050848</v>
      </c>
      <c r="AA445">
        <v>0.5555555555555556</v>
      </c>
      <c r="AB445">
        <v>0.8981788079470199</v>
      </c>
      <c r="AC445">
        <v>0.2466887417218543</v>
      </c>
      <c r="AD445">
        <v>0.3675496688741722</v>
      </c>
    </row>
    <row r="446" spans="1:30">
      <c r="A446" s="1" t="s">
        <v>453</v>
      </c>
      <c r="B446">
        <f>HYPERLINK("https://www.suredividend.com/sure-analysis-KHC/","The Kraft Heinz Co.")</f>
        <v>0</v>
      </c>
      <c r="C446">
        <v>29.2</v>
      </c>
      <c r="D446">
        <v>35677.436</v>
      </c>
      <c r="E446" t="s">
        <v>643</v>
      </c>
      <c r="F446" t="s">
        <v>613</v>
      </c>
      <c r="G446" t="s">
        <v>653</v>
      </c>
      <c r="H446" t="s">
        <v>683</v>
      </c>
      <c r="I446" t="s">
        <v>1127</v>
      </c>
      <c r="J446" t="s">
        <v>1285</v>
      </c>
      <c r="K446">
        <v>43963</v>
      </c>
      <c r="L446">
        <v>0.054794520547945</v>
      </c>
      <c r="M446">
        <v>0.01203555033943671</v>
      </c>
      <c r="N446">
        <v>0.03</v>
      </c>
      <c r="O446">
        <v>0.0851517893567324</v>
      </c>
      <c r="P446" t="s">
        <v>316</v>
      </c>
      <c r="Q446" t="s">
        <v>316</v>
      </c>
      <c r="R446">
        <v>0</v>
      </c>
      <c r="S446">
        <v>0.6808510638297872</v>
      </c>
      <c r="T446">
        <v>31</v>
      </c>
      <c r="U446">
        <v>0.9419354838709677</v>
      </c>
      <c r="V446">
        <v>1.5627</v>
      </c>
      <c r="W446">
        <v>2.35</v>
      </c>
      <c r="X446">
        <v>1.6</v>
      </c>
      <c r="Y446">
        <v>-0.0988</v>
      </c>
      <c r="Z446">
        <v>0.6186440677966102</v>
      </c>
      <c r="AA446">
        <v>0.6807628524046434</v>
      </c>
      <c r="AB446">
        <v>0.2144039735099338</v>
      </c>
      <c r="AC446">
        <v>0.4917218543046358</v>
      </c>
      <c r="AD446">
        <v>0.3609271523178808</v>
      </c>
    </row>
    <row r="447" spans="1:30">
      <c r="A447" s="1" t="s">
        <v>454</v>
      </c>
      <c r="B447">
        <f>HYPERLINK("https://www.suredividend.com/sure-analysis-HRB/","H&amp;R Block, Inc.")</f>
        <v>0</v>
      </c>
      <c r="C447">
        <v>15.63</v>
      </c>
      <c r="D447">
        <v>3008.38425</v>
      </c>
      <c r="E447" t="s">
        <v>646</v>
      </c>
      <c r="F447" t="s">
        <v>613</v>
      </c>
      <c r="G447" t="s">
        <v>653</v>
      </c>
      <c r="H447" t="s">
        <v>682</v>
      </c>
      <c r="I447" t="s">
        <v>1128</v>
      </c>
      <c r="J447" t="s">
        <v>1279</v>
      </c>
      <c r="K447">
        <v>43937</v>
      </c>
      <c r="L447">
        <v>0.06653870761356301</v>
      </c>
      <c r="M447">
        <v>-0.1045183181051774</v>
      </c>
      <c r="N447">
        <v>0.149</v>
      </c>
      <c r="O447">
        <v>0.08500157640969253</v>
      </c>
      <c r="P447" t="s">
        <v>316</v>
      </c>
      <c r="Q447" t="s">
        <v>375</v>
      </c>
      <c r="R447">
        <v>5</v>
      </c>
      <c r="S447">
        <v>1.04</v>
      </c>
      <c r="T447">
        <v>9</v>
      </c>
      <c r="U447">
        <v>1.736666666666667</v>
      </c>
      <c r="V447">
        <v>1.9653</v>
      </c>
      <c r="W447">
        <v>1</v>
      </c>
      <c r="X447">
        <v>1.04</v>
      </c>
      <c r="Y447">
        <v>-0.4296</v>
      </c>
      <c r="Z447">
        <v>0.6830508474576271</v>
      </c>
      <c r="AA447">
        <v>0.2338308457711443</v>
      </c>
      <c r="AB447">
        <v>0.9586092715231789</v>
      </c>
      <c r="AC447">
        <v>0.04966887417218543</v>
      </c>
      <c r="AD447">
        <v>0.3576158940397351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49.8</v>
      </c>
      <c r="D448">
        <v>258266.784</v>
      </c>
      <c r="E448" t="s">
        <v>644</v>
      </c>
      <c r="F448" t="s">
        <v>613</v>
      </c>
      <c r="G448" t="s">
        <v>678</v>
      </c>
      <c r="H448" t="s">
        <v>682</v>
      </c>
      <c r="I448" t="s">
        <v>1129</v>
      </c>
      <c r="J448" t="s">
        <v>1286</v>
      </c>
      <c r="K448">
        <v>43944</v>
      </c>
      <c r="L448">
        <v>0.026727851405622</v>
      </c>
      <c r="M448">
        <v>-0.03814212995269906</v>
      </c>
      <c r="N448">
        <v>0.09</v>
      </c>
      <c r="O448">
        <v>0.08202318090847061</v>
      </c>
      <c r="P448" t="s">
        <v>316</v>
      </c>
      <c r="Q448" t="s">
        <v>516</v>
      </c>
      <c r="R448">
        <v>5</v>
      </c>
      <c r="S448">
        <v>0.4670340350877192</v>
      </c>
      <c r="T448">
        <v>41</v>
      </c>
      <c r="U448">
        <v>1.214634146341463</v>
      </c>
      <c r="V448">
        <v>2.156</v>
      </c>
      <c r="W448">
        <v>2.85</v>
      </c>
      <c r="X448">
        <v>1.331047</v>
      </c>
      <c r="Y448">
        <v>0.1866</v>
      </c>
      <c r="Z448">
        <v>0.3101694915254237</v>
      </c>
      <c r="AA448">
        <v>0.9071310116086235</v>
      </c>
      <c r="AB448">
        <v>0.8600993377483444</v>
      </c>
      <c r="AC448">
        <v>0.2400662251655629</v>
      </c>
      <c r="AD448">
        <v>0.3394039735099338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35.29</v>
      </c>
      <c r="D449">
        <v>34386.85832</v>
      </c>
      <c r="E449" t="s">
        <v>642</v>
      </c>
      <c r="F449" t="s">
        <v>613</v>
      </c>
      <c r="G449" t="s">
        <v>653</v>
      </c>
      <c r="H449" t="s">
        <v>683</v>
      </c>
      <c r="I449" t="s">
        <v>1130</v>
      </c>
      <c r="J449" t="s">
        <v>1287</v>
      </c>
      <c r="K449">
        <v>43963</v>
      </c>
      <c r="L449">
        <v>0.041654859733635</v>
      </c>
      <c r="M449">
        <v>0.02537250213271069</v>
      </c>
      <c r="N449">
        <v>0.02</v>
      </c>
      <c r="O449">
        <v>0.08180303002211131</v>
      </c>
      <c r="P449" t="s">
        <v>316</v>
      </c>
      <c r="Q449" t="s">
        <v>316</v>
      </c>
      <c r="R449">
        <v>5</v>
      </c>
      <c r="S449">
        <v>0.4983050847457627</v>
      </c>
      <c r="T449">
        <v>40</v>
      </c>
      <c r="U449">
        <v>0.88225</v>
      </c>
      <c r="V449">
        <v>2.6819</v>
      </c>
      <c r="W449">
        <v>2.95</v>
      </c>
      <c r="X449">
        <v>1.47</v>
      </c>
      <c r="Y449">
        <v>-0.2764</v>
      </c>
      <c r="Z449">
        <v>0.4830508474576271</v>
      </c>
      <c r="AA449">
        <v>0.4220563847429519</v>
      </c>
      <c r="AB449">
        <v>0.1274834437086093</v>
      </c>
      <c r="AC449">
        <v>0.5662251655629139</v>
      </c>
      <c r="AD449">
        <v>0.3377483443708609</v>
      </c>
    </row>
    <row r="450" spans="1:30">
      <c r="A450" s="1" t="s">
        <v>457</v>
      </c>
      <c r="B450">
        <f>HYPERLINK("https://www.suredividend.com/sure-analysis-ALV/","Autoliv, Inc.")</f>
        <v>0</v>
      </c>
      <c r="C450">
        <v>57.79</v>
      </c>
      <c r="D450">
        <v>5045.974303</v>
      </c>
      <c r="E450" t="s">
        <v>649</v>
      </c>
      <c r="F450" t="s">
        <v>613</v>
      </c>
      <c r="G450" t="s">
        <v>672</v>
      </c>
      <c r="H450" t="s">
        <v>682</v>
      </c>
      <c r="I450" t="s">
        <v>1131</v>
      </c>
      <c r="J450" t="s">
        <v>1279</v>
      </c>
      <c r="K450">
        <v>43950</v>
      </c>
      <c r="L450">
        <v>0.042913998961758</v>
      </c>
      <c r="M450">
        <v>0.007534001220055764</v>
      </c>
      <c r="N450">
        <v>0.05</v>
      </c>
      <c r="O450">
        <v>0.07731231378605474</v>
      </c>
      <c r="P450" t="s">
        <v>316</v>
      </c>
      <c r="Q450" t="s">
        <v>316</v>
      </c>
      <c r="R450">
        <v>10</v>
      </c>
      <c r="S450">
        <v>0.9018181818181819</v>
      </c>
      <c r="T450">
        <v>60</v>
      </c>
      <c r="U450">
        <v>0.9631666666666666</v>
      </c>
      <c r="V450">
        <v>4.8717</v>
      </c>
      <c r="W450">
        <v>2.75</v>
      </c>
      <c r="X450">
        <v>2.48</v>
      </c>
      <c r="Y450">
        <v>-0.1919</v>
      </c>
      <c r="Z450">
        <v>0.5</v>
      </c>
      <c r="AA450">
        <v>0.538971807628524</v>
      </c>
      <c r="AB450">
        <v>0.4991721854304636</v>
      </c>
      <c r="AC450">
        <v>0.466887417218543</v>
      </c>
      <c r="AD450">
        <v>0.3211920529801324</v>
      </c>
    </row>
    <row r="451" spans="1:30">
      <c r="A451" s="1" t="s">
        <v>458</v>
      </c>
      <c r="B451">
        <f>HYPERLINK("https://www.suredividend.com/sure-analysis-OGZPY/","Gazprom PJSC")</f>
        <v>0</v>
      </c>
      <c r="C451">
        <v>4.96</v>
      </c>
      <c r="D451">
        <v>58710.28</v>
      </c>
      <c r="E451" t="s">
        <v>644</v>
      </c>
      <c r="F451" t="s">
        <v>613</v>
      </c>
      <c r="G451" t="s">
        <v>679</v>
      </c>
      <c r="H451" t="s">
        <v>684</v>
      </c>
      <c r="I451" t="s">
        <v>1132</v>
      </c>
      <c r="J451" t="s">
        <v>1284</v>
      </c>
      <c r="K451">
        <v>43956</v>
      </c>
      <c r="L451">
        <v>0.101633064516129</v>
      </c>
      <c r="M451">
        <v>-0.06735305158545024</v>
      </c>
      <c r="N451">
        <v>0.08</v>
      </c>
      <c r="O451">
        <v>0.0768620737703809</v>
      </c>
      <c r="P451" t="s">
        <v>316</v>
      </c>
      <c r="Q451" t="s">
        <v>375</v>
      </c>
      <c r="R451">
        <v>1</v>
      </c>
      <c r="S451">
        <v>0.7201428571428572</v>
      </c>
      <c r="T451">
        <v>3.5</v>
      </c>
      <c r="U451">
        <v>1.417142857142857</v>
      </c>
      <c r="V451">
        <v>1.6521</v>
      </c>
      <c r="W451">
        <v>0.7</v>
      </c>
      <c r="X451">
        <v>0.5041</v>
      </c>
      <c r="Y451">
        <v>-0.172</v>
      </c>
      <c r="Z451">
        <v>0.8355932203389831</v>
      </c>
      <c r="AA451">
        <v>0.5638474295190713</v>
      </c>
      <c r="AB451">
        <v>0.8038079470198676</v>
      </c>
      <c r="AC451">
        <v>0.1357615894039735</v>
      </c>
      <c r="AD451">
        <v>0.3162251655629139</v>
      </c>
    </row>
    <row r="452" spans="1:30">
      <c r="A452" s="1" t="s">
        <v>459</v>
      </c>
      <c r="B452">
        <f>HYPERLINK("https://www.suredividend.com/sure-analysis-GRP-UN","Granite Real Estate Investment Trust")</f>
        <v>0</v>
      </c>
      <c r="C452">
        <v>45.4</v>
      </c>
      <c r="D452">
        <v>2490</v>
      </c>
      <c r="E452" t="s">
        <v>646</v>
      </c>
      <c r="F452" t="s">
        <v>614</v>
      </c>
      <c r="G452" t="s">
        <v>655</v>
      </c>
      <c r="H452" t="s">
        <v>686</v>
      </c>
      <c r="J452" t="s">
        <v>1277</v>
      </c>
      <c r="K452">
        <v>43901</v>
      </c>
      <c r="L452">
        <v>0.0458</v>
      </c>
      <c r="M452">
        <v>-0.01080361506027894</v>
      </c>
      <c r="N452">
        <v>0.04</v>
      </c>
      <c r="O452">
        <v>0.07238532071027093</v>
      </c>
      <c r="P452" t="s">
        <v>316</v>
      </c>
      <c r="Q452" t="s">
        <v>316</v>
      </c>
      <c r="R452">
        <v>1</v>
      </c>
      <c r="S452">
        <v>0.7475409836065575</v>
      </c>
      <c r="T452">
        <v>43</v>
      </c>
      <c r="U452">
        <v>1.055813953488372</v>
      </c>
      <c r="V452">
        <v>5.1206</v>
      </c>
      <c r="W452">
        <v>3.05</v>
      </c>
      <c r="X452">
        <v>2.28</v>
      </c>
      <c r="Z452">
        <v>0.5372881355932203</v>
      </c>
      <c r="AB452">
        <v>0.3493377483443709</v>
      </c>
      <c r="AC452">
        <v>0.3841059602649007</v>
      </c>
      <c r="AD452">
        <v>0.2913907284768212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15.09</v>
      </c>
      <c r="D453">
        <v>917.01512</v>
      </c>
      <c r="E453" t="s">
        <v>646</v>
      </c>
      <c r="F453" t="s">
        <v>613</v>
      </c>
      <c r="G453" t="s">
        <v>659</v>
      </c>
      <c r="H453" t="s">
        <v>684</v>
      </c>
      <c r="I453" t="s">
        <v>1133</v>
      </c>
      <c r="J453" t="s">
        <v>1277</v>
      </c>
      <c r="K453">
        <v>43916</v>
      </c>
      <c r="L453">
        <v>0.049793984801057</v>
      </c>
      <c r="M453">
        <v>-0.02202240427569502</v>
      </c>
      <c r="N453">
        <v>0.031</v>
      </c>
      <c r="O453">
        <v>0.07117611669541213</v>
      </c>
      <c r="P453" t="s">
        <v>316</v>
      </c>
      <c r="Q453" t="s">
        <v>316</v>
      </c>
      <c r="R453">
        <v>0</v>
      </c>
      <c r="S453">
        <v>0.5009274870986388</v>
      </c>
      <c r="T453">
        <v>13.5</v>
      </c>
      <c r="U453">
        <v>1.117777777777778</v>
      </c>
      <c r="V453">
        <v>2.0648</v>
      </c>
      <c r="W453">
        <v>1.5</v>
      </c>
      <c r="X453">
        <v>0.7513912306479581</v>
      </c>
      <c r="Y453">
        <v>-0.1338</v>
      </c>
      <c r="Z453">
        <v>0.5745762711864407</v>
      </c>
      <c r="AA453">
        <v>0.6318407960199005</v>
      </c>
      <c r="AB453">
        <v>0.2549668874172186</v>
      </c>
      <c r="AC453">
        <v>0.3211920529801324</v>
      </c>
      <c r="AD453">
        <v>0.2897350993377483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78.03</v>
      </c>
      <c r="D454">
        <v>14905.13454</v>
      </c>
      <c r="E454" t="s">
        <v>649</v>
      </c>
      <c r="F454" t="s">
        <v>613</v>
      </c>
      <c r="G454" t="s">
        <v>655</v>
      </c>
      <c r="H454" t="s">
        <v>683</v>
      </c>
      <c r="I454" t="s">
        <v>1134</v>
      </c>
      <c r="J454" t="s">
        <v>1286</v>
      </c>
      <c r="K454">
        <v>43954</v>
      </c>
      <c r="L454">
        <v>0.029219530949634</v>
      </c>
      <c r="M454">
        <v>0.007499136038948695</v>
      </c>
      <c r="N454">
        <v>0.03</v>
      </c>
      <c r="O454">
        <v>0.06725847584941369</v>
      </c>
      <c r="P454" t="s">
        <v>316</v>
      </c>
      <c r="Q454" t="s">
        <v>516</v>
      </c>
      <c r="R454">
        <v>2</v>
      </c>
      <c r="S454">
        <v>0.6608695652173914</v>
      </c>
      <c r="T454">
        <v>81</v>
      </c>
      <c r="U454">
        <v>0.9633333333333334</v>
      </c>
      <c r="V454">
        <v>5.1206</v>
      </c>
      <c r="W454">
        <v>3.45</v>
      </c>
      <c r="X454">
        <v>2.28</v>
      </c>
      <c r="Y454">
        <v>-0.0127</v>
      </c>
      <c r="Z454">
        <v>0.3457627118644068</v>
      </c>
      <c r="AA454">
        <v>0.7595356550580431</v>
      </c>
      <c r="AB454">
        <v>0.2144039735099338</v>
      </c>
      <c r="AC454">
        <v>0.4635761589403973</v>
      </c>
      <c r="AD454">
        <v>0.2731788079470199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226.55</v>
      </c>
      <c r="D455">
        <v>14820.31197</v>
      </c>
      <c r="E455" t="s">
        <v>646</v>
      </c>
      <c r="F455" t="s">
        <v>614</v>
      </c>
      <c r="G455" t="s">
        <v>653</v>
      </c>
      <c r="H455" t="s">
        <v>682</v>
      </c>
      <c r="I455" t="s">
        <v>1135</v>
      </c>
      <c r="J455" t="s">
        <v>1281</v>
      </c>
      <c r="K455">
        <v>43924</v>
      </c>
      <c r="L455">
        <v>0.034992275435886</v>
      </c>
      <c r="M455">
        <v>0.00649207158031162</v>
      </c>
      <c r="N455">
        <v>0.029</v>
      </c>
      <c r="O455">
        <v>0.06649090484220244</v>
      </c>
      <c r="P455" t="s">
        <v>316</v>
      </c>
      <c r="Q455" t="s">
        <v>316</v>
      </c>
      <c r="R455">
        <v>25</v>
      </c>
      <c r="S455">
        <v>0.6098076923076923</v>
      </c>
      <c r="T455">
        <v>234</v>
      </c>
      <c r="U455">
        <v>0.9681623931623932</v>
      </c>
      <c r="V455">
        <v>9.631500000000001</v>
      </c>
      <c r="W455">
        <v>13</v>
      </c>
      <c r="X455">
        <v>7.9275</v>
      </c>
      <c r="Y455">
        <v>-0.2028</v>
      </c>
      <c r="Z455">
        <v>0.4050847457627118</v>
      </c>
      <c r="AA455">
        <v>0.5157545605306799</v>
      </c>
      <c r="AB455">
        <v>0.173841059602649</v>
      </c>
      <c r="AC455">
        <v>0.4586092715231788</v>
      </c>
      <c r="AD455">
        <v>0.2665562913907285</v>
      </c>
    </row>
    <row r="456" spans="1:30">
      <c r="A456" s="1" t="s">
        <v>463</v>
      </c>
      <c r="B456">
        <f>HYPERLINK("https://www.suredividend.com/sure-analysis-PKX/","POSCO")</f>
        <v>0</v>
      </c>
      <c r="C456">
        <v>34.27</v>
      </c>
      <c r="D456">
        <v>10982.24727</v>
      </c>
      <c r="E456" t="s">
        <v>649</v>
      </c>
      <c r="F456" t="s">
        <v>613</v>
      </c>
      <c r="G456" t="s">
        <v>671</v>
      </c>
      <c r="H456" t="s">
        <v>682</v>
      </c>
      <c r="I456" t="s">
        <v>1136</v>
      </c>
      <c r="J456" t="s">
        <v>1283</v>
      </c>
      <c r="K456">
        <v>43963</v>
      </c>
      <c r="L456">
        <v>0.048053691275167</v>
      </c>
      <c r="M456">
        <v>0.004224443029696712</v>
      </c>
      <c r="N456">
        <v>0.02</v>
      </c>
      <c r="O456">
        <v>0.06472748291485919</v>
      </c>
      <c r="P456" t="s">
        <v>316</v>
      </c>
      <c r="Q456" t="s">
        <v>316</v>
      </c>
      <c r="R456">
        <v>0</v>
      </c>
      <c r="S456">
        <v>0.4391466666666667</v>
      </c>
      <c r="T456">
        <v>35</v>
      </c>
      <c r="U456">
        <v>0.9791428571428572</v>
      </c>
      <c r="V456">
        <v>4.9347</v>
      </c>
      <c r="W456">
        <v>3.75</v>
      </c>
      <c r="X456">
        <v>1.6468</v>
      </c>
      <c r="Y456">
        <v>-0.3157</v>
      </c>
      <c r="Z456">
        <v>0.5610169491525423</v>
      </c>
      <c r="AA456">
        <v>0.3648424543946932</v>
      </c>
      <c r="AB456">
        <v>0.1274834437086093</v>
      </c>
      <c r="AC456">
        <v>0.4519867549668874</v>
      </c>
      <c r="AD456">
        <v>0.2582781456953642</v>
      </c>
    </row>
    <row r="457" spans="1:30">
      <c r="A457" s="1" t="s">
        <v>464</v>
      </c>
      <c r="B457">
        <f>HYPERLINK("https://www.suredividend.com/sure-analysis-WEN/","The Wendy's Co.")</f>
        <v>0</v>
      </c>
      <c r="C457">
        <v>20.86</v>
      </c>
      <c r="D457">
        <v>4643.16482</v>
      </c>
      <c r="E457" t="s">
        <v>647</v>
      </c>
      <c r="F457" t="s">
        <v>613</v>
      </c>
      <c r="G457" t="s">
        <v>653</v>
      </c>
      <c r="H457" t="s">
        <v>683</v>
      </c>
      <c r="I457" t="s">
        <v>1137</v>
      </c>
      <c r="J457" t="s">
        <v>1279</v>
      </c>
      <c r="K457">
        <v>43888</v>
      </c>
      <c r="L457">
        <v>0.021093000958772</v>
      </c>
      <c r="M457">
        <v>-0.02906168338346948</v>
      </c>
      <c r="N457">
        <v>0.07000000000000001</v>
      </c>
      <c r="O457">
        <v>0.06208214886016616</v>
      </c>
      <c r="P457" t="s">
        <v>316</v>
      </c>
      <c r="Q457" t="s">
        <v>516</v>
      </c>
      <c r="R457">
        <v>10</v>
      </c>
      <c r="S457">
        <v>0.6875</v>
      </c>
      <c r="T457">
        <v>18</v>
      </c>
      <c r="U457">
        <v>1.158888888888889</v>
      </c>
      <c r="V457">
        <v>0.5214</v>
      </c>
      <c r="W457">
        <v>0.64</v>
      </c>
      <c r="X457">
        <v>0.44</v>
      </c>
      <c r="Y457">
        <v>0.1179</v>
      </c>
      <c r="Z457">
        <v>0.2050847457627119</v>
      </c>
      <c r="AA457">
        <v>0.8615257048092869</v>
      </c>
      <c r="AB457">
        <v>0.7259933774834437</v>
      </c>
      <c r="AC457">
        <v>0.2880794701986755</v>
      </c>
      <c r="AD457">
        <v>0.2549668874172186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57.13</v>
      </c>
      <c r="D458">
        <v>21259.55838</v>
      </c>
      <c r="E458" t="s">
        <v>646</v>
      </c>
      <c r="F458" t="s">
        <v>614</v>
      </c>
      <c r="G458" t="s">
        <v>653</v>
      </c>
      <c r="H458" t="s">
        <v>682</v>
      </c>
      <c r="I458" t="s">
        <v>1138</v>
      </c>
      <c r="J458" t="s">
        <v>1281</v>
      </c>
      <c r="K458">
        <v>43921</v>
      </c>
      <c r="L458">
        <v>0.04034657798004501</v>
      </c>
      <c r="M458">
        <v>-0.02244502471413112</v>
      </c>
      <c r="N458">
        <v>0.046</v>
      </c>
      <c r="O458">
        <v>0.05866874850042714</v>
      </c>
      <c r="P458" t="s">
        <v>316</v>
      </c>
      <c r="Q458" t="s">
        <v>316</v>
      </c>
      <c r="R458">
        <v>9</v>
      </c>
      <c r="S458">
        <v>0.7683333333333334</v>
      </c>
      <c r="T458">
        <v>51</v>
      </c>
      <c r="U458">
        <v>1.120196078431373</v>
      </c>
      <c r="V458">
        <v>3.2099</v>
      </c>
      <c r="W458">
        <v>3</v>
      </c>
      <c r="X458">
        <v>2.305</v>
      </c>
      <c r="Y458">
        <v>-0.2502</v>
      </c>
      <c r="Z458">
        <v>0.4694915254237288</v>
      </c>
      <c r="AA458">
        <v>0.4543946932006634</v>
      </c>
      <c r="AB458">
        <v>0.4246688741721855</v>
      </c>
      <c r="AC458">
        <v>0.3178807947019868</v>
      </c>
      <c r="AD458">
        <v>0.2367549668874172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120.51</v>
      </c>
      <c r="D459">
        <v>4567.738734</v>
      </c>
      <c r="E459" t="s">
        <v>646</v>
      </c>
      <c r="F459" t="s">
        <v>614</v>
      </c>
      <c r="G459" t="s">
        <v>653</v>
      </c>
      <c r="H459" t="s">
        <v>682</v>
      </c>
      <c r="I459" t="s">
        <v>1139</v>
      </c>
      <c r="J459" t="s">
        <v>1281</v>
      </c>
      <c r="K459">
        <v>43915</v>
      </c>
      <c r="L459">
        <v>0.040494564766409</v>
      </c>
      <c r="M459">
        <v>-0.04050967952089479</v>
      </c>
      <c r="N459">
        <v>0.063</v>
      </c>
      <c r="O459">
        <v>0.05743348518824254</v>
      </c>
      <c r="P459" t="s">
        <v>316</v>
      </c>
      <c r="Q459" t="s">
        <v>316</v>
      </c>
      <c r="R459">
        <v>8</v>
      </c>
      <c r="S459">
        <v>0.9475728155339805</v>
      </c>
      <c r="T459">
        <v>98</v>
      </c>
      <c r="U459">
        <v>1.22969387755102</v>
      </c>
      <c r="V459">
        <v>2.0007</v>
      </c>
      <c r="W459">
        <v>5.15</v>
      </c>
      <c r="X459">
        <v>4.88</v>
      </c>
      <c r="Y459">
        <v>0.0409</v>
      </c>
      <c r="Z459">
        <v>0.4711864406779661</v>
      </c>
      <c r="AA459">
        <v>0.8026533996683249</v>
      </c>
      <c r="AB459">
        <v>0.6788079470198676</v>
      </c>
      <c r="AC459">
        <v>0.2251655629139073</v>
      </c>
      <c r="AD459">
        <v>0.2334437086092715</v>
      </c>
    </row>
    <row r="460" spans="1:30">
      <c r="A460" s="1" t="s">
        <v>467</v>
      </c>
      <c r="B460">
        <f>HYPERLINK("https://www.suredividend.com/sure-analysis-FLR/","Fluor Corp.")</f>
        <v>0</v>
      </c>
      <c r="C460">
        <v>9.119999999999999</v>
      </c>
      <c r="D460">
        <v>1278.38688</v>
      </c>
      <c r="E460" t="s">
        <v>649</v>
      </c>
      <c r="F460" t="s">
        <v>613</v>
      </c>
      <c r="G460" t="s">
        <v>653</v>
      </c>
      <c r="H460" t="s">
        <v>682</v>
      </c>
      <c r="I460" t="s">
        <v>1140</v>
      </c>
      <c r="J460" t="s">
        <v>1278</v>
      </c>
      <c r="K460">
        <v>43890</v>
      </c>
      <c r="L460">
        <v>0.09210526315789401</v>
      </c>
      <c r="M460">
        <v>-0.002645539725573465</v>
      </c>
      <c r="N460">
        <v>0.02</v>
      </c>
      <c r="O460">
        <v>0.05530521982018333</v>
      </c>
      <c r="P460" t="s">
        <v>316</v>
      </c>
      <c r="Q460" t="s">
        <v>618</v>
      </c>
      <c r="R460">
        <v>0</v>
      </c>
      <c r="S460">
        <v>0.5599999999999999</v>
      </c>
      <c r="T460">
        <v>9</v>
      </c>
      <c r="U460">
        <v>1.013333333333333</v>
      </c>
      <c r="V460">
        <v>-9.3119</v>
      </c>
      <c r="W460">
        <v>1.5</v>
      </c>
      <c r="X460">
        <v>0.84</v>
      </c>
      <c r="Y460">
        <v>-0.6929000000000001</v>
      </c>
      <c r="Z460">
        <v>0.8152542372881356</v>
      </c>
      <c r="AA460">
        <v>0.04311774461028192</v>
      </c>
      <c r="AB460">
        <v>0.1274834437086093</v>
      </c>
      <c r="AC460">
        <v>0.4122516556291391</v>
      </c>
      <c r="AD460">
        <v>0.2218543046357616</v>
      </c>
    </row>
    <row r="461" spans="1:30">
      <c r="A461" s="1" t="s">
        <v>468</v>
      </c>
      <c r="B461">
        <f>HYPERLINK("https://www.suredividend.com/sure-analysis-DEA/","Easterly Government Properties, Inc.")</f>
        <v>0</v>
      </c>
      <c r="C461">
        <v>23.26</v>
      </c>
      <c r="D461">
        <v>1948.951027</v>
      </c>
      <c r="E461" t="s">
        <v>646</v>
      </c>
      <c r="F461" t="s">
        <v>614</v>
      </c>
      <c r="G461" t="s">
        <v>653</v>
      </c>
      <c r="H461" t="s">
        <v>682</v>
      </c>
      <c r="I461" t="s">
        <v>1141</v>
      </c>
      <c r="J461" t="s">
        <v>1281</v>
      </c>
      <c r="K461">
        <v>43916</v>
      </c>
      <c r="L461">
        <v>0.044711951848667</v>
      </c>
      <c r="M461">
        <v>-0.02974909376102897</v>
      </c>
      <c r="N461">
        <v>0.034</v>
      </c>
      <c r="O461">
        <v>0.05027947334352878</v>
      </c>
      <c r="P461" t="s">
        <v>316</v>
      </c>
      <c r="Q461" t="s">
        <v>316</v>
      </c>
      <c r="R461">
        <v>0</v>
      </c>
      <c r="S461">
        <v>0.8455284552845529</v>
      </c>
      <c r="T461">
        <v>20</v>
      </c>
      <c r="U461">
        <v>1.163</v>
      </c>
      <c r="V461">
        <v>0.1303</v>
      </c>
      <c r="W461">
        <v>1.23</v>
      </c>
      <c r="X461">
        <v>1.04</v>
      </c>
      <c r="Y461">
        <v>0.2485</v>
      </c>
      <c r="Z461">
        <v>0.5254237288135593</v>
      </c>
      <c r="AA461">
        <v>0.9270315091210614</v>
      </c>
      <c r="AB461">
        <v>0.2624172185430463</v>
      </c>
      <c r="AC461">
        <v>0.283112582781457</v>
      </c>
      <c r="AD461">
        <v>0.2086092715231788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47.59</v>
      </c>
      <c r="D462">
        <v>59705.907119</v>
      </c>
      <c r="E462" t="s">
        <v>644</v>
      </c>
      <c r="F462" t="s">
        <v>613</v>
      </c>
      <c r="G462" t="s">
        <v>654</v>
      </c>
      <c r="H462" t="s">
        <v>682</v>
      </c>
      <c r="I462" t="s">
        <v>1142</v>
      </c>
      <c r="J462" t="s">
        <v>1283</v>
      </c>
      <c r="K462">
        <v>43900</v>
      </c>
      <c r="L462">
        <v>0.08026896406808101</v>
      </c>
      <c r="M462">
        <v>-0.03415183885493478</v>
      </c>
      <c r="N462">
        <v>0.01</v>
      </c>
      <c r="O462">
        <v>0.04501290868100516</v>
      </c>
      <c r="P462" t="s">
        <v>316</v>
      </c>
      <c r="Q462" t="s">
        <v>375</v>
      </c>
      <c r="R462">
        <v>3</v>
      </c>
      <c r="S462">
        <v>0.764</v>
      </c>
      <c r="T462">
        <v>40</v>
      </c>
      <c r="U462">
        <v>1.18975</v>
      </c>
      <c r="V462">
        <v>4.9394</v>
      </c>
      <c r="W462">
        <v>5</v>
      </c>
      <c r="X462">
        <v>3.82</v>
      </c>
      <c r="Y462">
        <v>-0.1836</v>
      </c>
      <c r="Z462">
        <v>0.7779661016949153</v>
      </c>
      <c r="AA462">
        <v>0.5522388059701493</v>
      </c>
      <c r="AB462">
        <v>0.05960264900662252</v>
      </c>
      <c r="AC462">
        <v>0.2549668874172186</v>
      </c>
      <c r="AD462">
        <v>0.1854304635761589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26.61</v>
      </c>
      <c r="D463">
        <v>913.108845</v>
      </c>
      <c r="E463" t="s">
        <v>643</v>
      </c>
      <c r="F463" t="s">
        <v>613</v>
      </c>
      <c r="G463" t="s">
        <v>653</v>
      </c>
      <c r="H463" t="s">
        <v>683</v>
      </c>
      <c r="I463" t="s">
        <v>1143</v>
      </c>
      <c r="J463" t="s">
        <v>1282</v>
      </c>
      <c r="K463">
        <v>43923</v>
      </c>
      <c r="L463">
        <v>0.022547914317925</v>
      </c>
      <c r="M463">
        <v>-0.0555107391368117</v>
      </c>
      <c r="N463">
        <v>0.08</v>
      </c>
      <c r="O463">
        <v>0.04375339058985728</v>
      </c>
      <c r="P463" t="s">
        <v>316</v>
      </c>
      <c r="Q463" t="s">
        <v>516</v>
      </c>
      <c r="R463">
        <v>0</v>
      </c>
      <c r="S463">
        <v>0.5454545454545455</v>
      </c>
      <c r="T463">
        <v>20</v>
      </c>
      <c r="U463">
        <v>1.3305</v>
      </c>
      <c r="V463">
        <v>-0.3852</v>
      </c>
      <c r="W463">
        <v>1.1</v>
      </c>
      <c r="X463">
        <v>0.6000000000000001</v>
      </c>
      <c r="Y463">
        <v>-0.2921</v>
      </c>
      <c r="Z463">
        <v>0.2288135593220339</v>
      </c>
      <c r="AA463">
        <v>0.4046434494195688</v>
      </c>
      <c r="AB463">
        <v>0.8038079470198676</v>
      </c>
      <c r="AC463">
        <v>0.1721854304635762</v>
      </c>
      <c r="AD463">
        <v>0.1804635761589404</v>
      </c>
    </row>
    <row r="464" spans="1:30">
      <c r="A464" s="1" t="s">
        <v>471</v>
      </c>
      <c r="B464">
        <f>HYPERLINK("https://www.suredividend.com/sure-analysis-CAG/","Conagra Brands, Inc.")</f>
        <v>0</v>
      </c>
      <c r="C464">
        <v>34.17</v>
      </c>
      <c r="D464">
        <v>16643.38692</v>
      </c>
      <c r="E464" t="s">
        <v>641</v>
      </c>
      <c r="F464" t="s">
        <v>613</v>
      </c>
      <c r="G464" t="s">
        <v>653</v>
      </c>
      <c r="H464" t="s">
        <v>682</v>
      </c>
      <c r="I464" t="s">
        <v>1144</v>
      </c>
      <c r="J464" t="s">
        <v>1285</v>
      </c>
      <c r="K464">
        <v>43922</v>
      </c>
      <c r="L464">
        <v>0.024875621890547</v>
      </c>
      <c r="M464">
        <v>-0.02569427338114427</v>
      </c>
      <c r="N464">
        <v>0.04</v>
      </c>
      <c r="O464">
        <v>0.03836464143803919</v>
      </c>
      <c r="P464" t="s">
        <v>316</v>
      </c>
      <c r="Q464" t="s">
        <v>516</v>
      </c>
      <c r="R464">
        <v>0</v>
      </c>
      <c r="S464">
        <v>0.3953488372093023</v>
      </c>
      <c r="T464">
        <v>30</v>
      </c>
      <c r="U464">
        <v>1.139</v>
      </c>
      <c r="V464">
        <v>1.571</v>
      </c>
      <c r="W464">
        <v>2.15</v>
      </c>
      <c r="X464">
        <v>0.85</v>
      </c>
      <c r="Y464">
        <v>0.1783</v>
      </c>
      <c r="Z464">
        <v>0.2847457627118644</v>
      </c>
      <c r="AA464">
        <v>0.9004975124378108</v>
      </c>
      <c r="AB464">
        <v>0.3493377483443709</v>
      </c>
      <c r="AC464">
        <v>0.3013245033112583</v>
      </c>
      <c r="AD464">
        <v>0.1589403973509934</v>
      </c>
    </row>
    <row r="465" spans="1:30">
      <c r="A465" s="1" t="s">
        <v>472</v>
      </c>
      <c r="B465">
        <f>HYPERLINK("https://www.suredividend.com/sure-analysis-HMC/","Honda Motor Co., Ltd.")</f>
        <v>0</v>
      </c>
      <c r="C465">
        <v>22.94</v>
      </c>
      <c r="D465">
        <v>39608.464507</v>
      </c>
      <c r="E465" t="s">
        <v>642</v>
      </c>
      <c r="F465" t="s">
        <v>613</v>
      </c>
      <c r="G465" t="s">
        <v>670</v>
      </c>
      <c r="H465" t="s">
        <v>682</v>
      </c>
      <c r="I465" t="s">
        <v>1145</v>
      </c>
      <c r="J465" t="s">
        <v>1279</v>
      </c>
      <c r="K465">
        <v>43966</v>
      </c>
      <c r="L465">
        <v>0.045335658238884</v>
      </c>
      <c r="M465">
        <v>-0.03698724914358154</v>
      </c>
      <c r="N465">
        <v>0.029</v>
      </c>
      <c r="O465">
        <v>0.0372296054059007</v>
      </c>
      <c r="P465" t="s">
        <v>316</v>
      </c>
      <c r="Q465" t="s">
        <v>316</v>
      </c>
      <c r="R465">
        <v>5</v>
      </c>
      <c r="S465">
        <v>0.4601769911504425</v>
      </c>
      <c r="T465">
        <v>19</v>
      </c>
      <c r="U465">
        <v>1.207368421052632</v>
      </c>
      <c r="V465">
        <v>2.4749</v>
      </c>
      <c r="W465">
        <v>2.26</v>
      </c>
      <c r="X465">
        <v>1.04</v>
      </c>
      <c r="Y465">
        <v>-0.1119</v>
      </c>
      <c r="Z465">
        <v>0.5338983050847458</v>
      </c>
      <c r="AA465">
        <v>0.6633499170812605</v>
      </c>
      <c r="AB465">
        <v>0.173841059602649</v>
      </c>
      <c r="AC465">
        <v>0.2417218543046357</v>
      </c>
      <c r="AD465">
        <v>0.1539735099337748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73.70999999999999</v>
      </c>
      <c r="D466">
        <v>29484</v>
      </c>
      <c r="E466" t="s">
        <v>642</v>
      </c>
      <c r="F466" t="s">
        <v>613</v>
      </c>
      <c r="G466" t="s">
        <v>658</v>
      </c>
      <c r="H466" t="s">
        <v>682</v>
      </c>
      <c r="I466" t="s">
        <v>1146</v>
      </c>
      <c r="J466" t="s">
        <v>1278</v>
      </c>
      <c r="K466">
        <v>43956</v>
      </c>
      <c r="L466">
        <v>0.038800705467372</v>
      </c>
      <c r="M466">
        <v>-0.06033409370307063</v>
      </c>
      <c r="N466">
        <v>0.04</v>
      </c>
      <c r="O466">
        <v>0.01960111135570863</v>
      </c>
      <c r="P466" t="s">
        <v>316</v>
      </c>
      <c r="Q466" t="s">
        <v>316</v>
      </c>
      <c r="R466">
        <v>11</v>
      </c>
      <c r="S466">
        <v>0.7566137566137566</v>
      </c>
      <c r="T466">
        <v>54</v>
      </c>
      <c r="U466">
        <v>1.365</v>
      </c>
      <c r="V466">
        <v>5.1156</v>
      </c>
      <c r="W466">
        <v>3.78</v>
      </c>
      <c r="X466">
        <v>2.86</v>
      </c>
      <c r="Y466">
        <v>-0.0733</v>
      </c>
      <c r="Z466">
        <v>0.4508474576271186</v>
      </c>
      <c r="AA466">
        <v>0.703150912106136</v>
      </c>
      <c r="AB466">
        <v>0.3493377483443709</v>
      </c>
      <c r="AC466">
        <v>0.1605960264900662</v>
      </c>
      <c r="AD466">
        <v>0.1076158940397351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26.42</v>
      </c>
      <c r="D467">
        <v>10979.54434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1278</v>
      </c>
      <c r="K467">
        <v>43886</v>
      </c>
      <c r="L467">
        <v>0.08024224072672201</v>
      </c>
      <c r="M467">
        <v>-0.08440540211916425</v>
      </c>
      <c r="N467">
        <v>0.05</v>
      </c>
      <c r="O467">
        <v>0.01714686077530447</v>
      </c>
      <c r="P467" t="s">
        <v>316</v>
      </c>
      <c r="Q467" t="s">
        <v>375</v>
      </c>
      <c r="R467">
        <v>11</v>
      </c>
      <c r="S467">
        <v>1.284848484848485</v>
      </c>
      <c r="T467">
        <v>17</v>
      </c>
      <c r="U467">
        <v>1.554117647058824</v>
      </c>
      <c r="V467">
        <v>0.4163</v>
      </c>
      <c r="W467">
        <v>1.65</v>
      </c>
      <c r="X467">
        <v>2.12</v>
      </c>
      <c r="Y467">
        <v>-0.2507</v>
      </c>
      <c r="Z467">
        <v>0.7762711864406779</v>
      </c>
      <c r="AA467">
        <v>0.4527363184079602</v>
      </c>
      <c r="AB467">
        <v>0.4991721854304636</v>
      </c>
      <c r="AC467">
        <v>0.08774834437086092</v>
      </c>
      <c r="AD467">
        <v>0.09602649006622517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49.86</v>
      </c>
      <c r="D468">
        <v>4390.97076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0.032089851584436</v>
      </c>
      <c r="M468">
        <v>-0.09661308432174753</v>
      </c>
      <c r="N468">
        <v>0.05</v>
      </c>
      <c r="O468">
        <v>-0.009377056903810632</v>
      </c>
      <c r="P468" t="s">
        <v>316</v>
      </c>
      <c r="Q468" t="s">
        <v>316</v>
      </c>
      <c r="R468">
        <v>10</v>
      </c>
      <c r="S468">
        <v>0.64</v>
      </c>
      <c r="T468">
        <v>30</v>
      </c>
      <c r="U468">
        <v>1.662</v>
      </c>
      <c r="V468">
        <v>2.8003</v>
      </c>
      <c r="W468">
        <v>2.5</v>
      </c>
      <c r="X468">
        <v>1.6</v>
      </c>
      <c r="Y468">
        <v>0.3739</v>
      </c>
      <c r="Z468">
        <v>0.3779661016949152</v>
      </c>
      <c r="AA468">
        <v>0.9585406301824213</v>
      </c>
      <c r="AB468">
        <v>0.4991721854304636</v>
      </c>
      <c r="AC468">
        <v>0.06125827814569536</v>
      </c>
      <c r="AD468">
        <v>0.04139072847682119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53.41</v>
      </c>
      <c r="D469">
        <v>140173.4768</v>
      </c>
      <c r="E469" t="s">
        <v>642</v>
      </c>
      <c r="F469" t="s">
        <v>613</v>
      </c>
      <c r="G469" t="s">
        <v>654</v>
      </c>
      <c r="H469" t="s">
        <v>682</v>
      </c>
      <c r="I469" t="s">
        <v>1149</v>
      </c>
      <c r="J469" t="s">
        <v>1280</v>
      </c>
      <c r="K469">
        <v>43953</v>
      </c>
      <c r="L469">
        <v>0.025650627223366</v>
      </c>
      <c r="M469">
        <v>-0.1089547993381982</v>
      </c>
      <c r="N469">
        <v>0.04</v>
      </c>
      <c r="O469">
        <v>-0.0402181978485262</v>
      </c>
      <c r="P469" t="s">
        <v>316</v>
      </c>
      <c r="Q469" t="s">
        <v>516</v>
      </c>
      <c r="R469">
        <v>0</v>
      </c>
      <c r="S469">
        <v>0.6884422110552765</v>
      </c>
      <c r="T469">
        <v>30</v>
      </c>
      <c r="U469">
        <v>1.780333333333333</v>
      </c>
      <c r="V469">
        <v>0.52</v>
      </c>
      <c r="W469">
        <v>1.99</v>
      </c>
      <c r="X469">
        <v>1.37</v>
      </c>
      <c r="Y469">
        <v>0.4175</v>
      </c>
      <c r="Z469">
        <v>0.3016949152542373</v>
      </c>
      <c r="AA469">
        <v>0.9718076285240465</v>
      </c>
      <c r="AB469">
        <v>0.3493377483443709</v>
      </c>
      <c r="AC469">
        <v>0.04635761589403973</v>
      </c>
      <c r="AD469">
        <v>0.01986754966887417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45.64</v>
      </c>
      <c r="D470">
        <v>20462.78528</v>
      </c>
      <c r="E470" t="s">
        <v>649</v>
      </c>
      <c r="F470" t="s">
        <v>613</v>
      </c>
      <c r="G470" t="s">
        <v>659</v>
      </c>
      <c r="H470" t="s">
        <v>682</v>
      </c>
      <c r="I470" t="s">
        <v>1150</v>
      </c>
      <c r="J470" t="s">
        <v>1283</v>
      </c>
      <c r="K470">
        <v>43910</v>
      </c>
      <c r="L470">
        <v>0.008293183527668</v>
      </c>
      <c r="M470">
        <v>-0.1280804005703006</v>
      </c>
      <c r="N470">
        <v>0</v>
      </c>
      <c r="O470">
        <v>-0.1134180716974313</v>
      </c>
      <c r="P470" t="s">
        <v>316</v>
      </c>
      <c r="Q470" t="s">
        <v>516</v>
      </c>
      <c r="R470">
        <v>1</v>
      </c>
      <c r="S470">
        <v>0.4205565513364567</v>
      </c>
      <c r="T470">
        <v>23</v>
      </c>
      <c r="U470">
        <v>1.984347826086956</v>
      </c>
      <c r="V470">
        <v>0.2754</v>
      </c>
      <c r="W470">
        <v>0.9</v>
      </c>
      <c r="X470">
        <v>0.378500896202811</v>
      </c>
      <c r="Y470">
        <v>1.2516</v>
      </c>
      <c r="Z470">
        <v>0.03728813559322033</v>
      </c>
      <c r="AA470">
        <v>0.9966832504145937</v>
      </c>
      <c r="AB470">
        <v>0.02980132450331126</v>
      </c>
      <c r="AC470">
        <v>0.0380794701986755</v>
      </c>
      <c r="AD470">
        <v>0.006622516556291392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20.9</v>
      </c>
      <c r="D471">
        <v>1304.73893</v>
      </c>
      <c r="E471" t="s">
        <v>642</v>
      </c>
      <c r="F471" t="s">
        <v>613</v>
      </c>
      <c r="G471" t="s">
        <v>680</v>
      </c>
      <c r="H471" t="s">
        <v>683</v>
      </c>
      <c r="I471" t="s">
        <v>1151</v>
      </c>
      <c r="J471" t="s">
        <v>1286</v>
      </c>
      <c r="K471">
        <v>43953</v>
      </c>
      <c r="L471">
        <v>0.022966507177033</v>
      </c>
      <c r="M471">
        <v>-0.1964917304788871</v>
      </c>
      <c r="N471">
        <v>0.02</v>
      </c>
      <c r="O471">
        <v>-0.1323581348543182</v>
      </c>
      <c r="P471" t="s">
        <v>316</v>
      </c>
      <c r="Q471" t="s">
        <v>516</v>
      </c>
      <c r="R471">
        <v>2</v>
      </c>
      <c r="S471">
        <v>0.5274725274725275</v>
      </c>
      <c r="T471">
        <v>7</v>
      </c>
      <c r="U471">
        <v>2.985714285714285</v>
      </c>
      <c r="V471">
        <v>0.5196000000000001</v>
      </c>
      <c r="W471">
        <v>0.91</v>
      </c>
      <c r="X471">
        <v>0.48</v>
      </c>
      <c r="Y471">
        <v>0.0146</v>
      </c>
      <c r="Z471">
        <v>0.2508474576271186</v>
      </c>
      <c r="AA471">
        <v>0.7810945273631841</v>
      </c>
      <c r="AB471">
        <v>0.1274834437086093</v>
      </c>
      <c r="AC471">
        <v>0.01324503311258278</v>
      </c>
      <c r="AD471">
        <v>0.003311258278145696</v>
      </c>
    </row>
    <row r="472" spans="1:30">
      <c r="A472" s="1" t="s">
        <v>479</v>
      </c>
      <c r="B472">
        <f>HYPERLINK("https://www.suredividend.com/sure-analysis-CIM/","Chimera Investment Corp.")</f>
        <v>0</v>
      </c>
      <c r="C472">
        <v>7.51</v>
      </c>
      <c r="D472">
        <v>1443.55718</v>
      </c>
      <c r="E472" t="s">
        <v>644</v>
      </c>
      <c r="F472" t="s">
        <v>613</v>
      </c>
      <c r="G472" t="s">
        <v>653</v>
      </c>
      <c r="H472" t="s">
        <v>682</v>
      </c>
      <c r="I472" t="s">
        <v>1152</v>
      </c>
      <c r="J472" t="s">
        <v>1281</v>
      </c>
      <c r="K472">
        <v>43874</v>
      </c>
      <c r="L472">
        <v>0.266311584553928</v>
      </c>
      <c r="M472">
        <v>0.1775023888527207</v>
      </c>
      <c r="N472">
        <v>0.026</v>
      </c>
      <c r="O472">
        <v>0.315850660874988</v>
      </c>
      <c r="P472" t="s">
        <v>516</v>
      </c>
      <c r="Q472" t="s">
        <v>618</v>
      </c>
      <c r="R472">
        <v>0</v>
      </c>
      <c r="S472">
        <v>0.9090909090909091</v>
      </c>
      <c r="T472">
        <v>17</v>
      </c>
      <c r="U472">
        <v>0.4417647058823529</v>
      </c>
      <c r="V472">
        <v>-0.7983</v>
      </c>
      <c r="W472">
        <v>2.2</v>
      </c>
      <c r="X472">
        <v>2</v>
      </c>
      <c r="Y472">
        <v>-0.602</v>
      </c>
      <c r="Z472">
        <v>0.9813559322033899</v>
      </c>
      <c r="AA472">
        <v>0.08457711442786069</v>
      </c>
      <c r="AB472">
        <v>0.1672185430463576</v>
      </c>
      <c r="AC472">
        <v>0.9685430463576159</v>
      </c>
      <c r="AD472">
        <v>0.9768211920529801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8.779999999999999</v>
      </c>
      <c r="D473">
        <v>8231.073338</v>
      </c>
      <c r="E473" t="s">
        <v>650</v>
      </c>
      <c r="F473" t="s">
        <v>614</v>
      </c>
      <c r="G473" t="s">
        <v>660</v>
      </c>
      <c r="H473" t="s">
        <v>683</v>
      </c>
      <c r="I473" t="s">
        <v>1153</v>
      </c>
      <c r="J473" t="s">
        <v>1281</v>
      </c>
      <c r="K473">
        <v>43964</v>
      </c>
      <c r="L473">
        <v>0.150626423690205</v>
      </c>
      <c r="M473">
        <v>0.1905426433671475</v>
      </c>
      <c r="N473">
        <v>0.05</v>
      </c>
      <c r="O473">
        <v>0.3132805396499549</v>
      </c>
      <c r="P473" t="s">
        <v>516</v>
      </c>
      <c r="Q473" t="s">
        <v>375</v>
      </c>
      <c r="R473">
        <v>13</v>
      </c>
      <c r="S473">
        <v>1.191441441441441</v>
      </c>
      <c r="T473">
        <v>21</v>
      </c>
      <c r="U473">
        <v>0.4180952380952381</v>
      </c>
      <c r="V473">
        <v>1.0858</v>
      </c>
      <c r="W473">
        <v>1.11</v>
      </c>
      <c r="X473">
        <v>1.3225</v>
      </c>
      <c r="Y473">
        <v>-0.5597</v>
      </c>
      <c r="Z473">
        <v>0.9118644067796611</v>
      </c>
      <c r="AA473">
        <v>0.1160862354892206</v>
      </c>
      <c r="AB473">
        <v>0.4991721854304636</v>
      </c>
      <c r="AC473">
        <v>0.9735099337748345</v>
      </c>
      <c r="AD473">
        <v>0.9735099337748345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13.82</v>
      </c>
      <c r="D474">
        <v>12438.24876</v>
      </c>
      <c r="E474" t="s">
        <v>644</v>
      </c>
      <c r="F474" t="s">
        <v>613</v>
      </c>
      <c r="G474" t="s">
        <v>653</v>
      </c>
      <c r="H474" t="s">
        <v>682</v>
      </c>
      <c r="I474" t="s">
        <v>1154</v>
      </c>
      <c r="J474" t="s">
        <v>1284</v>
      </c>
      <c r="K474">
        <v>43893</v>
      </c>
      <c r="L474">
        <v>0.227930535455861</v>
      </c>
      <c r="M474">
        <v>-0.129701551012982</v>
      </c>
      <c r="N474">
        <v>0.38</v>
      </c>
      <c r="O474">
        <v>0.2965353995469284</v>
      </c>
      <c r="P474" t="s">
        <v>516</v>
      </c>
      <c r="Q474" t="s">
        <v>375</v>
      </c>
      <c r="R474">
        <v>17</v>
      </c>
      <c r="S474">
        <v>6.3</v>
      </c>
      <c r="T474">
        <v>6.9</v>
      </c>
      <c r="U474">
        <v>2.002898550724638</v>
      </c>
      <c r="V474">
        <v>-4.2181</v>
      </c>
      <c r="W474">
        <v>0.5</v>
      </c>
      <c r="X474">
        <v>3.15</v>
      </c>
      <c r="Y474">
        <v>-0.7453000000000001</v>
      </c>
      <c r="Z474">
        <v>0.9711864406779661</v>
      </c>
      <c r="AA474">
        <v>0.02155887230514096</v>
      </c>
      <c r="AB474">
        <v>0.9942052980132451</v>
      </c>
      <c r="AC474">
        <v>0.03642384105960265</v>
      </c>
      <c r="AD474">
        <v>0.9701986754966887</v>
      </c>
    </row>
    <row r="475" spans="1:30">
      <c r="A475" s="1" t="s">
        <v>482</v>
      </c>
      <c r="B475">
        <f>HYPERLINK("https://www.suredividend.com/sure-analysis-ALARF/","Alaris Royalty Corp.")</f>
        <v>0</v>
      </c>
      <c r="C475">
        <v>6.56</v>
      </c>
      <c r="D475">
        <v>240.81104</v>
      </c>
      <c r="E475" t="s">
        <v>644</v>
      </c>
      <c r="F475" t="s">
        <v>613</v>
      </c>
      <c r="G475" t="s">
        <v>659</v>
      </c>
      <c r="H475" t="s">
        <v>684</v>
      </c>
      <c r="I475" t="s">
        <v>1155</v>
      </c>
      <c r="J475" t="s">
        <v>1277</v>
      </c>
      <c r="K475">
        <v>43900</v>
      </c>
      <c r="L475">
        <v>0.189000781154588</v>
      </c>
      <c r="M475">
        <v>0.1465893474578006</v>
      </c>
      <c r="N475">
        <v>0.02</v>
      </c>
      <c r="O475">
        <v>0.2587721392106423</v>
      </c>
      <c r="P475" t="s">
        <v>516</v>
      </c>
      <c r="Q475" t="s">
        <v>618</v>
      </c>
      <c r="R475">
        <v>0</v>
      </c>
      <c r="S475">
        <v>0.8856036602672144</v>
      </c>
      <c r="T475">
        <v>13</v>
      </c>
      <c r="U475">
        <v>0.5046153846153847</v>
      </c>
      <c r="V475">
        <v>-0.3524</v>
      </c>
      <c r="W475">
        <v>1.4</v>
      </c>
      <c r="X475">
        <v>1.2398451243741</v>
      </c>
      <c r="Y475">
        <v>-0.5277000000000001</v>
      </c>
      <c r="Z475">
        <v>0.9559322033898304</v>
      </c>
      <c r="AA475">
        <v>0.1276948590381426</v>
      </c>
      <c r="AB475">
        <v>0.1274834437086093</v>
      </c>
      <c r="AC475">
        <v>0.9271523178807947</v>
      </c>
      <c r="AD475">
        <v>0.9519867549668873</v>
      </c>
    </row>
    <row r="476" spans="1:30">
      <c r="A476" s="1" t="s">
        <v>483</v>
      </c>
      <c r="B476">
        <f>HYPERLINK("https://www.suredividend.com/sure-analysis-LUV/","Southwest Airlines Co.")</f>
        <v>0</v>
      </c>
      <c r="C476">
        <v>23.87</v>
      </c>
      <c r="D476">
        <v>14068.64382</v>
      </c>
      <c r="E476" t="s">
        <v>649</v>
      </c>
      <c r="F476" t="s">
        <v>613</v>
      </c>
      <c r="G476" t="s">
        <v>653</v>
      </c>
      <c r="H476" t="s">
        <v>682</v>
      </c>
      <c r="I476" t="s">
        <v>1156</v>
      </c>
      <c r="J476" t="s">
        <v>1278</v>
      </c>
      <c r="K476">
        <v>43950</v>
      </c>
      <c r="L476">
        <v>0.030163385002094</v>
      </c>
      <c r="M476">
        <v>0.1593738941907608</v>
      </c>
      <c r="N476">
        <v>0.08</v>
      </c>
      <c r="O476">
        <v>0.2583611768842982</v>
      </c>
      <c r="P476" t="s">
        <v>516</v>
      </c>
      <c r="Q476" t="s">
        <v>516</v>
      </c>
      <c r="R476">
        <v>8</v>
      </c>
      <c r="S476">
        <v>9.99</v>
      </c>
      <c r="T476">
        <v>50</v>
      </c>
      <c r="U476">
        <v>0.4774</v>
      </c>
      <c r="V476">
        <v>3.4001</v>
      </c>
      <c r="W476">
        <v>-3</v>
      </c>
      <c r="X476">
        <v>0.72</v>
      </c>
      <c r="Y476">
        <v>-0.541</v>
      </c>
      <c r="Z476">
        <v>0.3542372881355932</v>
      </c>
      <c r="AA476">
        <v>0.1194029850746269</v>
      </c>
      <c r="AB476">
        <v>0.8038079470198676</v>
      </c>
      <c r="AC476">
        <v>0.9370860927152317</v>
      </c>
      <c r="AD476">
        <v>0.9503311258278145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5.11</v>
      </c>
      <c r="D477">
        <v>215.31496</v>
      </c>
      <c r="E477" t="s">
        <v>650</v>
      </c>
      <c r="F477" t="s">
        <v>614</v>
      </c>
      <c r="G477" t="s">
        <v>653</v>
      </c>
      <c r="H477" t="s">
        <v>682</v>
      </c>
      <c r="I477" t="s">
        <v>1157</v>
      </c>
      <c r="J477" t="s">
        <v>1281</v>
      </c>
      <c r="K477">
        <v>43896</v>
      </c>
      <c r="L477">
        <v>0.187866927592954</v>
      </c>
      <c r="M477">
        <v>0.1657202935832143</v>
      </c>
      <c r="N477">
        <v>0</v>
      </c>
      <c r="O477">
        <v>0.2505998707548533</v>
      </c>
      <c r="P477" t="s">
        <v>516</v>
      </c>
      <c r="Q477" t="s">
        <v>618</v>
      </c>
      <c r="R477">
        <v>1</v>
      </c>
      <c r="S477">
        <v>1.078651685393258</v>
      </c>
      <c r="T477">
        <v>11</v>
      </c>
      <c r="U477">
        <v>0.4645454545454546</v>
      </c>
      <c r="V477">
        <v>0.5551</v>
      </c>
      <c r="W477">
        <v>0.89</v>
      </c>
      <c r="X477">
        <v>0.96</v>
      </c>
      <c r="Y477">
        <v>-0.6023000000000001</v>
      </c>
      <c r="Z477">
        <v>0.952542372881356</v>
      </c>
      <c r="AA477">
        <v>0.08291873963515756</v>
      </c>
      <c r="AB477">
        <v>0.02980132450331126</v>
      </c>
      <c r="AC477">
        <v>0.9503311258278145</v>
      </c>
      <c r="AD477">
        <v>0.9370860927152317</v>
      </c>
    </row>
    <row r="478" spans="1:30">
      <c r="A478" s="1" t="s">
        <v>485</v>
      </c>
      <c r="B478">
        <f>HYPERLINK("https://www.suredividend.com/sure-analysis-SCM/","Stellus Capital Investment Corp.")</f>
        <v>0</v>
      </c>
      <c r="C478">
        <v>6.7</v>
      </c>
      <c r="D478">
        <v>130.47714</v>
      </c>
      <c r="E478" t="s">
        <v>649</v>
      </c>
      <c r="F478" t="s">
        <v>613</v>
      </c>
      <c r="G478" t="s">
        <v>653</v>
      </c>
      <c r="H478" t="s">
        <v>682</v>
      </c>
      <c r="I478" t="s">
        <v>1158</v>
      </c>
      <c r="J478" t="s">
        <v>1277</v>
      </c>
      <c r="K478">
        <v>43898</v>
      </c>
      <c r="L478">
        <v>0.186014925373134</v>
      </c>
      <c r="M478">
        <v>0.1236247289443668</v>
      </c>
      <c r="N478">
        <v>0.02</v>
      </c>
      <c r="O478">
        <v>0.2450977579624098</v>
      </c>
      <c r="P478" t="s">
        <v>516</v>
      </c>
      <c r="Q478" t="s">
        <v>618</v>
      </c>
      <c r="R478">
        <v>0</v>
      </c>
      <c r="S478">
        <v>0.973671875</v>
      </c>
      <c r="T478">
        <v>12</v>
      </c>
      <c r="U478">
        <v>0.5583333333333333</v>
      </c>
      <c r="V478">
        <v>-1.3993</v>
      </c>
      <c r="W478">
        <v>1.28</v>
      </c>
      <c r="X478">
        <v>1.2463</v>
      </c>
      <c r="Y478">
        <v>-0.5258</v>
      </c>
      <c r="Z478">
        <v>0.9508474576271186</v>
      </c>
      <c r="AA478">
        <v>0.1310116086235489</v>
      </c>
      <c r="AB478">
        <v>0.1274834437086093</v>
      </c>
      <c r="AC478">
        <v>0.8907284768211921</v>
      </c>
      <c r="AD478">
        <v>0.9304635761589404</v>
      </c>
    </row>
    <row r="479" spans="1:30">
      <c r="A479" s="1" t="s">
        <v>486</v>
      </c>
      <c r="B479">
        <f>HYPERLINK("https://www.suredividend.com/sure-analysis-USAC/","USA Compression Partners LP")</f>
        <v>0</v>
      </c>
      <c r="C479">
        <v>9.41</v>
      </c>
      <c r="D479">
        <v>910.147433</v>
      </c>
      <c r="E479" t="s">
        <v>647</v>
      </c>
      <c r="F479" t="s">
        <v>615</v>
      </c>
      <c r="G479" t="s">
        <v>653</v>
      </c>
      <c r="H479" t="s">
        <v>682</v>
      </c>
      <c r="I479" t="s">
        <v>1159</v>
      </c>
      <c r="J479" t="s">
        <v>1284</v>
      </c>
      <c r="K479">
        <v>43886</v>
      </c>
      <c r="L479">
        <v>0.223166843783209</v>
      </c>
      <c r="M479">
        <v>0.1202209564041135</v>
      </c>
      <c r="N479">
        <v>0.01</v>
      </c>
      <c r="O479">
        <v>0.2432211493224612</v>
      </c>
      <c r="P479" t="s">
        <v>516</v>
      </c>
      <c r="Q479" t="s">
        <v>618</v>
      </c>
      <c r="R479">
        <v>0</v>
      </c>
      <c r="S479">
        <v>0.8860759493670886</v>
      </c>
      <c r="T479">
        <v>16.6</v>
      </c>
      <c r="U479">
        <v>0.5668674698795181</v>
      </c>
      <c r="V479">
        <v>-6.3974</v>
      </c>
      <c r="W479">
        <v>2.37</v>
      </c>
      <c r="X479">
        <v>2.1</v>
      </c>
      <c r="Y479">
        <v>-0.4693</v>
      </c>
      <c r="Z479">
        <v>0.9694915254237289</v>
      </c>
      <c r="AA479">
        <v>0.203150912106136</v>
      </c>
      <c r="AB479">
        <v>0.05960264900662252</v>
      </c>
      <c r="AC479">
        <v>0.8857615894039735</v>
      </c>
      <c r="AD479">
        <v>0.9271523178807947</v>
      </c>
    </row>
    <row r="480" spans="1:30">
      <c r="A480" s="1" t="s">
        <v>487</v>
      </c>
      <c r="B480">
        <f>HYPERLINK("https://www.suredividend.com/sure-analysis-LADR/","Ladder Capital Corp.")</f>
        <v>0</v>
      </c>
      <c r="C480">
        <v>6.69</v>
      </c>
      <c r="D480">
        <v>806.1244819999999</v>
      </c>
      <c r="E480" t="s">
        <v>647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43922</v>
      </c>
      <c r="L480">
        <v>0.203288490284005</v>
      </c>
      <c r="M480">
        <v>0.104570177579687</v>
      </c>
      <c r="N480">
        <v>0.02</v>
      </c>
      <c r="O480">
        <v>0.2367820339290923</v>
      </c>
      <c r="P480" t="s">
        <v>516</v>
      </c>
      <c r="Q480" t="s">
        <v>618</v>
      </c>
      <c r="R480">
        <v>0</v>
      </c>
      <c r="S480">
        <v>0.9999999999999999</v>
      </c>
      <c r="T480">
        <v>11</v>
      </c>
      <c r="U480">
        <v>0.6081818181818183</v>
      </c>
      <c r="V480">
        <v>0.7959000000000001</v>
      </c>
      <c r="W480">
        <v>1.36</v>
      </c>
      <c r="X480">
        <v>1.36</v>
      </c>
      <c r="Y480">
        <v>-0.5888</v>
      </c>
      <c r="Z480">
        <v>0.9610169491525424</v>
      </c>
      <c r="AA480">
        <v>0.09286898839137646</v>
      </c>
      <c r="AB480">
        <v>0.1274834437086093</v>
      </c>
      <c r="AC480">
        <v>0.8609271523178808</v>
      </c>
      <c r="AD480">
        <v>0.9254966887417219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2.24</v>
      </c>
      <c r="D481">
        <v>36.43696</v>
      </c>
      <c r="E481" t="s">
        <v>646</v>
      </c>
      <c r="F481" t="s">
        <v>613</v>
      </c>
      <c r="G481" t="s">
        <v>653</v>
      </c>
      <c r="H481" t="s">
        <v>683</v>
      </c>
      <c r="I481" t="s">
        <v>1161</v>
      </c>
      <c r="J481" t="s">
        <v>1277</v>
      </c>
      <c r="K481">
        <v>43916</v>
      </c>
      <c r="L481">
        <v>0.44625</v>
      </c>
      <c r="M481">
        <v>-0.2316118715644671</v>
      </c>
      <c r="N481">
        <v>0.476</v>
      </c>
      <c r="O481">
        <v>0.232949607125404</v>
      </c>
      <c r="P481" t="s">
        <v>516</v>
      </c>
      <c r="Q481" t="s">
        <v>375</v>
      </c>
      <c r="R481">
        <v>0</v>
      </c>
      <c r="S481">
        <v>9.996</v>
      </c>
      <c r="T481">
        <v>0.6</v>
      </c>
      <c r="U481">
        <v>3.733333333333334</v>
      </c>
      <c r="V481">
        <v>-4.3248</v>
      </c>
      <c r="W481">
        <v>0.1</v>
      </c>
      <c r="X481">
        <v>0.9996</v>
      </c>
      <c r="Y481">
        <v>-0.7489</v>
      </c>
      <c r="Z481">
        <v>0.9966101694915254</v>
      </c>
      <c r="AA481">
        <v>0.01990049751243781</v>
      </c>
      <c r="AB481">
        <v>0.9966887417218543</v>
      </c>
      <c r="AC481">
        <v>0.008278145695364239</v>
      </c>
      <c r="AD481">
        <v>0.9188741721854305</v>
      </c>
    </row>
    <row r="482" spans="1:30">
      <c r="A482" s="1" t="s">
        <v>489</v>
      </c>
      <c r="B482">
        <f>HYPERLINK("https://www.suredividend.com/sure-analysis-SSREY/","Swiss Re AG")</f>
        <v>0</v>
      </c>
      <c r="C482">
        <v>15.28</v>
      </c>
      <c r="D482">
        <v>17159.760147</v>
      </c>
      <c r="E482" t="s">
        <v>649</v>
      </c>
      <c r="F482" t="s">
        <v>613</v>
      </c>
      <c r="G482" t="s">
        <v>655</v>
      </c>
      <c r="H482" t="s">
        <v>684</v>
      </c>
      <c r="I482" t="s">
        <v>1162</v>
      </c>
      <c r="J482" t="s">
        <v>1277</v>
      </c>
      <c r="K482">
        <v>43890</v>
      </c>
      <c r="L482">
        <v>0.09885471204188401</v>
      </c>
      <c r="M482">
        <v>0.08522776480163596</v>
      </c>
      <c r="N482">
        <v>0.08</v>
      </c>
      <c r="O482">
        <v>0.2222010719993051</v>
      </c>
      <c r="P482" t="s">
        <v>516</v>
      </c>
      <c r="Q482" t="s">
        <v>375</v>
      </c>
      <c r="R482">
        <v>4</v>
      </c>
      <c r="S482">
        <v>1.007</v>
      </c>
      <c r="T482">
        <v>23</v>
      </c>
      <c r="U482">
        <v>0.6643478260869565</v>
      </c>
      <c r="V482">
        <v>0.5989</v>
      </c>
      <c r="W482">
        <v>1.5</v>
      </c>
      <c r="X482">
        <v>1.5105</v>
      </c>
      <c r="Y482">
        <v>-0.3236</v>
      </c>
      <c r="Z482">
        <v>0.8288135593220339</v>
      </c>
      <c r="AA482">
        <v>0.351575456053068</v>
      </c>
      <c r="AB482">
        <v>0.8038079470198676</v>
      </c>
      <c r="AC482">
        <v>0.8162251655629139</v>
      </c>
      <c r="AD482">
        <v>0.9039735099337749</v>
      </c>
    </row>
    <row r="483" spans="1:30">
      <c r="A483" s="1" t="s">
        <v>490</v>
      </c>
      <c r="B483">
        <f>HYPERLINK("https://www.suredividend.com/sure-analysis-PACW/","PacWest Bancorp")</f>
        <v>0</v>
      </c>
      <c r="C483">
        <v>15.55</v>
      </c>
      <c r="D483">
        <v>1811.264</v>
      </c>
      <c r="E483" t="s">
        <v>649</v>
      </c>
      <c r="F483" t="s">
        <v>613</v>
      </c>
      <c r="G483" t="s">
        <v>653</v>
      </c>
      <c r="H483" t="s">
        <v>683</v>
      </c>
      <c r="I483" t="s">
        <v>1163</v>
      </c>
      <c r="J483" t="s">
        <v>1277</v>
      </c>
      <c r="K483">
        <v>43947</v>
      </c>
      <c r="L483">
        <v>0.154340836012861</v>
      </c>
      <c r="M483">
        <v>0.140455049064977</v>
      </c>
      <c r="N483">
        <v>0</v>
      </c>
      <c r="O483">
        <v>0.2219130682547306</v>
      </c>
      <c r="P483" t="s">
        <v>516</v>
      </c>
      <c r="Q483" t="s">
        <v>375</v>
      </c>
      <c r="R483">
        <v>2</v>
      </c>
      <c r="S483">
        <v>1.090909090909091</v>
      </c>
      <c r="T483">
        <v>30</v>
      </c>
      <c r="U483">
        <v>0.5183333333333333</v>
      </c>
      <c r="V483">
        <v>-9.253299999999999</v>
      </c>
      <c r="W483">
        <v>2.2</v>
      </c>
      <c r="X483">
        <v>2.4</v>
      </c>
      <c r="Y483">
        <v>-0.5921000000000001</v>
      </c>
      <c r="Z483">
        <v>0.9203389830508475</v>
      </c>
      <c r="AA483">
        <v>0.0912106135986733</v>
      </c>
      <c r="AB483">
        <v>0.02980132450331126</v>
      </c>
      <c r="AC483">
        <v>0.9188741721854305</v>
      </c>
      <c r="AD483">
        <v>0.9023178807947019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23.36</v>
      </c>
      <c r="D484">
        <v>95776</v>
      </c>
      <c r="E484" t="s">
        <v>649</v>
      </c>
      <c r="F484" t="s">
        <v>613</v>
      </c>
      <c r="G484" t="s">
        <v>653</v>
      </c>
      <c r="H484" t="s">
        <v>682</v>
      </c>
      <c r="I484" t="s">
        <v>1164</v>
      </c>
      <c r="J484" t="s">
        <v>1277</v>
      </c>
      <c r="K484">
        <v>43939</v>
      </c>
      <c r="L484">
        <v>0.08476027397260201</v>
      </c>
      <c r="M484">
        <v>0.1350002772331829</v>
      </c>
      <c r="N484">
        <v>0.03</v>
      </c>
      <c r="O484">
        <v>0.2161659539328316</v>
      </c>
      <c r="P484" t="s">
        <v>516</v>
      </c>
      <c r="Q484" t="s">
        <v>316</v>
      </c>
      <c r="R484">
        <v>9</v>
      </c>
      <c r="S484">
        <v>1.36551724137931</v>
      </c>
      <c r="T484">
        <v>44</v>
      </c>
      <c r="U484">
        <v>0.5309090909090909</v>
      </c>
      <c r="V484">
        <v>2.8515</v>
      </c>
      <c r="W484">
        <v>1.45</v>
      </c>
      <c r="X484">
        <v>1.98</v>
      </c>
      <c r="Y484">
        <v>-0.4904</v>
      </c>
      <c r="Z484">
        <v>0.7983050847457628</v>
      </c>
      <c r="AA484">
        <v>0.1724709784411277</v>
      </c>
      <c r="AB484">
        <v>0.2144039735099338</v>
      </c>
      <c r="AC484">
        <v>0.9105960264900662</v>
      </c>
      <c r="AD484">
        <v>0.8956953642384106</v>
      </c>
    </row>
    <row r="485" spans="1:30">
      <c r="A485" s="1" t="s">
        <v>492</v>
      </c>
      <c r="B485">
        <f>HYPERLINK("https://www.suredividend.com/sure-analysis-TWO/","Two Harbors Investment Corp.")</f>
        <v>0</v>
      </c>
      <c r="C485">
        <v>4.29</v>
      </c>
      <c r="D485">
        <v>1173.45228</v>
      </c>
      <c r="E485" t="s">
        <v>646</v>
      </c>
      <c r="F485" t="s">
        <v>614</v>
      </c>
      <c r="G485" t="s">
        <v>653</v>
      </c>
      <c r="H485" t="s">
        <v>682</v>
      </c>
      <c r="I485" t="s">
        <v>1165</v>
      </c>
      <c r="J485" t="s">
        <v>1281</v>
      </c>
      <c r="K485">
        <v>43913</v>
      </c>
      <c r="L485">
        <v>0.279720279720279</v>
      </c>
      <c r="M485">
        <v>0.1270092020979254</v>
      </c>
      <c r="N485">
        <v>0</v>
      </c>
      <c r="O485">
        <v>0.2155186503975213</v>
      </c>
      <c r="P485" t="s">
        <v>516</v>
      </c>
      <c r="Q485" t="s">
        <v>375</v>
      </c>
      <c r="R485">
        <v>0</v>
      </c>
      <c r="S485">
        <v>2.4</v>
      </c>
      <c r="T485">
        <v>7.8</v>
      </c>
      <c r="U485">
        <v>0.55</v>
      </c>
      <c r="V485">
        <v>-5.8343</v>
      </c>
      <c r="W485">
        <v>0.5</v>
      </c>
      <c r="X485">
        <v>1.2</v>
      </c>
      <c r="Y485">
        <v>-0.676</v>
      </c>
      <c r="Z485">
        <v>0.9847457627118643</v>
      </c>
      <c r="AA485">
        <v>0.05140961857379768</v>
      </c>
      <c r="AB485">
        <v>0.02980132450331126</v>
      </c>
      <c r="AC485">
        <v>0.9006622516556291</v>
      </c>
      <c r="AD485">
        <v>0.8940397350993378</v>
      </c>
    </row>
    <row r="486" spans="1:30">
      <c r="A486" s="1" t="s">
        <v>493</v>
      </c>
      <c r="B486">
        <f>HYPERLINK("https://www.suredividend.com/sure-analysis-KEY/","KeyCorp")</f>
        <v>0</v>
      </c>
      <c r="C486">
        <v>9.720000000000001</v>
      </c>
      <c r="D486">
        <v>9480.946319999999</v>
      </c>
      <c r="E486" t="s">
        <v>641</v>
      </c>
      <c r="F486" t="s">
        <v>613</v>
      </c>
      <c r="G486" t="s">
        <v>653</v>
      </c>
      <c r="H486" t="s">
        <v>682</v>
      </c>
      <c r="I486" t="s">
        <v>1166</v>
      </c>
      <c r="J486" t="s">
        <v>1277</v>
      </c>
      <c r="K486">
        <v>43937</v>
      </c>
      <c r="L486">
        <v>0.07458847736625501</v>
      </c>
      <c r="M486">
        <v>0.1182953815029673</v>
      </c>
      <c r="N486">
        <v>0.04</v>
      </c>
      <c r="O486">
        <v>0.2065186872468825</v>
      </c>
      <c r="P486" t="s">
        <v>516</v>
      </c>
      <c r="Q486" t="s">
        <v>316</v>
      </c>
      <c r="R486">
        <v>9</v>
      </c>
      <c r="S486">
        <v>1.208333333333333</v>
      </c>
      <c r="T486">
        <v>17</v>
      </c>
      <c r="U486">
        <v>0.571764705882353</v>
      </c>
      <c r="V486">
        <v>1.3724</v>
      </c>
      <c r="W486">
        <v>0.6</v>
      </c>
      <c r="X486">
        <v>0.725</v>
      </c>
      <c r="Y486">
        <v>-0.4134</v>
      </c>
      <c r="Z486">
        <v>0.7389830508474575</v>
      </c>
      <c r="AA486">
        <v>0.2553897180762852</v>
      </c>
      <c r="AB486">
        <v>0.3493377483443709</v>
      </c>
      <c r="AC486">
        <v>0.8807947019867549</v>
      </c>
      <c r="AD486">
        <v>0.8890728476821192</v>
      </c>
    </row>
    <row r="487" spans="1:30">
      <c r="A487" s="1" t="s">
        <v>494</v>
      </c>
      <c r="B487">
        <f>HYPERLINK("https://www.suredividend.com/sure-analysis-SPH/","Suburban Propane Partners LP")</f>
        <v>0</v>
      </c>
      <c r="C487">
        <v>13.33</v>
      </c>
      <c r="D487">
        <v>828.215561</v>
      </c>
      <c r="E487" t="s">
        <v>649</v>
      </c>
      <c r="F487" t="s">
        <v>615</v>
      </c>
      <c r="G487" t="s">
        <v>653</v>
      </c>
      <c r="H487" t="s">
        <v>682</v>
      </c>
      <c r="I487" t="s">
        <v>1167</v>
      </c>
      <c r="J487" t="s">
        <v>1287</v>
      </c>
      <c r="K487">
        <v>43964</v>
      </c>
      <c r="L487">
        <v>0.180045011252813</v>
      </c>
      <c r="M487">
        <v>0.06191185969827528</v>
      </c>
      <c r="N487">
        <v>0.04</v>
      </c>
      <c r="O487">
        <v>0.2052392733687571</v>
      </c>
      <c r="P487" t="s">
        <v>516</v>
      </c>
      <c r="Q487" t="s">
        <v>618</v>
      </c>
      <c r="R487">
        <v>0</v>
      </c>
      <c r="S487">
        <v>0.8727272727272727</v>
      </c>
      <c r="T487">
        <v>18</v>
      </c>
      <c r="U487">
        <v>0.7405555555555555</v>
      </c>
      <c r="V487">
        <v>0.5967</v>
      </c>
      <c r="W487">
        <v>2.75</v>
      </c>
      <c r="X487">
        <v>2.4</v>
      </c>
      <c r="Y487">
        <v>-0.4279</v>
      </c>
      <c r="Z487">
        <v>0.9440677966101696</v>
      </c>
      <c r="AA487">
        <v>0.2388059701492538</v>
      </c>
      <c r="AB487">
        <v>0.3493377483443709</v>
      </c>
      <c r="AC487">
        <v>0.7235099337748345</v>
      </c>
      <c r="AD487">
        <v>0.8874172185430463</v>
      </c>
    </row>
    <row r="488" spans="1:30">
      <c r="A488" s="1" t="s">
        <v>495</v>
      </c>
      <c r="B488">
        <f>HYPERLINK("https://www.suredividend.com/sure-analysis-FCAU/","Fiat Chrysler Automobiles NV")</f>
        <v>0</v>
      </c>
      <c r="C488">
        <v>7.82</v>
      </c>
      <c r="D488">
        <v>12263.4022</v>
      </c>
      <c r="E488" t="s">
        <v>649</v>
      </c>
      <c r="F488" t="s">
        <v>613</v>
      </c>
      <c r="G488" t="s">
        <v>654</v>
      </c>
      <c r="H488" t="s">
        <v>682</v>
      </c>
      <c r="I488" t="s">
        <v>1168</v>
      </c>
      <c r="J488" t="s">
        <v>1279</v>
      </c>
      <c r="K488">
        <v>43960</v>
      </c>
      <c r="L488">
        <v>0.166240409207161</v>
      </c>
      <c r="M488">
        <v>0.1235289219231113</v>
      </c>
      <c r="N488">
        <v>0.03</v>
      </c>
      <c r="O488">
        <v>0.2033261344292379</v>
      </c>
      <c r="P488" t="s">
        <v>516</v>
      </c>
      <c r="Q488" t="s">
        <v>375</v>
      </c>
      <c r="R488">
        <v>0</v>
      </c>
      <c r="S488">
        <v>9.99</v>
      </c>
      <c r="T488">
        <v>14</v>
      </c>
      <c r="U488">
        <v>0.5585714285714286</v>
      </c>
      <c r="V488">
        <v>0.3975</v>
      </c>
      <c r="W488">
        <v>-1.25</v>
      </c>
      <c r="X488">
        <v>1.3</v>
      </c>
      <c r="Y488">
        <v>-0.4698</v>
      </c>
      <c r="Z488">
        <v>0.9372881355932203</v>
      </c>
      <c r="AA488">
        <v>0.2006633499170812</v>
      </c>
      <c r="AB488">
        <v>0.2144039735099338</v>
      </c>
      <c r="AC488">
        <v>0.8890728476821192</v>
      </c>
      <c r="AD488">
        <v>0.8807947019867549</v>
      </c>
    </row>
    <row r="489" spans="1:30">
      <c r="A489" s="1" t="s">
        <v>496</v>
      </c>
      <c r="B489">
        <f>HYPERLINK("https://www.suredividend.com/sure-analysis-OLN/","Olin Corp.")</f>
        <v>0</v>
      </c>
      <c r="C489">
        <v>11.1</v>
      </c>
      <c r="D489">
        <v>1752.1461</v>
      </c>
      <c r="E489" t="s">
        <v>647</v>
      </c>
      <c r="F489" t="s">
        <v>613</v>
      </c>
      <c r="G489" t="s">
        <v>653</v>
      </c>
      <c r="H489" t="s">
        <v>682</v>
      </c>
      <c r="I489" t="s">
        <v>1169</v>
      </c>
      <c r="J489" t="s">
        <v>1283</v>
      </c>
      <c r="K489">
        <v>43878</v>
      </c>
      <c r="L489">
        <v>0.072072072072072</v>
      </c>
      <c r="M489">
        <v>0.1360024373838433</v>
      </c>
      <c r="N489">
        <v>0.02</v>
      </c>
      <c r="O489">
        <v>0.1961991741590279</v>
      </c>
      <c r="P489" t="s">
        <v>516</v>
      </c>
      <c r="Q489" t="s">
        <v>316</v>
      </c>
      <c r="R489">
        <v>0</v>
      </c>
      <c r="S489">
        <v>9.99</v>
      </c>
      <c r="T489">
        <v>21</v>
      </c>
      <c r="U489">
        <v>0.5285714285714286</v>
      </c>
      <c r="V489">
        <v>-0.8435</v>
      </c>
      <c r="W489">
        <v>-0.2</v>
      </c>
      <c r="X489">
        <v>0.8</v>
      </c>
      <c r="Y489">
        <v>-0.4769</v>
      </c>
      <c r="Z489">
        <v>0.7203389830508474</v>
      </c>
      <c r="AA489">
        <v>0.1873963515754561</v>
      </c>
      <c r="AB489">
        <v>0.1274834437086093</v>
      </c>
      <c r="AC489">
        <v>0.9139072847682119</v>
      </c>
      <c r="AD489">
        <v>0.8692052980132451</v>
      </c>
    </row>
    <row r="490" spans="1:30">
      <c r="A490" s="1" t="s">
        <v>497</v>
      </c>
      <c r="B490">
        <f>HYPERLINK("https://www.suredividend.com/sure-analysis-CAKE/","Cheesecake Factory, Inc.")</f>
        <v>0</v>
      </c>
      <c r="C490">
        <v>18.52</v>
      </c>
      <c r="D490">
        <v>841.943276</v>
      </c>
      <c r="E490" t="s">
        <v>642</v>
      </c>
      <c r="F490" t="s">
        <v>613</v>
      </c>
      <c r="G490" t="s">
        <v>653</v>
      </c>
      <c r="H490" t="s">
        <v>683</v>
      </c>
      <c r="I490" t="s">
        <v>1170</v>
      </c>
      <c r="J490" t="s">
        <v>1279</v>
      </c>
      <c r="K490">
        <v>43930</v>
      </c>
      <c r="L490">
        <v>0.07613390928725701</v>
      </c>
      <c r="M490">
        <v>-0.04128382345380288</v>
      </c>
      <c r="N490">
        <v>0.198</v>
      </c>
      <c r="O490">
        <v>0.1937241605057507</v>
      </c>
      <c r="P490" t="s">
        <v>516</v>
      </c>
      <c r="Q490" t="s">
        <v>316</v>
      </c>
      <c r="R490">
        <v>9</v>
      </c>
      <c r="S490">
        <v>1.549450549450549</v>
      </c>
      <c r="T490">
        <v>15</v>
      </c>
      <c r="U490">
        <v>1.234666666666667</v>
      </c>
      <c r="V490">
        <v>2.1973</v>
      </c>
      <c r="W490">
        <v>0.91</v>
      </c>
      <c r="X490">
        <v>1.41</v>
      </c>
      <c r="Y490">
        <v>-0.6079</v>
      </c>
      <c r="Z490">
        <v>0.7474576271186441</v>
      </c>
      <c r="AA490">
        <v>0.07960199004975124</v>
      </c>
      <c r="AB490">
        <v>0.978476821192053</v>
      </c>
      <c r="AC490">
        <v>0.2201986754966887</v>
      </c>
      <c r="AD490">
        <v>0.8675496688741723</v>
      </c>
    </row>
    <row r="491" spans="1:30">
      <c r="A491" s="1" t="s">
        <v>498</v>
      </c>
      <c r="B491">
        <f>HYPERLINK("https://www.suredividend.com/sure-analysis-DDAIF/","Daimler AG")</f>
        <v>0</v>
      </c>
      <c r="C491">
        <v>30.25</v>
      </c>
      <c r="D491">
        <v>32362.66</v>
      </c>
      <c r="E491" t="s">
        <v>643</v>
      </c>
      <c r="F491" t="s">
        <v>613</v>
      </c>
      <c r="G491" t="s">
        <v>656</v>
      </c>
      <c r="H491" t="s">
        <v>684</v>
      </c>
      <c r="I491" t="s">
        <v>1171</v>
      </c>
      <c r="J491" t="s">
        <v>1279</v>
      </c>
      <c r="K491">
        <v>43959</v>
      </c>
      <c r="L491">
        <v>0.107438016528925</v>
      </c>
      <c r="M491">
        <v>0.1186908814511587</v>
      </c>
      <c r="N491">
        <v>0.05</v>
      </c>
      <c r="O491">
        <v>0.1913346700899283</v>
      </c>
      <c r="P491" t="s">
        <v>516</v>
      </c>
      <c r="Q491" t="s">
        <v>316</v>
      </c>
      <c r="R491">
        <v>0</v>
      </c>
      <c r="S491">
        <v>3.25</v>
      </c>
      <c r="T491">
        <v>53</v>
      </c>
      <c r="U491">
        <v>0.5707547169811321</v>
      </c>
      <c r="V491">
        <v>0.3756</v>
      </c>
      <c r="W491">
        <v>1</v>
      </c>
      <c r="X491">
        <v>3.25</v>
      </c>
      <c r="Y491">
        <v>-0.5027</v>
      </c>
      <c r="Z491">
        <v>0.8457627118644068</v>
      </c>
      <c r="AA491">
        <v>0.1592039800995025</v>
      </c>
      <c r="AB491">
        <v>0.4991721854304636</v>
      </c>
      <c r="AC491">
        <v>0.8824503311258277</v>
      </c>
      <c r="AD491">
        <v>0.8625827814569537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9.550000000000001</v>
      </c>
      <c r="D492">
        <v>1140.24135</v>
      </c>
      <c r="E492" t="s">
        <v>646</v>
      </c>
      <c r="F492" t="s">
        <v>613</v>
      </c>
      <c r="G492" t="s">
        <v>660</v>
      </c>
      <c r="H492" t="s">
        <v>682</v>
      </c>
      <c r="I492" t="s">
        <v>1172</v>
      </c>
      <c r="J492" t="s">
        <v>1278</v>
      </c>
      <c r="K492">
        <v>43920</v>
      </c>
      <c r="L492">
        <v>0.146596858638743</v>
      </c>
      <c r="M492">
        <v>0.06362367621973819</v>
      </c>
      <c r="N492">
        <v>0.036</v>
      </c>
      <c r="O492">
        <v>0.1902319425059629</v>
      </c>
      <c r="P492" t="s">
        <v>516</v>
      </c>
      <c r="Q492" t="s">
        <v>375</v>
      </c>
      <c r="R492">
        <v>1</v>
      </c>
      <c r="S492">
        <v>1.076923076923077</v>
      </c>
      <c r="T492">
        <v>13</v>
      </c>
      <c r="U492">
        <v>0.7346153846153847</v>
      </c>
      <c r="V492">
        <v>0.7813</v>
      </c>
      <c r="W492">
        <v>1.3</v>
      </c>
      <c r="X492">
        <v>1.4</v>
      </c>
      <c r="Y492">
        <v>-0.262</v>
      </c>
      <c r="Z492">
        <v>0.9050847457627118</v>
      </c>
      <c r="AA492">
        <v>0.4427860696517413</v>
      </c>
      <c r="AB492">
        <v>0.2806291390728477</v>
      </c>
      <c r="AC492">
        <v>0.7268211920529801</v>
      </c>
      <c r="AD492">
        <v>0.8576158940397351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6.52</v>
      </c>
      <c r="D493">
        <v>2917.35444</v>
      </c>
      <c r="E493" t="s">
        <v>644</v>
      </c>
      <c r="F493" t="s">
        <v>613</v>
      </c>
      <c r="G493" t="s">
        <v>654</v>
      </c>
      <c r="H493" t="s">
        <v>682</v>
      </c>
      <c r="I493" t="s">
        <v>1173</v>
      </c>
      <c r="J493" t="s">
        <v>1284</v>
      </c>
      <c r="K493">
        <v>43945</v>
      </c>
      <c r="L493">
        <v>0.079754601226993</v>
      </c>
      <c r="M493">
        <v>0.08930746750915186</v>
      </c>
      <c r="N493">
        <v>0.09</v>
      </c>
      <c r="O493">
        <v>0.1873451395849755</v>
      </c>
      <c r="P493" t="s">
        <v>516</v>
      </c>
      <c r="Q493" t="s">
        <v>316</v>
      </c>
      <c r="R493">
        <v>0</v>
      </c>
      <c r="S493">
        <v>2.6</v>
      </c>
      <c r="T493">
        <v>10</v>
      </c>
      <c r="U493">
        <v>0.6519999999999999</v>
      </c>
      <c r="V493">
        <v>-12.7252</v>
      </c>
      <c r="W493">
        <v>0.2</v>
      </c>
      <c r="X493">
        <v>0.52</v>
      </c>
      <c r="Y493">
        <v>-0.714</v>
      </c>
      <c r="Z493">
        <v>0.7728813559322033</v>
      </c>
      <c r="AA493">
        <v>0.03482587064676617</v>
      </c>
      <c r="AB493">
        <v>0.8600993377483444</v>
      </c>
      <c r="AC493">
        <v>0.8311258278145695</v>
      </c>
      <c r="AD493">
        <v>0.8543046357615894</v>
      </c>
    </row>
    <row r="494" spans="1:30">
      <c r="A494" s="1" t="s">
        <v>501</v>
      </c>
      <c r="B494">
        <f>HYPERLINK("https://www.suredividend.com/sure-analysis-TOT/","Total SA")</f>
        <v>0</v>
      </c>
      <c r="C494">
        <v>33.03</v>
      </c>
      <c r="D494">
        <v>85429.64305100001</v>
      </c>
      <c r="E494" t="s">
        <v>644</v>
      </c>
      <c r="F494" t="s">
        <v>613</v>
      </c>
      <c r="G494" t="s">
        <v>669</v>
      </c>
      <c r="H494" t="s">
        <v>682</v>
      </c>
      <c r="I494" t="s">
        <v>1174</v>
      </c>
      <c r="J494" t="s">
        <v>1284</v>
      </c>
      <c r="K494">
        <v>43959</v>
      </c>
      <c r="L494">
        <v>0.088422646079321</v>
      </c>
      <c r="M494">
        <v>0.05903135987290642</v>
      </c>
      <c r="N494">
        <v>0.07000000000000001</v>
      </c>
      <c r="O494">
        <v>0.1852460462100944</v>
      </c>
      <c r="P494" t="s">
        <v>516</v>
      </c>
      <c r="Q494" t="s">
        <v>316</v>
      </c>
      <c r="R494">
        <v>3</v>
      </c>
      <c r="S494">
        <v>2.086142857142857</v>
      </c>
      <c r="T494">
        <v>44</v>
      </c>
      <c r="U494">
        <v>0.7506818181818182</v>
      </c>
      <c r="V494">
        <v>4.3362</v>
      </c>
      <c r="W494">
        <v>1.4</v>
      </c>
      <c r="X494">
        <v>2.9206</v>
      </c>
      <c r="Y494">
        <v>-0.382</v>
      </c>
      <c r="Z494">
        <v>0.8050847457627118</v>
      </c>
      <c r="AA494">
        <v>0.2868988391376451</v>
      </c>
      <c r="AB494">
        <v>0.7259933774834437</v>
      </c>
      <c r="AC494">
        <v>0.7069536423841059</v>
      </c>
      <c r="AD494">
        <v>0.8509933774834437</v>
      </c>
    </row>
    <row r="495" spans="1:30">
      <c r="A495" s="1" t="s">
        <v>502</v>
      </c>
      <c r="B495">
        <f>HYPERLINK("https://www.suredividend.com/sure-analysis-MPC/","Marathon Petroleum Corp.")</f>
        <v>0</v>
      </c>
      <c r="C495">
        <v>30.3</v>
      </c>
      <c r="D495">
        <v>19702.9083</v>
      </c>
      <c r="E495" t="s">
        <v>644</v>
      </c>
      <c r="F495" t="s">
        <v>613</v>
      </c>
      <c r="G495" t="s">
        <v>653</v>
      </c>
      <c r="H495" t="s">
        <v>682</v>
      </c>
      <c r="I495" t="s">
        <v>946</v>
      </c>
      <c r="J495" t="s">
        <v>1284</v>
      </c>
      <c r="K495">
        <v>43964</v>
      </c>
      <c r="L495">
        <v>0.07161716171617101</v>
      </c>
      <c r="M495">
        <v>0.1009071448915317</v>
      </c>
      <c r="N495">
        <v>0.03</v>
      </c>
      <c r="O495">
        <v>0.1805900228656299</v>
      </c>
      <c r="P495" t="s">
        <v>516</v>
      </c>
      <c r="Q495" t="s">
        <v>316</v>
      </c>
      <c r="R495">
        <v>9</v>
      </c>
      <c r="S495">
        <v>9.99</v>
      </c>
      <c r="T495">
        <v>49</v>
      </c>
      <c r="U495">
        <v>0.6183673469387755</v>
      </c>
      <c r="V495">
        <v>-10.2265</v>
      </c>
      <c r="W495">
        <v>-1.8</v>
      </c>
      <c r="X495">
        <v>2.17</v>
      </c>
      <c r="Y495">
        <v>-0.4081</v>
      </c>
      <c r="Z495">
        <v>0.7152542372881356</v>
      </c>
      <c r="AA495">
        <v>0.2603648424543947</v>
      </c>
      <c r="AB495">
        <v>0.2144039735099338</v>
      </c>
      <c r="AC495">
        <v>0.8576158940397351</v>
      </c>
      <c r="AD495">
        <v>0.8427152317880795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21.82</v>
      </c>
      <c r="D496">
        <v>73105.60799</v>
      </c>
      <c r="E496" t="s">
        <v>644</v>
      </c>
      <c r="F496" t="s">
        <v>613</v>
      </c>
      <c r="G496" t="s">
        <v>654</v>
      </c>
      <c r="H496" t="s">
        <v>682</v>
      </c>
      <c r="I496" t="s">
        <v>1175</v>
      </c>
      <c r="J496" t="s">
        <v>1284</v>
      </c>
      <c r="K496">
        <v>43956</v>
      </c>
      <c r="L496">
        <v>0.112511457378551</v>
      </c>
      <c r="M496">
        <v>0.01922788992616731</v>
      </c>
      <c r="N496">
        <v>0.09</v>
      </c>
      <c r="O496">
        <v>0.1781413831905398</v>
      </c>
      <c r="P496" t="s">
        <v>516</v>
      </c>
      <c r="Q496" t="s">
        <v>316</v>
      </c>
      <c r="R496">
        <v>3</v>
      </c>
      <c r="S496">
        <v>6.1375</v>
      </c>
      <c r="T496">
        <v>24</v>
      </c>
      <c r="U496">
        <v>0.9091666666666667</v>
      </c>
      <c r="V496">
        <v>1.2029</v>
      </c>
      <c r="W496">
        <v>0.4</v>
      </c>
      <c r="X496">
        <v>2.455</v>
      </c>
      <c r="Y496">
        <v>-0.4776</v>
      </c>
      <c r="Z496">
        <v>0.8593220338983051</v>
      </c>
      <c r="AA496">
        <v>0.1840796019900497</v>
      </c>
      <c r="AB496">
        <v>0.8600993377483444</v>
      </c>
      <c r="AC496">
        <v>0.5380794701986755</v>
      </c>
      <c r="AD496">
        <v>0.8344370860927153</v>
      </c>
    </row>
    <row r="497" spans="1:30">
      <c r="A497" s="1" t="s">
        <v>504</v>
      </c>
      <c r="B497">
        <f>HYPERLINK("https://www.suredividend.com/sure-analysis-OZK/","Bank OZK")</f>
        <v>0</v>
      </c>
      <c r="C497">
        <v>19.67</v>
      </c>
      <c r="D497">
        <v>2529.58167</v>
      </c>
      <c r="E497" t="s">
        <v>641</v>
      </c>
      <c r="F497" t="s">
        <v>613</v>
      </c>
      <c r="G497" t="s">
        <v>653</v>
      </c>
      <c r="H497" t="s">
        <v>683</v>
      </c>
      <c r="I497" t="s">
        <v>1176</v>
      </c>
      <c r="J497" t="s">
        <v>1277</v>
      </c>
      <c r="K497">
        <v>43951</v>
      </c>
      <c r="L497">
        <v>0.049822064056939</v>
      </c>
      <c r="M497">
        <v>0.08808639217309855</v>
      </c>
      <c r="N497">
        <v>0.05</v>
      </c>
      <c r="O497">
        <v>0.1776773908972165</v>
      </c>
      <c r="P497" t="s">
        <v>516</v>
      </c>
      <c r="Q497" t="s">
        <v>316</v>
      </c>
      <c r="R497">
        <v>24</v>
      </c>
      <c r="S497">
        <v>1.96</v>
      </c>
      <c r="T497">
        <v>30</v>
      </c>
      <c r="U497">
        <v>0.6556666666666667</v>
      </c>
      <c r="V497">
        <v>2.5362</v>
      </c>
      <c r="W497">
        <v>0.5</v>
      </c>
      <c r="X497">
        <v>0.98</v>
      </c>
      <c r="Y497">
        <v>-0.3803</v>
      </c>
      <c r="Z497">
        <v>0.576271186440678</v>
      </c>
      <c r="AA497">
        <v>0.2902155887230514</v>
      </c>
      <c r="AB497">
        <v>0.4991721854304636</v>
      </c>
      <c r="AC497">
        <v>0.8211920529801324</v>
      </c>
      <c r="AD497">
        <v>0.8327814569536425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7.51</v>
      </c>
      <c r="D498">
        <v>7616.7922</v>
      </c>
      <c r="E498" t="s">
        <v>641</v>
      </c>
      <c r="F498" t="s">
        <v>613</v>
      </c>
      <c r="G498" t="s">
        <v>653</v>
      </c>
      <c r="H498" t="s">
        <v>683</v>
      </c>
      <c r="I498" t="s">
        <v>1177</v>
      </c>
      <c r="J498" t="s">
        <v>1277</v>
      </c>
      <c r="K498">
        <v>43944</v>
      </c>
      <c r="L498">
        <v>0.078561917443408</v>
      </c>
      <c r="M498">
        <v>0.07932080754530646</v>
      </c>
      <c r="N498">
        <v>0.04</v>
      </c>
      <c r="O498">
        <v>0.174995499467717</v>
      </c>
      <c r="P498" t="s">
        <v>516</v>
      </c>
      <c r="Q498" t="s">
        <v>316</v>
      </c>
      <c r="R498">
        <v>10</v>
      </c>
      <c r="S498">
        <v>2.36</v>
      </c>
      <c r="T498">
        <v>11</v>
      </c>
      <c r="U498">
        <v>0.6827272727272727</v>
      </c>
      <c r="V498">
        <v>0.9924000000000001</v>
      </c>
      <c r="W498">
        <v>0.25</v>
      </c>
      <c r="X498">
        <v>0.59</v>
      </c>
      <c r="Y498">
        <v>-0.421</v>
      </c>
      <c r="Z498">
        <v>0.7644067796610169</v>
      </c>
      <c r="AA498">
        <v>0.2504145936981758</v>
      </c>
      <c r="AB498">
        <v>0.3493377483443709</v>
      </c>
      <c r="AC498">
        <v>0.804635761589404</v>
      </c>
      <c r="AD498">
        <v>0.8261589403973509</v>
      </c>
    </row>
    <row r="499" spans="1:30">
      <c r="A499" s="1" t="s">
        <v>506</v>
      </c>
      <c r="B499">
        <f>HYPERLINK("https://www.suredividend.com/sure-analysis-VER/","VEREIT, Inc.")</f>
        <v>0</v>
      </c>
      <c r="C499">
        <v>4.51</v>
      </c>
      <c r="D499">
        <v>4860.7878</v>
      </c>
      <c r="E499" t="s">
        <v>646</v>
      </c>
      <c r="F499" t="s">
        <v>613</v>
      </c>
      <c r="G499" t="s">
        <v>653</v>
      </c>
      <c r="H499" t="s">
        <v>682</v>
      </c>
      <c r="I499" t="s">
        <v>1178</v>
      </c>
      <c r="J499" t="s">
        <v>1281</v>
      </c>
      <c r="K499">
        <v>43913</v>
      </c>
      <c r="L499">
        <v>0.121951219512195</v>
      </c>
      <c r="M499">
        <v>0.07912928578583145</v>
      </c>
      <c r="N499">
        <v>0.021</v>
      </c>
      <c r="O499">
        <v>0.1743405994155298</v>
      </c>
      <c r="P499" t="s">
        <v>516</v>
      </c>
      <c r="Q499" t="s">
        <v>375</v>
      </c>
      <c r="R499">
        <v>0</v>
      </c>
      <c r="S499">
        <v>1</v>
      </c>
      <c r="T499">
        <v>6.6</v>
      </c>
      <c r="U499">
        <v>0.6833333333333333</v>
      </c>
      <c r="V499">
        <v>-0.3795</v>
      </c>
      <c r="W499">
        <v>0.55</v>
      </c>
      <c r="X499">
        <v>0.55</v>
      </c>
      <c r="Y499">
        <v>-0.4768</v>
      </c>
      <c r="Z499">
        <v>0.8796610169491526</v>
      </c>
      <c r="AA499">
        <v>0.1890547263681592</v>
      </c>
      <c r="AB499">
        <v>0.1622516556291391</v>
      </c>
      <c r="AC499">
        <v>0.8029801324503312</v>
      </c>
      <c r="AD499">
        <v>0.8245033112582781</v>
      </c>
    </row>
    <row r="500" spans="1:30">
      <c r="A500" s="1" t="s">
        <v>507</v>
      </c>
      <c r="B500">
        <f>HYPERLINK("https://www.suredividend.com/sure-analysis-RDS.B/","Royal Dutch Shell Plc")</f>
        <v>0</v>
      </c>
      <c r="C500">
        <v>28.6</v>
      </c>
      <c r="D500">
        <v>53003.808</v>
      </c>
      <c r="E500" t="s">
        <v>644</v>
      </c>
      <c r="F500" t="s">
        <v>613</v>
      </c>
      <c r="G500" t="s">
        <v>665</v>
      </c>
      <c r="H500" t="s">
        <v>682</v>
      </c>
      <c r="I500" t="s">
        <v>1179</v>
      </c>
      <c r="J500" t="s">
        <v>1284</v>
      </c>
      <c r="K500">
        <v>43963</v>
      </c>
      <c r="L500">
        <v>0.131468531468531</v>
      </c>
      <c r="M500">
        <v>0.02903366107118788</v>
      </c>
      <c r="N500">
        <v>0.11</v>
      </c>
      <c r="O500">
        <v>0.1737483338850907</v>
      </c>
      <c r="P500" t="s">
        <v>516</v>
      </c>
      <c r="Q500" t="s">
        <v>375</v>
      </c>
      <c r="R500">
        <v>0</v>
      </c>
      <c r="S500">
        <v>2.892307692307692</v>
      </c>
      <c r="T500">
        <v>33</v>
      </c>
      <c r="U500">
        <v>0.8666666666666667</v>
      </c>
      <c r="V500">
        <v>3.9292</v>
      </c>
      <c r="W500">
        <v>1.3</v>
      </c>
      <c r="X500">
        <v>3.76</v>
      </c>
      <c r="Y500">
        <v>-0.5644</v>
      </c>
      <c r="Z500">
        <v>0.8966101694915254</v>
      </c>
      <c r="AA500">
        <v>0.109452736318408</v>
      </c>
      <c r="AB500">
        <v>0.9180463576158941</v>
      </c>
      <c r="AC500">
        <v>0.5894039735099338</v>
      </c>
      <c r="AD500">
        <v>0.8211920529801324</v>
      </c>
    </row>
    <row r="501" spans="1:30">
      <c r="A501" s="1" t="s">
        <v>508</v>
      </c>
      <c r="B501">
        <f>HYPERLINK("https://www.suredividend.com/sure-analysis-ALK/","Alaska Air Group, Inc.")</f>
        <v>0</v>
      </c>
      <c r="C501">
        <v>25.63</v>
      </c>
      <c r="D501">
        <v>3141.85355</v>
      </c>
      <c r="E501" t="s">
        <v>649</v>
      </c>
      <c r="F501" t="s">
        <v>613</v>
      </c>
      <c r="G501" t="s">
        <v>653</v>
      </c>
      <c r="H501" t="s">
        <v>682</v>
      </c>
      <c r="I501" t="s">
        <v>1180</v>
      </c>
      <c r="J501" t="s">
        <v>1278</v>
      </c>
      <c r="K501">
        <v>43959</v>
      </c>
      <c r="L501">
        <v>0.055598907530238</v>
      </c>
      <c r="M501">
        <v>0.1141426871418374</v>
      </c>
      <c r="N501">
        <v>0.04</v>
      </c>
      <c r="O501">
        <v>0.171413613652714</v>
      </c>
      <c r="P501" t="s">
        <v>516</v>
      </c>
      <c r="Q501" t="s">
        <v>516</v>
      </c>
      <c r="R501">
        <v>0</v>
      </c>
      <c r="S501">
        <v>9.99</v>
      </c>
      <c r="T501">
        <v>44</v>
      </c>
      <c r="U501">
        <v>0.5825</v>
      </c>
      <c r="V501">
        <v>4.3158</v>
      </c>
      <c r="W501">
        <v>-6.2</v>
      </c>
      <c r="X501">
        <v>1.425</v>
      </c>
      <c r="Y501">
        <v>-0.5832000000000001</v>
      </c>
      <c r="Z501">
        <v>0.6220338983050848</v>
      </c>
      <c r="AA501">
        <v>0.1011608623548922</v>
      </c>
      <c r="AB501">
        <v>0.3493377483443709</v>
      </c>
      <c r="AC501">
        <v>0.8758278145695364</v>
      </c>
      <c r="AD501">
        <v>0.8178807947019868</v>
      </c>
    </row>
    <row r="502" spans="1:30">
      <c r="A502" s="1" t="s">
        <v>509</v>
      </c>
      <c r="B502">
        <f>HYPERLINK("https://www.suredividend.com/sure-analysis-SNP/","China Petroleum &amp; Chemical Corp.")</f>
        <v>0</v>
      </c>
      <c r="C502">
        <v>45.32</v>
      </c>
      <c r="D502">
        <v>11562.67288</v>
      </c>
      <c r="E502" t="s">
        <v>644</v>
      </c>
      <c r="F502" t="s">
        <v>613</v>
      </c>
      <c r="G502" t="s">
        <v>657</v>
      </c>
      <c r="H502" t="s">
        <v>682</v>
      </c>
      <c r="I502" t="s">
        <v>1181</v>
      </c>
      <c r="J502" t="s">
        <v>1284</v>
      </c>
      <c r="K502">
        <v>43921</v>
      </c>
      <c r="L502">
        <v>0.110036849073256</v>
      </c>
      <c r="M502">
        <v>-0.06723548610227204</v>
      </c>
      <c r="N502">
        <v>0.2</v>
      </c>
      <c r="O502">
        <v>0.1705405612556814</v>
      </c>
      <c r="P502" t="s">
        <v>516</v>
      </c>
      <c r="Q502" t="s">
        <v>375</v>
      </c>
      <c r="R502">
        <v>0</v>
      </c>
      <c r="S502">
        <v>1.66229</v>
      </c>
      <c r="T502">
        <v>32</v>
      </c>
      <c r="U502">
        <v>1.41625</v>
      </c>
      <c r="V502">
        <v>5.5909</v>
      </c>
      <c r="W502">
        <v>3</v>
      </c>
      <c r="X502">
        <v>4.98687</v>
      </c>
      <c r="Y502">
        <v>-0.3713</v>
      </c>
      <c r="Z502">
        <v>0.8508474576271187</v>
      </c>
      <c r="AA502">
        <v>0.3001658374792703</v>
      </c>
      <c r="AB502">
        <v>0.9817880794701986</v>
      </c>
      <c r="AC502">
        <v>0.1374172185430464</v>
      </c>
      <c r="AD502">
        <v>0.8129139072847683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19.35</v>
      </c>
      <c r="D503">
        <v>1067.959395</v>
      </c>
      <c r="E503" t="s">
        <v>643</v>
      </c>
      <c r="F503" t="s">
        <v>613</v>
      </c>
      <c r="G503" t="s">
        <v>653</v>
      </c>
      <c r="H503" t="s">
        <v>682</v>
      </c>
      <c r="I503" t="s">
        <v>1182</v>
      </c>
      <c r="J503" t="s">
        <v>1283</v>
      </c>
      <c r="K503">
        <v>43959</v>
      </c>
      <c r="L503">
        <v>0.09405684754521901</v>
      </c>
      <c r="M503">
        <v>0.07670173381178103</v>
      </c>
      <c r="N503">
        <v>0.03</v>
      </c>
      <c r="O503">
        <v>0.1691378094461151</v>
      </c>
      <c r="P503" t="s">
        <v>516</v>
      </c>
      <c r="Q503" t="s">
        <v>316</v>
      </c>
      <c r="R503">
        <v>10</v>
      </c>
      <c r="S503">
        <v>3.64</v>
      </c>
      <c r="T503">
        <v>28</v>
      </c>
      <c r="U503">
        <v>0.6910714285714287</v>
      </c>
      <c r="V503">
        <v>0.1067</v>
      </c>
      <c r="W503">
        <v>0.5</v>
      </c>
      <c r="X503">
        <v>1.82</v>
      </c>
      <c r="Y503">
        <v>-0.5712</v>
      </c>
      <c r="Z503">
        <v>0.8203389830508475</v>
      </c>
      <c r="AA503">
        <v>0.1028192371475954</v>
      </c>
      <c r="AB503">
        <v>0.2144039735099338</v>
      </c>
      <c r="AC503">
        <v>0.783112582781457</v>
      </c>
      <c r="AD503">
        <v>0.8079470198675497</v>
      </c>
    </row>
    <row r="504" spans="1:30">
      <c r="A504" s="1" t="s">
        <v>511</v>
      </c>
      <c r="B504">
        <f>HYPERLINK("https://www.suredividend.com/sure-analysis-DIN/","Dine Brands Global, Inc.")</f>
        <v>0</v>
      </c>
      <c r="C504">
        <v>36.51</v>
      </c>
      <c r="D504">
        <v>599.435784</v>
      </c>
      <c r="E504" t="s">
        <v>643</v>
      </c>
      <c r="F504" t="s">
        <v>613</v>
      </c>
      <c r="G504" t="s">
        <v>653</v>
      </c>
      <c r="H504" t="s">
        <v>682</v>
      </c>
      <c r="I504" t="s">
        <v>1183</v>
      </c>
      <c r="J504" t="s">
        <v>1279</v>
      </c>
      <c r="K504">
        <v>43961</v>
      </c>
      <c r="L504">
        <v>0.07751301013420901</v>
      </c>
      <c r="M504">
        <v>0.1257097315982885</v>
      </c>
      <c r="N504">
        <v>0.035</v>
      </c>
      <c r="O504">
        <v>0.1651095722042286</v>
      </c>
      <c r="P504" t="s">
        <v>516</v>
      </c>
      <c r="Q504" t="s">
        <v>375</v>
      </c>
      <c r="R504">
        <v>0</v>
      </c>
      <c r="S504">
        <v>0.9129032258064516</v>
      </c>
      <c r="T504">
        <v>66</v>
      </c>
      <c r="U504">
        <v>0.5531818181818181</v>
      </c>
      <c r="V504">
        <v>5.519600000000001</v>
      </c>
      <c r="W504">
        <v>3.1</v>
      </c>
      <c r="X504">
        <v>2.83</v>
      </c>
      <c r="Y504">
        <v>-0.5878</v>
      </c>
      <c r="Z504">
        <v>0.7559322033898305</v>
      </c>
      <c r="AA504">
        <v>0.09618573797678275</v>
      </c>
      <c r="AB504">
        <v>0.2706953642384106</v>
      </c>
      <c r="AC504">
        <v>0.8973509933774834</v>
      </c>
      <c r="AD504">
        <v>0.7897350993377483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29.9</v>
      </c>
      <c r="D505">
        <v>1606.7064</v>
      </c>
      <c r="E505" t="s">
        <v>641</v>
      </c>
      <c r="F505" t="s">
        <v>613</v>
      </c>
      <c r="G505" t="s">
        <v>653</v>
      </c>
      <c r="H505" t="s">
        <v>682</v>
      </c>
      <c r="I505" t="s">
        <v>1184</v>
      </c>
      <c r="J505" t="s">
        <v>1278</v>
      </c>
      <c r="K505">
        <v>43958</v>
      </c>
      <c r="L505">
        <v>0.074247491638796</v>
      </c>
      <c r="M505">
        <v>0.05993140603614999</v>
      </c>
      <c r="N505">
        <v>0.05</v>
      </c>
      <c r="O505">
        <v>0.161238505708982</v>
      </c>
      <c r="P505" t="s">
        <v>516</v>
      </c>
      <c r="Q505" t="s">
        <v>316</v>
      </c>
      <c r="R505">
        <v>15</v>
      </c>
      <c r="S505">
        <v>9.99</v>
      </c>
      <c r="T505">
        <v>40</v>
      </c>
      <c r="U505">
        <v>0.7474999999999999</v>
      </c>
      <c r="V505">
        <v>-3.4422</v>
      </c>
      <c r="W505">
        <v>-1.5</v>
      </c>
      <c r="X505">
        <v>2.22</v>
      </c>
      <c r="Y505">
        <v>-0.4997</v>
      </c>
      <c r="Z505">
        <v>0.7372881355932204</v>
      </c>
      <c r="AA505">
        <v>0.1608623548922056</v>
      </c>
      <c r="AB505">
        <v>0.4991721854304636</v>
      </c>
      <c r="AC505">
        <v>0.7086092715231789</v>
      </c>
      <c r="AD505">
        <v>0.7814569536423841</v>
      </c>
    </row>
    <row r="506" spans="1:30">
      <c r="A506" s="1" t="s">
        <v>513</v>
      </c>
      <c r="B506">
        <f>HYPERLINK("https://www.suredividend.com/sure-analysis-HAL/","Halliburton Co.")</f>
        <v>0</v>
      </c>
      <c r="C506">
        <v>9.82</v>
      </c>
      <c r="D506">
        <v>8614.86996</v>
      </c>
      <c r="E506" t="s">
        <v>644</v>
      </c>
      <c r="F506" t="s">
        <v>613</v>
      </c>
      <c r="G506" t="s">
        <v>653</v>
      </c>
      <c r="H506" t="s">
        <v>682</v>
      </c>
      <c r="I506" t="s">
        <v>1185</v>
      </c>
      <c r="J506" t="s">
        <v>1284</v>
      </c>
      <c r="K506">
        <v>43942</v>
      </c>
      <c r="L506">
        <v>0.07331975560081401</v>
      </c>
      <c r="M506">
        <v>-0.03075502154749088</v>
      </c>
      <c r="N506">
        <v>0.149</v>
      </c>
      <c r="O506">
        <v>0.1577043189909473</v>
      </c>
      <c r="P506" t="s">
        <v>516</v>
      </c>
      <c r="Q506" t="s">
        <v>316</v>
      </c>
      <c r="R506">
        <v>0</v>
      </c>
      <c r="S506">
        <v>9.99</v>
      </c>
      <c r="T506">
        <v>8.4</v>
      </c>
      <c r="U506">
        <v>1.169047619047619</v>
      </c>
      <c r="V506">
        <v>-2.6184</v>
      </c>
      <c r="W506">
        <v>-0.1</v>
      </c>
      <c r="X506">
        <v>0.72</v>
      </c>
      <c r="Y506">
        <v>-0.6163000000000001</v>
      </c>
      <c r="Z506">
        <v>0.7322033898305085</v>
      </c>
      <c r="AA506">
        <v>0.07628524046434494</v>
      </c>
      <c r="AB506">
        <v>0.9586092715231789</v>
      </c>
      <c r="AC506">
        <v>0.2731788079470199</v>
      </c>
      <c r="AD506">
        <v>0.7632450331125828</v>
      </c>
    </row>
    <row r="507" spans="1:30">
      <c r="A507" s="1" t="s">
        <v>514</v>
      </c>
      <c r="B507">
        <f>HYPERLINK("https://www.suredividend.com/sure-analysis-AM/","Antero Midstream Corp.")</f>
        <v>0</v>
      </c>
      <c r="C507">
        <v>3.61</v>
      </c>
      <c r="D507">
        <v>1720.15056</v>
      </c>
      <c r="E507" t="s">
        <v>646</v>
      </c>
      <c r="F507" t="s">
        <v>613</v>
      </c>
      <c r="G507" t="s">
        <v>653</v>
      </c>
      <c r="H507" t="s">
        <v>682</v>
      </c>
      <c r="I507" t="s">
        <v>1186</v>
      </c>
      <c r="J507" t="s">
        <v>1284</v>
      </c>
      <c r="K507">
        <v>43915</v>
      </c>
      <c r="L507">
        <v>0.340720221606648</v>
      </c>
      <c r="M507">
        <v>-0.02079137122862251</v>
      </c>
      <c r="N507">
        <v>0.067</v>
      </c>
      <c r="O507">
        <v>0.1573107303331478</v>
      </c>
      <c r="P507" t="s">
        <v>516</v>
      </c>
      <c r="Q507" t="s">
        <v>618</v>
      </c>
      <c r="R507">
        <v>3</v>
      </c>
      <c r="S507">
        <v>1.892307692307692</v>
      </c>
      <c r="T507">
        <v>3.25</v>
      </c>
      <c r="U507">
        <v>1.110769230769231</v>
      </c>
      <c r="V507">
        <v>-1.5385</v>
      </c>
      <c r="W507">
        <v>0.65</v>
      </c>
      <c r="X507">
        <v>1.23</v>
      </c>
      <c r="Y507">
        <v>-0.7294</v>
      </c>
      <c r="Z507">
        <v>0.9932203389830508</v>
      </c>
      <c r="AA507">
        <v>0.02819237147595357</v>
      </c>
      <c r="AB507">
        <v>0.6903973509933775</v>
      </c>
      <c r="AC507">
        <v>0.3278145695364238</v>
      </c>
      <c r="AD507">
        <v>0.7615894039735099</v>
      </c>
    </row>
    <row r="508" spans="1:30">
      <c r="A508" s="1" t="s">
        <v>515</v>
      </c>
      <c r="B508">
        <f>HYPERLINK("https://www.suredividend.com/sure-analysis-HFC/","HollyFrontier Corp.")</f>
        <v>0</v>
      </c>
      <c r="C508">
        <v>26.87</v>
      </c>
      <c r="D508">
        <v>4349.87682</v>
      </c>
      <c r="E508" t="s">
        <v>644</v>
      </c>
      <c r="F508" t="s">
        <v>613</v>
      </c>
      <c r="G508" t="s">
        <v>653</v>
      </c>
      <c r="H508" t="s">
        <v>682</v>
      </c>
      <c r="I508" t="s">
        <v>1073</v>
      </c>
      <c r="J508" t="s">
        <v>1284</v>
      </c>
      <c r="K508">
        <v>43959</v>
      </c>
      <c r="L508">
        <v>0.05061406773353101</v>
      </c>
      <c r="M508">
        <v>0.07735638065911576</v>
      </c>
      <c r="N508">
        <v>0.04</v>
      </c>
      <c r="O508">
        <v>0.1535871916463862</v>
      </c>
      <c r="P508" t="s">
        <v>516</v>
      </c>
      <c r="Q508" t="s">
        <v>316</v>
      </c>
      <c r="R508">
        <v>2</v>
      </c>
      <c r="S508">
        <v>1.236363636363636</v>
      </c>
      <c r="T508">
        <v>39</v>
      </c>
      <c r="U508">
        <v>0.688974358974359</v>
      </c>
      <c r="V508">
        <v>1.2519</v>
      </c>
      <c r="W508">
        <v>1.1</v>
      </c>
      <c r="X508">
        <v>1.36</v>
      </c>
      <c r="Y508">
        <v>-0.3853</v>
      </c>
      <c r="Z508">
        <v>0.5796610169491525</v>
      </c>
      <c r="AA508">
        <v>0.2819237147595356</v>
      </c>
      <c r="AB508">
        <v>0.3493377483443709</v>
      </c>
      <c r="AC508">
        <v>0.7913907284768211</v>
      </c>
      <c r="AD508">
        <v>0.7466887417218543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4.9</v>
      </c>
      <c r="D509">
        <v>19488.231</v>
      </c>
      <c r="E509" t="s">
        <v>649</v>
      </c>
      <c r="F509" t="s">
        <v>613</v>
      </c>
      <c r="G509" t="s">
        <v>653</v>
      </c>
      <c r="H509" t="s">
        <v>682</v>
      </c>
      <c r="I509" t="s">
        <v>1187</v>
      </c>
      <c r="J509" t="s">
        <v>1279</v>
      </c>
      <c r="K509">
        <v>43950</v>
      </c>
      <c r="L509">
        <v>0.122448979591836</v>
      </c>
      <c r="M509">
        <v>0.09460878422315755</v>
      </c>
      <c r="N509">
        <v>0.02</v>
      </c>
      <c r="O509">
        <v>0.1499013139937848</v>
      </c>
      <c r="P509" t="s">
        <v>516</v>
      </c>
      <c r="Q509" t="s">
        <v>316</v>
      </c>
      <c r="R509">
        <v>0</v>
      </c>
      <c r="S509">
        <v>9.99</v>
      </c>
      <c r="T509">
        <v>7.7</v>
      </c>
      <c r="U509">
        <v>0.6363636363636364</v>
      </c>
      <c r="V509">
        <v>-0.7636000000000001</v>
      </c>
      <c r="W509">
        <v>-0.5</v>
      </c>
      <c r="X509">
        <v>0.6000000000000001</v>
      </c>
      <c r="Y509">
        <v>-0.527</v>
      </c>
      <c r="Z509">
        <v>0.8830508474576271</v>
      </c>
      <c r="AA509">
        <v>0.1293532338308458</v>
      </c>
      <c r="AB509">
        <v>0.1274834437086093</v>
      </c>
      <c r="AC509">
        <v>0.8460264900662251</v>
      </c>
      <c r="AD509">
        <v>0.7251655629139073</v>
      </c>
    </row>
    <row r="510" spans="1:30">
      <c r="A510" s="1" t="s">
        <v>517</v>
      </c>
      <c r="B510">
        <f>HYPERLINK("https://www.suredividend.com/sure-analysis-INN/","Summit Hotel Properties, Inc.")</f>
        <v>0</v>
      </c>
      <c r="C510">
        <v>4.67</v>
      </c>
      <c r="D510">
        <v>491.16258</v>
      </c>
      <c r="E510" t="s">
        <v>646</v>
      </c>
      <c r="F510" t="s">
        <v>614</v>
      </c>
      <c r="G510" t="s">
        <v>653</v>
      </c>
      <c r="H510" t="s">
        <v>682</v>
      </c>
      <c r="I510" t="s">
        <v>1188</v>
      </c>
      <c r="J510" t="s">
        <v>1281</v>
      </c>
      <c r="K510">
        <v>43913</v>
      </c>
      <c r="L510">
        <v>0.154175588865096</v>
      </c>
      <c r="M510">
        <v>-0.4224881834293636</v>
      </c>
      <c r="N510">
        <v>0.904</v>
      </c>
      <c r="O510">
        <v>0.1461872395904185</v>
      </c>
      <c r="P510" t="s">
        <v>516</v>
      </c>
      <c r="Q510" t="s">
        <v>316</v>
      </c>
      <c r="R510">
        <v>0</v>
      </c>
      <c r="S510">
        <v>14.4</v>
      </c>
      <c r="T510">
        <v>0.3</v>
      </c>
      <c r="U510">
        <v>15.56666666666667</v>
      </c>
      <c r="W510">
        <v>0.05</v>
      </c>
      <c r="X510">
        <v>0.72</v>
      </c>
      <c r="Y510">
        <v>-0.6264000000000001</v>
      </c>
      <c r="Z510">
        <v>0.9186440677966101</v>
      </c>
      <c r="AA510">
        <v>0.07131011608623548</v>
      </c>
      <c r="AB510">
        <v>1</v>
      </c>
      <c r="AC510">
        <v>0.001655629139072848</v>
      </c>
      <c r="AD510">
        <v>0.7119205298013245</v>
      </c>
    </row>
    <row r="511" spans="1:30">
      <c r="A511" s="1" t="s">
        <v>518</v>
      </c>
      <c r="B511">
        <f>HYPERLINK("https://www.suredividend.com/sure-analysis-GLAD/","Gladstone Capital Corp.")</f>
        <v>0</v>
      </c>
      <c r="C511">
        <v>6.24</v>
      </c>
      <c r="D511">
        <v>194.641824</v>
      </c>
      <c r="E511" t="s">
        <v>649</v>
      </c>
      <c r="F511" t="s">
        <v>613</v>
      </c>
      <c r="G511" t="s">
        <v>653</v>
      </c>
      <c r="H511" t="s">
        <v>683</v>
      </c>
      <c r="I511" t="s">
        <v>1189</v>
      </c>
      <c r="J511" t="s">
        <v>1277</v>
      </c>
      <c r="K511">
        <v>43960</v>
      </c>
      <c r="L511">
        <v>0.133814102564102</v>
      </c>
      <c r="M511">
        <v>0.0509476404473832</v>
      </c>
      <c r="N511">
        <v>0.01</v>
      </c>
      <c r="O511">
        <v>0.145515966755067</v>
      </c>
      <c r="P511" t="s">
        <v>516</v>
      </c>
      <c r="Q511" t="s">
        <v>375</v>
      </c>
      <c r="R511">
        <v>0</v>
      </c>
      <c r="S511">
        <v>1.04375</v>
      </c>
      <c r="T511">
        <v>8</v>
      </c>
      <c r="U511">
        <v>0.78</v>
      </c>
      <c r="V511">
        <v>-0.391</v>
      </c>
      <c r="W511">
        <v>0.8</v>
      </c>
      <c r="X511">
        <v>0.835</v>
      </c>
      <c r="Y511">
        <v>-0.3376</v>
      </c>
      <c r="Z511">
        <v>0.8983050847457628</v>
      </c>
      <c r="AA511">
        <v>0.3366500829187397</v>
      </c>
      <c r="AB511">
        <v>0.05960264900662252</v>
      </c>
      <c r="AC511">
        <v>0.6754966887417219</v>
      </c>
      <c r="AD511">
        <v>0.7052980132450331</v>
      </c>
    </row>
    <row r="512" spans="1:30">
      <c r="A512" s="1" t="s">
        <v>519</v>
      </c>
      <c r="B512">
        <f>HYPERLINK("https://www.suredividend.com/sure-analysis-XOM/","Exxon Mobil Corp.")</f>
        <v>0</v>
      </c>
      <c r="C512">
        <v>42</v>
      </c>
      <c r="D512">
        <v>177584.82</v>
      </c>
      <c r="E512" t="s">
        <v>644</v>
      </c>
      <c r="F512" t="s">
        <v>613</v>
      </c>
      <c r="G512" t="s">
        <v>653</v>
      </c>
      <c r="H512" t="s">
        <v>682</v>
      </c>
      <c r="I512" t="s">
        <v>1190</v>
      </c>
      <c r="J512" t="s">
        <v>1284</v>
      </c>
      <c r="K512">
        <v>43958</v>
      </c>
      <c r="L512">
        <v>0.082857142857142</v>
      </c>
      <c r="M512">
        <v>0</v>
      </c>
      <c r="N512">
        <v>0.09</v>
      </c>
      <c r="O512">
        <v>0.144728722342905</v>
      </c>
      <c r="P512" t="s">
        <v>516</v>
      </c>
      <c r="Q512" t="s">
        <v>316</v>
      </c>
      <c r="R512">
        <v>37</v>
      </c>
      <c r="S512">
        <v>9.99</v>
      </c>
      <c r="T512">
        <v>42</v>
      </c>
      <c r="U512">
        <v>1</v>
      </c>
      <c r="V512">
        <v>2.6622</v>
      </c>
      <c r="W512">
        <v>-0.4</v>
      </c>
      <c r="X512">
        <v>3.48</v>
      </c>
      <c r="Y512">
        <v>-0.45</v>
      </c>
      <c r="Z512">
        <v>0.7915254237288135</v>
      </c>
      <c r="AA512">
        <v>0.2155887230514096</v>
      </c>
      <c r="AB512">
        <v>0.8600993377483444</v>
      </c>
      <c r="AC512">
        <v>0.4238410596026491</v>
      </c>
      <c r="AD512">
        <v>0.7003311258278145</v>
      </c>
    </row>
    <row r="513" spans="1:30">
      <c r="A513" s="1" t="s">
        <v>520</v>
      </c>
      <c r="B513">
        <f>HYPERLINK("https://www.suredividend.com/sure-analysis-APLE/","Apple Hospitality REIT, Inc.")</f>
        <v>0</v>
      </c>
      <c r="C513">
        <v>8.16</v>
      </c>
      <c r="D513">
        <v>1822.26672</v>
      </c>
      <c r="E513" t="s">
        <v>646</v>
      </c>
      <c r="F513" t="s">
        <v>614</v>
      </c>
      <c r="G513" t="s">
        <v>653</v>
      </c>
      <c r="H513" t="s">
        <v>682</v>
      </c>
      <c r="I513" t="s">
        <v>1191</v>
      </c>
      <c r="J513" t="s">
        <v>1281</v>
      </c>
      <c r="K513">
        <v>43929</v>
      </c>
      <c r="L513">
        <v>0.147058823529411</v>
      </c>
      <c r="M513">
        <v>0.05668042233556547</v>
      </c>
      <c r="N513">
        <v>0.039</v>
      </c>
      <c r="O513">
        <v>0.1418403960755572</v>
      </c>
      <c r="P513" t="s">
        <v>516</v>
      </c>
      <c r="Q513" t="s">
        <v>316</v>
      </c>
      <c r="R513">
        <v>0</v>
      </c>
      <c r="S513">
        <v>120</v>
      </c>
      <c r="T513">
        <v>10.75</v>
      </c>
      <c r="U513">
        <v>0.7590697674418605</v>
      </c>
      <c r="V513">
        <v>0.7678</v>
      </c>
      <c r="W513">
        <v>0.01</v>
      </c>
      <c r="X513">
        <v>1.2</v>
      </c>
      <c r="Y513">
        <v>-0.509</v>
      </c>
      <c r="Z513">
        <v>0.9067796610169492</v>
      </c>
      <c r="AA513">
        <v>0.1492537313432836</v>
      </c>
      <c r="AB513">
        <v>0.2897350993377483</v>
      </c>
      <c r="AC513">
        <v>0.695364238410596</v>
      </c>
      <c r="AD513">
        <v>0.6887417218543047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9.02</v>
      </c>
      <c r="D514">
        <v>229.81156</v>
      </c>
      <c r="E514" t="s">
        <v>646</v>
      </c>
      <c r="F514" t="s">
        <v>615</v>
      </c>
      <c r="G514" t="s">
        <v>653</v>
      </c>
      <c r="H514" t="s">
        <v>683</v>
      </c>
      <c r="I514" t="s">
        <v>1192</v>
      </c>
      <c r="J514" t="s">
        <v>1281</v>
      </c>
      <c r="K514">
        <v>43922</v>
      </c>
      <c r="L514">
        <v>0.162971175166297</v>
      </c>
      <c r="M514">
        <v>0.04048836820440749</v>
      </c>
      <c r="N514">
        <v>0.025</v>
      </c>
      <c r="O514">
        <v>0.1410254431322679</v>
      </c>
      <c r="P514" t="s">
        <v>516</v>
      </c>
      <c r="Q514" t="s">
        <v>375</v>
      </c>
      <c r="R514">
        <v>0</v>
      </c>
      <c r="S514">
        <v>1.47</v>
      </c>
      <c r="T514">
        <v>11</v>
      </c>
      <c r="U514">
        <v>0.82</v>
      </c>
      <c r="V514">
        <v>-0.0002</v>
      </c>
      <c r="W514">
        <v>1</v>
      </c>
      <c r="X514">
        <v>1.47</v>
      </c>
      <c r="Y514">
        <v>-0.4341</v>
      </c>
      <c r="Z514">
        <v>0.9322033898305085</v>
      </c>
      <c r="AA514">
        <v>0.230514096185738</v>
      </c>
      <c r="AB514">
        <v>0.1647350993377484</v>
      </c>
      <c r="AC514">
        <v>0.6374172185430463</v>
      </c>
      <c r="AD514">
        <v>0.6837748344370861</v>
      </c>
    </row>
    <row r="515" spans="1:30">
      <c r="A515" s="1" t="s">
        <v>522</v>
      </c>
      <c r="B515">
        <f>HYPERLINK("https://www.suredividend.com/sure-analysis-ARI/","Apollo Commercial Real Estate Finance, Inc.")</f>
        <v>0</v>
      </c>
      <c r="C515">
        <v>7.02</v>
      </c>
      <c r="D515">
        <v>1079.83746</v>
      </c>
      <c r="E515" t="s">
        <v>646</v>
      </c>
      <c r="F515" t="s">
        <v>614</v>
      </c>
      <c r="G515" t="s">
        <v>653</v>
      </c>
      <c r="H515" t="s">
        <v>682</v>
      </c>
      <c r="I515" t="s">
        <v>1193</v>
      </c>
      <c r="J515" t="s">
        <v>1281</v>
      </c>
      <c r="K515">
        <v>43915</v>
      </c>
      <c r="L515">
        <v>0.253561253561253</v>
      </c>
      <c r="M515">
        <v>-0.00057045102738984</v>
      </c>
      <c r="N515">
        <v>0.037</v>
      </c>
      <c r="O515">
        <v>0.140456020275834</v>
      </c>
      <c r="P515" t="s">
        <v>516</v>
      </c>
      <c r="Q515" t="s">
        <v>375</v>
      </c>
      <c r="R515">
        <v>0</v>
      </c>
      <c r="S515">
        <v>1.78</v>
      </c>
      <c r="T515">
        <v>7</v>
      </c>
      <c r="U515">
        <v>1.002857142857143</v>
      </c>
      <c r="V515">
        <v>0.1243</v>
      </c>
      <c r="W515">
        <v>1</v>
      </c>
      <c r="X515">
        <v>1.78</v>
      </c>
      <c r="Y515">
        <v>-0.6238</v>
      </c>
      <c r="Z515">
        <v>0.9779661016949153</v>
      </c>
      <c r="AA515">
        <v>0.07296849087893864</v>
      </c>
      <c r="AB515">
        <v>0.2855960264900662</v>
      </c>
      <c r="AC515">
        <v>0.4221854304635762</v>
      </c>
      <c r="AD515">
        <v>0.6804635761589404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108.59</v>
      </c>
      <c r="D516">
        <v>48482.72025</v>
      </c>
      <c r="E516" t="s">
        <v>644</v>
      </c>
      <c r="F516" t="s">
        <v>613</v>
      </c>
      <c r="G516" t="s">
        <v>675</v>
      </c>
      <c r="H516" t="s">
        <v>682</v>
      </c>
      <c r="I516" t="s">
        <v>1194</v>
      </c>
      <c r="J516" t="s">
        <v>1284</v>
      </c>
      <c r="K516">
        <v>43917</v>
      </c>
      <c r="L516">
        <v>0.08259480615157901</v>
      </c>
      <c r="M516">
        <v>-0.1303974885548499</v>
      </c>
      <c r="N516">
        <v>0.25</v>
      </c>
      <c r="O516">
        <v>0.1387019517781491</v>
      </c>
      <c r="P516" t="s">
        <v>516</v>
      </c>
      <c r="Q516" t="s">
        <v>316</v>
      </c>
      <c r="R516">
        <v>3</v>
      </c>
      <c r="S516">
        <v>1.494828333333333</v>
      </c>
      <c r="T516">
        <v>54</v>
      </c>
      <c r="U516">
        <v>2.010925925925926</v>
      </c>
      <c r="V516">
        <v>19.7958</v>
      </c>
      <c r="W516">
        <v>6</v>
      </c>
      <c r="X516">
        <v>8.968970000000001</v>
      </c>
      <c r="Y516">
        <v>-0.3656</v>
      </c>
      <c r="Z516">
        <v>0.7898305084745764</v>
      </c>
      <c r="AA516">
        <v>0.3067993366500829</v>
      </c>
      <c r="AB516">
        <v>0.9900662251655629</v>
      </c>
      <c r="AC516">
        <v>0.03476821192052981</v>
      </c>
      <c r="AD516">
        <v>0.6771523178807947</v>
      </c>
    </row>
    <row r="517" spans="1:30">
      <c r="A517" s="1" t="s">
        <v>524</v>
      </c>
      <c r="B517">
        <f>HYPERLINK("https://www.suredividend.com/sure-analysis-LVS/","Las Vegas Sands Corp.")</f>
        <v>0</v>
      </c>
      <c r="C517">
        <v>44.76</v>
      </c>
      <c r="D517">
        <v>34184.5548</v>
      </c>
      <c r="E517" t="s">
        <v>643</v>
      </c>
      <c r="F517" t="s">
        <v>613</v>
      </c>
      <c r="G517" t="s">
        <v>653</v>
      </c>
      <c r="H517" t="s">
        <v>682</v>
      </c>
      <c r="I517" t="s">
        <v>1195</v>
      </c>
      <c r="J517" t="s">
        <v>1279</v>
      </c>
      <c r="K517">
        <v>43946</v>
      </c>
      <c r="L517">
        <v>0.06925826630920401</v>
      </c>
      <c r="M517">
        <v>0.0458263740347864</v>
      </c>
      <c r="N517">
        <v>0.04</v>
      </c>
      <c r="O517">
        <v>0.1379333046235989</v>
      </c>
      <c r="P517" t="s">
        <v>516</v>
      </c>
      <c r="Q517" t="s">
        <v>316</v>
      </c>
      <c r="R517">
        <v>7</v>
      </c>
      <c r="S517">
        <v>3.875</v>
      </c>
      <c r="T517">
        <v>56</v>
      </c>
      <c r="U517">
        <v>0.7992857142857143</v>
      </c>
      <c r="V517">
        <v>2.7476</v>
      </c>
      <c r="W517">
        <v>0.8</v>
      </c>
      <c r="X517">
        <v>3.1</v>
      </c>
      <c r="Y517">
        <v>-0.289</v>
      </c>
      <c r="Z517">
        <v>0.7033898305084746</v>
      </c>
      <c r="AA517">
        <v>0.4079601990049751</v>
      </c>
      <c r="AB517">
        <v>0.3493377483443709</v>
      </c>
      <c r="AC517">
        <v>0.6523178807947019</v>
      </c>
      <c r="AD517">
        <v>0.6721854304635762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6.47</v>
      </c>
      <c r="D518">
        <v>228.451818</v>
      </c>
      <c r="E518" t="s">
        <v>644</v>
      </c>
      <c r="F518" t="s">
        <v>613</v>
      </c>
      <c r="G518" t="s">
        <v>653</v>
      </c>
      <c r="H518" t="s">
        <v>683</v>
      </c>
      <c r="I518" t="s">
        <v>1196</v>
      </c>
      <c r="J518" t="s">
        <v>1287</v>
      </c>
      <c r="K518">
        <v>43896</v>
      </c>
      <c r="L518">
        <v>0.112055641421947</v>
      </c>
      <c r="M518">
        <v>-0.1368396496341957</v>
      </c>
      <c r="N518">
        <v>0.229</v>
      </c>
      <c r="O518">
        <v>0.1378799582393551</v>
      </c>
      <c r="P518" t="s">
        <v>516</v>
      </c>
      <c r="Q518" t="s">
        <v>375</v>
      </c>
      <c r="R518">
        <v>0</v>
      </c>
      <c r="S518">
        <v>2.9</v>
      </c>
      <c r="T518">
        <v>3.1</v>
      </c>
      <c r="U518">
        <v>2.087096774193548</v>
      </c>
      <c r="V518">
        <v>0.3127</v>
      </c>
      <c r="W518">
        <v>0.25</v>
      </c>
      <c r="X518">
        <v>0.725</v>
      </c>
      <c r="Y518">
        <v>-0.3484</v>
      </c>
      <c r="Z518">
        <v>0.8576271186440678</v>
      </c>
      <c r="AA518">
        <v>0.3233830845771144</v>
      </c>
      <c r="AB518">
        <v>0.9867549668874172</v>
      </c>
      <c r="AC518">
        <v>0.03145695364238411</v>
      </c>
      <c r="AD518">
        <v>0.6705298013245033</v>
      </c>
    </row>
    <row r="519" spans="1:30">
      <c r="A519" s="1" t="s">
        <v>526</v>
      </c>
      <c r="B519">
        <f>HYPERLINK("https://www.suredividend.com/sure-analysis-PSEC/","Prospect Capital Corp.")</f>
        <v>0</v>
      </c>
      <c r="C519">
        <v>4.41</v>
      </c>
      <c r="D519">
        <v>1628.85996</v>
      </c>
      <c r="E519" t="s">
        <v>649</v>
      </c>
      <c r="F519" t="s">
        <v>616</v>
      </c>
      <c r="G519" t="s">
        <v>653</v>
      </c>
      <c r="H519" t="s">
        <v>683</v>
      </c>
      <c r="I519" t="s">
        <v>1197</v>
      </c>
      <c r="J519" t="s">
        <v>1277</v>
      </c>
      <c r="K519">
        <v>43963</v>
      </c>
      <c r="L519">
        <v>0.163265306122448</v>
      </c>
      <c r="M519">
        <v>0.01709268203414238</v>
      </c>
      <c r="N519">
        <v>0</v>
      </c>
      <c r="O519">
        <v>0.137543830351883</v>
      </c>
      <c r="P519" t="s">
        <v>516</v>
      </c>
      <c r="Q519" t="s">
        <v>618</v>
      </c>
      <c r="R519">
        <v>0</v>
      </c>
      <c r="S519">
        <v>1.058823529411764</v>
      </c>
      <c r="T519">
        <v>4.8</v>
      </c>
      <c r="U519">
        <v>0.9187500000000001</v>
      </c>
      <c r="V519">
        <v>0.3679</v>
      </c>
      <c r="W519">
        <v>0.68</v>
      </c>
      <c r="X519">
        <v>0.72</v>
      </c>
      <c r="Y519">
        <v>-0.3486</v>
      </c>
      <c r="Z519">
        <v>0.9338983050847457</v>
      </c>
      <c r="AA519">
        <v>0.3217247097844113</v>
      </c>
      <c r="AB519">
        <v>0.02980132450331126</v>
      </c>
      <c r="AC519">
        <v>0.5231788079470199</v>
      </c>
      <c r="AD519">
        <v>0.6680463576158941</v>
      </c>
    </row>
    <row r="520" spans="1:30">
      <c r="A520" s="1" t="s">
        <v>527</v>
      </c>
      <c r="B520">
        <f>HYPERLINK("https://www.suredividend.com/sure-analysis-RRD/","R.R. Donnelley &amp; Sons Co.")</f>
        <v>0</v>
      </c>
      <c r="C520">
        <v>1.05</v>
      </c>
      <c r="D520">
        <v>74.86499999999999</v>
      </c>
      <c r="E520" t="s">
        <v>641</v>
      </c>
      <c r="F520" t="s">
        <v>613</v>
      </c>
      <c r="G520" t="s">
        <v>653</v>
      </c>
      <c r="H520" t="s">
        <v>682</v>
      </c>
      <c r="I520" t="s">
        <v>1198</v>
      </c>
      <c r="J520" t="s">
        <v>1278</v>
      </c>
      <c r="K520">
        <v>43958</v>
      </c>
      <c r="L520">
        <v>0.08571428571428501</v>
      </c>
      <c r="M520">
        <v>0.137543830351883</v>
      </c>
      <c r="N520">
        <v>0</v>
      </c>
      <c r="O520">
        <v>0.137543830351883</v>
      </c>
      <c r="P520" t="s">
        <v>516</v>
      </c>
      <c r="Q520" t="s">
        <v>316</v>
      </c>
      <c r="R520">
        <v>0</v>
      </c>
      <c r="S520">
        <v>9.99</v>
      </c>
      <c r="T520">
        <v>2</v>
      </c>
      <c r="U520">
        <v>0.525</v>
      </c>
      <c r="V520">
        <v>-1.362</v>
      </c>
      <c r="W520">
        <v>-1</v>
      </c>
      <c r="X520">
        <v>0.09</v>
      </c>
      <c r="Y520">
        <v>-0.6453</v>
      </c>
      <c r="Z520">
        <v>0.8033898305084746</v>
      </c>
      <c r="AA520">
        <v>0.06467661691542288</v>
      </c>
      <c r="AB520">
        <v>0.02980132450331126</v>
      </c>
      <c r="AC520">
        <v>0.9172185430463575</v>
      </c>
      <c r="AD520">
        <v>0.6680463576158941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17.65</v>
      </c>
      <c r="D521">
        <v>32197.611364</v>
      </c>
      <c r="E521" t="s">
        <v>644</v>
      </c>
      <c r="F521" t="s">
        <v>613</v>
      </c>
      <c r="G521" t="s">
        <v>656</v>
      </c>
      <c r="H521" t="s">
        <v>684</v>
      </c>
      <c r="I521" t="s">
        <v>1199</v>
      </c>
      <c r="J521" t="s">
        <v>1279</v>
      </c>
      <c r="K521">
        <v>43916</v>
      </c>
      <c r="L521">
        <v>0.073694050991501</v>
      </c>
      <c r="M521">
        <v>-0.1463712070275484</v>
      </c>
      <c r="N521">
        <v>0.285</v>
      </c>
      <c r="O521">
        <v>0.1343929530267782</v>
      </c>
      <c r="P521" t="s">
        <v>516</v>
      </c>
      <c r="Q521" t="s">
        <v>316</v>
      </c>
      <c r="R521">
        <v>0</v>
      </c>
      <c r="S521">
        <v>1.3007</v>
      </c>
      <c r="T521">
        <v>8</v>
      </c>
      <c r="U521">
        <v>2.20625</v>
      </c>
      <c r="V521">
        <v>2.7513</v>
      </c>
      <c r="W521">
        <v>1</v>
      </c>
      <c r="X521">
        <v>1.3007</v>
      </c>
      <c r="Y521">
        <v>-0.3253</v>
      </c>
      <c r="Z521">
        <v>0.7355932203389831</v>
      </c>
      <c r="AA521">
        <v>0.3482587064676617</v>
      </c>
      <c r="AB521">
        <v>0.9917218543046357</v>
      </c>
      <c r="AC521">
        <v>0.02649006622516557</v>
      </c>
      <c r="AD521">
        <v>0.6539735099337749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14.29</v>
      </c>
      <c r="D522">
        <v>10489.96033</v>
      </c>
      <c r="E522" t="s">
        <v>644</v>
      </c>
      <c r="F522" t="s">
        <v>613</v>
      </c>
      <c r="G522" t="s">
        <v>659</v>
      </c>
      <c r="H522" t="s">
        <v>685</v>
      </c>
      <c r="I522" t="s">
        <v>1200</v>
      </c>
      <c r="J522" t="s">
        <v>1284</v>
      </c>
      <c r="K522">
        <v>43965</v>
      </c>
      <c r="L522">
        <v>0.04627366920920301</v>
      </c>
      <c r="M522">
        <v>0.06954621065177657</v>
      </c>
      <c r="N522">
        <v>0.03</v>
      </c>
      <c r="O522">
        <v>0.1329993625974784</v>
      </c>
      <c r="P522" t="s">
        <v>516</v>
      </c>
      <c r="Q522" t="s">
        <v>516</v>
      </c>
      <c r="R522">
        <v>4</v>
      </c>
      <c r="S522">
        <v>9.99</v>
      </c>
      <c r="T522">
        <v>20</v>
      </c>
      <c r="U522">
        <v>0.7144999999999999</v>
      </c>
      <c r="V522">
        <v>1.6877</v>
      </c>
      <c r="W522">
        <v>-1.3</v>
      </c>
      <c r="X522">
        <v>0.6612507329995231</v>
      </c>
      <c r="Y522">
        <v>-0.492</v>
      </c>
      <c r="Z522">
        <v>0.5440677966101695</v>
      </c>
      <c r="AA522">
        <v>0.1708126036484245</v>
      </c>
      <c r="AB522">
        <v>0.2144039735099338</v>
      </c>
      <c r="AC522">
        <v>0.75</v>
      </c>
      <c r="AD522">
        <v>0.6490066225165563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13.76</v>
      </c>
      <c r="D523">
        <v>14206.688733</v>
      </c>
      <c r="E523" t="s">
        <v>644</v>
      </c>
      <c r="F523" t="s">
        <v>613</v>
      </c>
      <c r="G523" t="s">
        <v>653</v>
      </c>
      <c r="H523" t="s">
        <v>682</v>
      </c>
      <c r="I523" t="s">
        <v>1201</v>
      </c>
      <c r="J523" t="s">
        <v>1284</v>
      </c>
      <c r="K523">
        <v>43962</v>
      </c>
      <c r="L523">
        <v>0.05232558139534801</v>
      </c>
      <c r="M523">
        <v>-0.01129897662544732</v>
      </c>
      <c r="N523">
        <v>0.11</v>
      </c>
      <c r="O523">
        <v>0.1313681630062002</v>
      </c>
      <c r="P523" t="s">
        <v>516</v>
      </c>
      <c r="Q523" t="s">
        <v>516</v>
      </c>
      <c r="R523">
        <v>0</v>
      </c>
      <c r="S523">
        <v>3.6</v>
      </c>
      <c r="T523">
        <v>13</v>
      </c>
      <c r="U523">
        <v>1.058461538461538</v>
      </c>
      <c r="V523">
        <v>-15.4757</v>
      </c>
      <c r="W523">
        <v>0.2</v>
      </c>
      <c r="X523">
        <v>0.72</v>
      </c>
      <c r="Y523">
        <v>-0.3949</v>
      </c>
      <c r="Z523">
        <v>0.6</v>
      </c>
      <c r="AA523">
        <v>0.2703150912106136</v>
      </c>
      <c r="AB523">
        <v>0.9180463576158941</v>
      </c>
      <c r="AC523">
        <v>0.380794701986755</v>
      </c>
      <c r="AD523">
        <v>0.6374172185430463</v>
      </c>
    </row>
    <row r="524" spans="1:30">
      <c r="A524" s="1" t="s">
        <v>531</v>
      </c>
      <c r="B524">
        <f>HYPERLINK("https://www.suredividend.com/sure-analysis-BA/","The Boeing Co.")</f>
        <v>0</v>
      </c>
      <c r="C524">
        <v>120</v>
      </c>
      <c r="D524">
        <v>67719</v>
      </c>
      <c r="E524" t="s">
        <v>642</v>
      </c>
      <c r="F524" t="s">
        <v>613</v>
      </c>
      <c r="G524" t="s">
        <v>653</v>
      </c>
      <c r="H524" t="s">
        <v>682</v>
      </c>
      <c r="I524" t="s">
        <v>1202</v>
      </c>
      <c r="J524" t="s">
        <v>1278</v>
      </c>
      <c r="K524">
        <v>43957</v>
      </c>
      <c r="L524">
        <v>0.06850000000000001</v>
      </c>
      <c r="M524">
        <v>0.07214502590085092</v>
      </c>
      <c r="N524">
        <v>0.054</v>
      </c>
      <c r="O524">
        <v>0.1300408572994969</v>
      </c>
      <c r="P524" t="s">
        <v>516</v>
      </c>
      <c r="Q524" t="s">
        <v>316</v>
      </c>
      <c r="R524">
        <v>0</v>
      </c>
      <c r="S524">
        <v>9.99</v>
      </c>
      <c r="T524">
        <v>170</v>
      </c>
      <c r="U524">
        <v>0.7058823529411765</v>
      </c>
      <c r="V524">
        <v>-6.0498</v>
      </c>
      <c r="W524">
        <v>-2.67</v>
      </c>
      <c r="X524">
        <v>8.220000000000001</v>
      </c>
      <c r="Y524">
        <v>-0.6528</v>
      </c>
      <c r="Z524">
        <v>0.6966101694915254</v>
      </c>
      <c r="AA524">
        <v>0.05804311774461028</v>
      </c>
      <c r="AB524">
        <v>0.5695364238410596</v>
      </c>
      <c r="AC524">
        <v>0.7665562913907285</v>
      </c>
      <c r="AD524">
        <v>0.6307947019867549</v>
      </c>
    </row>
    <row r="525" spans="1:30">
      <c r="A525" s="1" t="s">
        <v>532</v>
      </c>
      <c r="B525">
        <f>HYPERLINK("https://www.suredividend.com/sure-analysis-PSX/","Phillips 66")</f>
        <v>0</v>
      </c>
      <c r="C525">
        <v>70.93000000000001</v>
      </c>
      <c r="D525">
        <v>30973.35775</v>
      </c>
      <c r="E525" t="s">
        <v>644</v>
      </c>
      <c r="F525" t="s">
        <v>613</v>
      </c>
      <c r="G525" t="s">
        <v>653</v>
      </c>
      <c r="H525" t="s">
        <v>682</v>
      </c>
      <c r="I525" t="s">
        <v>1203</v>
      </c>
      <c r="J525" t="s">
        <v>1284</v>
      </c>
      <c r="K525">
        <v>43957</v>
      </c>
      <c r="L525">
        <v>0.050754264768081</v>
      </c>
      <c r="M525">
        <v>0.03440322345438762</v>
      </c>
      <c r="N525">
        <v>0.05</v>
      </c>
      <c r="O525">
        <v>0.1254632491012548</v>
      </c>
      <c r="P525" t="s">
        <v>516</v>
      </c>
      <c r="Q525" t="s">
        <v>316</v>
      </c>
      <c r="R525">
        <v>8</v>
      </c>
      <c r="S525">
        <v>1.44</v>
      </c>
      <c r="T525">
        <v>84</v>
      </c>
      <c r="U525">
        <v>0.844404761904762</v>
      </c>
      <c r="V525">
        <v>0.7084</v>
      </c>
      <c r="W525">
        <v>2.5</v>
      </c>
      <c r="X525">
        <v>3.6</v>
      </c>
      <c r="Y525">
        <v>-0.1875</v>
      </c>
      <c r="Z525">
        <v>0.5813559322033899</v>
      </c>
      <c r="AA525">
        <v>0.5472636815920398</v>
      </c>
      <c r="AB525">
        <v>0.4991721854304636</v>
      </c>
      <c r="AC525">
        <v>0.6009933774834437</v>
      </c>
      <c r="AD525">
        <v>0.6009933774834437</v>
      </c>
    </row>
    <row r="526" spans="1:30">
      <c r="A526" s="1" t="s">
        <v>533</v>
      </c>
      <c r="B526">
        <f>HYPERLINK("https://www.suredividend.com/sure-analysis-DOW/","Dow, Inc.")</f>
        <v>0</v>
      </c>
      <c r="C526">
        <v>33.56</v>
      </c>
      <c r="D526">
        <v>24858.93236</v>
      </c>
      <c r="E526" t="s">
        <v>649</v>
      </c>
      <c r="F526" t="s">
        <v>613</v>
      </c>
      <c r="G526" t="s">
        <v>653</v>
      </c>
      <c r="H526" t="s">
        <v>682</v>
      </c>
      <c r="I526" t="s">
        <v>1204</v>
      </c>
      <c r="J526" t="s">
        <v>1283</v>
      </c>
      <c r="K526">
        <v>43953</v>
      </c>
      <c r="L526">
        <v>0.08343265792610201</v>
      </c>
      <c r="M526">
        <v>0.03050126912104445</v>
      </c>
      <c r="N526">
        <v>0.03</v>
      </c>
      <c r="O526">
        <v>0.1234855996995856</v>
      </c>
      <c r="P526" t="s">
        <v>516</v>
      </c>
      <c r="Q526" t="s">
        <v>316</v>
      </c>
      <c r="R526">
        <v>0</v>
      </c>
      <c r="S526">
        <v>1.931034482758621</v>
      </c>
      <c r="T526">
        <v>39</v>
      </c>
      <c r="U526">
        <v>0.8605128205128205</v>
      </c>
      <c r="V526">
        <v>-2.2752</v>
      </c>
      <c r="W526">
        <v>1.45</v>
      </c>
      <c r="X526">
        <v>2.8</v>
      </c>
      <c r="Y526">
        <v>-0.3662</v>
      </c>
      <c r="Z526">
        <v>0.7949152542372881</v>
      </c>
      <c r="AA526">
        <v>0.3051409618573798</v>
      </c>
      <c r="AB526">
        <v>0.2144039735099338</v>
      </c>
      <c r="AC526">
        <v>0.5927152317880795</v>
      </c>
      <c r="AD526">
        <v>0.5877483443708609</v>
      </c>
    </row>
    <row r="527" spans="1:30">
      <c r="A527" s="1" t="s">
        <v>534</v>
      </c>
      <c r="B527">
        <f>HYPERLINK("https://www.suredividend.com/sure-analysis-ABR/","Arbor Realty Trust, Inc.")</f>
        <v>0</v>
      </c>
      <c r="C527">
        <v>6.46</v>
      </c>
      <c r="D527">
        <v>712.22146</v>
      </c>
      <c r="E527" t="s">
        <v>646</v>
      </c>
      <c r="F527" t="s">
        <v>614</v>
      </c>
      <c r="G527" t="s">
        <v>653</v>
      </c>
      <c r="H527" t="s">
        <v>682</v>
      </c>
      <c r="I527" t="s">
        <v>1205</v>
      </c>
      <c r="J527" t="s">
        <v>1281</v>
      </c>
      <c r="K527">
        <v>43915</v>
      </c>
      <c r="L527">
        <v>0.181114551083591</v>
      </c>
      <c r="M527">
        <v>-0.0406317156318311</v>
      </c>
      <c r="N527">
        <v>0.095</v>
      </c>
      <c r="O527">
        <v>0.1217572957769357</v>
      </c>
      <c r="P527" t="s">
        <v>516</v>
      </c>
      <c r="Q527" t="s">
        <v>375</v>
      </c>
      <c r="R527">
        <v>7</v>
      </c>
      <c r="S527">
        <v>2.34</v>
      </c>
      <c r="T527">
        <v>5.25</v>
      </c>
      <c r="U527">
        <v>1.230476190476191</v>
      </c>
      <c r="V527">
        <v>0.4954</v>
      </c>
      <c r="W527">
        <v>0.5</v>
      </c>
      <c r="X527">
        <v>1.17</v>
      </c>
      <c r="Y527">
        <v>-0.5197000000000001</v>
      </c>
      <c r="Z527">
        <v>0.9457627118644067</v>
      </c>
      <c r="AA527">
        <v>0.1393034825870647</v>
      </c>
      <c r="AB527">
        <v>0.8816225165562913</v>
      </c>
      <c r="AC527">
        <v>0.2235099337748344</v>
      </c>
      <c r="AD527">
        <v>0.5811258278145695</v>
      </c>
    </row>
    <row r="528" spans="1:30">
      <c r="A528" s="1" t="s">
        <v>535</v>
      </c>
      <c r="B528">
        <f>HYPERLINK("https://www.suredividend.com/sure-analysis-SLB/","Schlumberger NV")</f>
        <v>0</v>
      </c>
      <c r="C528">
        <v>15.95</v>
      </c>
      <c r="D528">
        <v>22135.5695</v>
      </c>
      <c r="E528" t="s">
        <v>644</v>
      </c>
      <c r="F528" t="s">
        <v>613</v>
      </c>
      <c r="G528" t="s">
        <v>653</v>
      </c>
      <c r="H528" t="s">
        <v>682</v>
      </c>
      <c r="I528" t="s">
        <v>1206</v>
      </c>
      <c r="J528" t="s">
        <v>1284</v>
      </c>
      <c r="K528">
        <v>43944</v>
      </c>
      <c r="L528">
        <v>0.12539184952978</v>
      </c>
      <c r="M528">
        <v>0.04629430548564639</v>
      </c>
      <c r="N528">
        <v>0.05</v>
      </c>
      <c r="O528">
        <v>0.1216605067701364</v>
      </c>
      <c r="P528" t="s">
        <v>516</v>
      </c>
      <c r="Q528" t="s">
        <v>316</v>
      </c>
      <c r="R528">
        <v>0</v>
      </c>
      <c r="S528">
        <v>20</v>
      </c>
      <c r="T528">
        <v>20</v>
      </c>
      <c r="U528">
        <v>0.7975</v>
      </c>
      <c r="V528">
        <v>-12.9361</v>
      </c>
      <c r="W528">
        <v>0.1</v>
      </c>
      <c r="X528">
        <v>2</v>
      </c>
      <c r="Y528">
        <v>-0.5945</v>
      </c>
      <c r="Z528">
        <v>0.888135593220339</v>
      </c>
      <c r="AA528">
        <v>0.087893864013267</v>
      </c>
      <c r="AB528">
        <v>0.4991721854304636</v>
      </c>
      <c r="AC528">
        <v>0.6589403973509934</v>
      </c>
      <c r="AD528">
        <v>0.5794701986754967</v>
      </c>
    </row>
    <row r="529" spans="1:30">
      <c r="A529" s="1" t="s">
        <v>536</v>
      </c>
      <c r="B529">
        <f>HYPERLINK("https://www.suredividend.com/sure-analysis-DAL/","Delta Air Lines, Inc.")</f>
        <v>0</v>
      </c>
      <c r="C529">
        <v>19.19</v>
      </c>
      <c r="D529">
        <v>12239.88094</v>
      </c>
      <c r="E529" t="s">
        <v>644</v>
      </c>
      <c r="F529" t="s">
        <v>613</v>
      </c>
      <c r="G529" t="s">
        <v>653</v>
      </c>
      <c r="H529" t="s">
        <v>682</v>
      </c>
      <c r="I529" t="s">
        <v>1207</v>
      </c>
      <c r="J529" t="s">
        <v>1278</v>
      </c>
      <c r="K529">
        <v>43944</v>
      </c>
      <c r="L529">
        <v>0.08116206357477801</v>
      </c>
      <c r="M529">
        <v>0.0543213638863369</v>
      </c>
      <c r="N529">
        <v>0.06</v>
      </c>
      <c r="O529">
        <v>0.120571036214532</v>
      </c>
      <c r="P529" t="s">
        <v>516</v>
      </c>
      <c r="Q529" t="s">
        <v>316</v>
      </c>
      <c r="R529">
        <v>0</v>
      </c>
      <c r="S529">
        <v>9.99</v>
      </c>
      <c r="T529">
        <v>25</v>
      </c>
      <c r="U529">
        <v>0.7676000000000001</v>
      </c>
      <c r="V529">
        <v>5.4078</v>
      </c>
      <c r="W529">
        <v>-9</v>
      </c>
      <c r="X529">
        <v>1.5575</v>
      </c>
      <c r="Y529">
        <v>-0.6514</v>
      </c>
      <c r="Z529">
        <v>0.7813559322033899</v>
      </c>
      <c r="AA529">
        <v>0.05970149253731344</v>
      </c>
      <c r="AB529">
        <v>0.6341059602649007</v>
      </c>
      <c r="AC529">
        <v>0.6854304635761589</v>
      </c>
      <c r="AD529">
        <v>0.5711920529801324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21.27</v>
      </c>
      <c r="D530">
        <v>2080.061364</v>
      </c>
      <c r="E530" t="s">
        <v>646</v>
      </c>
      <c r="F530" t="s">
        <v>613</v>
      </c>
      <c r="G530" t="s">
        <v>653</v>
      </c>
      <c r="H530" t="s">
        <v>682</v>
      </c>
      <c r="I530" t="s">
        <v>1208</v>
      </c>
      <c r="J530" t="s">
        <v>1277</v>
      </c>
      <c r="K530">
        <v>43951</v>
      </c>
      <c r="L530">
        <v>0.118946873530794</v>
      </c>
      <c r="M530">
        <v>-0.01223757545020054</v>
      </c>
      <c r="N530">
        <v>0.05</v>
      </c>
      <c r="O530">
        <v>0.1199715784618305</v>
      </c>
      <c r="P530" t="s">
        <v>516</v>
      </c>
      <c r="Q530" t="s">
        <v>375</v>
      </c>
      <c r="R530">
        <v>0</v>
      </c>
      <c r="S530">
        <v>1.265</v>
      </c>
      <c r="T530">
        <v>20</v>
      </c>
      <c r="U530">
        <v>1.0635</v>
      </c>
      <c r="V530">
        <v>2.633</v>
      </c>
      <c r="W530">
        <v>2</v>
      </c>
      <c r="X530">
        <v>2.53</v>
      </c>
      <c r="Y530">
        <v>-0.2655</v>
      </c>
      <c r="Z530">
        <v>0.8728813559322033</v>
      </c>
      <c r="AA530">
        <v>0.4378109452736318</v>
      </c>
      <c r="AB530">
        <v>0.4991721854304636</v>
      </c>
      <c r="AC530">
        <v>0.3708609271523178</v>
      </c>
      <c r="AD530">
        <v>0.5662251655629139</v>
      </c>
    </row>
    <row r="531" spans="1:30">
      <c r="A531" s="1" t="s">
        <v>538</v>
      </c>
      <c r="B531">
        <f>HYPERLINK("https://www.suredividend.com/sure-analysis-VGR/","Vector Group Ltd.")</f>
        <v>0</v>
      </c>
      <c r="C531">
        <v>10.86</v>
      </c>
      <c r="D531">
        <v>1608.2031</v>
      </c>
      <c r="E531" t="s">
        <v>645</v>
      </c>
      <c r="F531" t="s">
        <v>613</v>
      </c>
      <c r="G531" t="s">
        <v>653</v>
      </c>
      <c r="H531" t="s">
        <v>682</v>
      </c>
      <c r="I531" t="s">
        <v>1209</v>
      </c>
      <c r="J531" t="s">
        <v>1285</v>
      </c>
      <c r="K531">
        <v>43916</v>
      </c>
      <c r="L531">
        <v>0.125405595687016</v>
      </c>
      <c r="M531">
        <v>0.03662745141568746</v>
      </c>
      <c r="N531">
        <v>0.03</v>
      </c>
      <c r="O531">
        <v>0.1191975162400203</v>
      </c>
      <c r="P531" t="s">
        <v>516</v>
      </c>
      <c r="Q531" t="s">
        <v>375</v>
      </c>
      <c r="R531">
        <v>0</v>
      </c>
      <c r="S531">
        <v>1.70238096145125</v>
      </c>
      <c r="T531">
        <v>13</v>
      </c>
      <c r="U531">
        <v>0.8353846153846154</v>
      </c>
      <c r="V531">
        <v>0.5231</v>
      </c>
      <c r="W531">
        <v>0.8</v>
      </c>
      <c r="X531">
        <v>1.361904769161</v>
      </c>
      <c r="Y531">
        <v>0.1908</v>
      </c>
      <c r="Z531">
        <v>0.8898305084745763</v>
      </c>
      <c r="AA531">
        <v>0.9087893864013268</v>
      </c>
      <c r="AB531">
        <v>0.2144039735099338</v>
      </c>
      <c r="AC531">
        <v>0.6059602649006622</v>
      </c>
      <c r="AD531">
        <v>0.5596026490066225</v>
      </c>
    </row>
    <row r="532" spans="1:30">
      <c r="A532" s="1" t="s">
        <v>539</v>
      </c>
      <c r="B532">
        <f>HYPERLINK("https://www.suredividend.com/sure-analysis-ARR/","ARMOUR Residential REIT, Inc.")</f>
        <v>0</v>
      </c>
      <c r="C532">
        <v>7.22</v>
      </c>
      <c r="D532">
        <v>466.313086</v>
      </c>
      <c r="E532" t="s">
        <v>646</v>
      </c>
      <c r="F532" t="s">
        <v>614</v>
      </c>
      <c r="G532" t="s">
        <v>653</v>
      </c>
      <c r="H532" t="s">
        <v>682</v>
      </c>
      <c r="I532" t="s">
        <v>1210</v>
      </c>
      <c r="J532" t="s">
        <v>1281</v>
      </c>
      <c r="K532">
        <v>43913</v>
      </c>
      <c r="L532">
        <v>0.290858725761772</v>
      </c>
      <c r="M532">
        <v>-0.03634226754333469</v>
      </c>
      <c r="N532">
        <v>0.046</v>
      </c>
      <c r="O532">
        <v>0.1189037970059748</v>
      </c>
      <c r="P532" t="s">
        <v>516</v>
      </c>
      <c r="Q532" t="s">
        <v>375</v>
      </c>
      <c r="R532">
        <v>0</v>
      </c>
      <c r="S532">
        <v>2.1</v>
      </c>
      <c r="T532">
        <v>6</v>
      </c>
      <c r="U532">
        <v>1.203333333333333</v>
      </c>
      <c r="V532">
        <v>-9.4047</v>
      </c>
      <c r="W532">
        <v>1</v>
      </c>
      <c r="X532">
        <v>2.1</v>
      </c>
      <c r="Y532">
        <v>-0.6143000000000001</v>
      </c>
      <c r="Z532">
        <v>0.9898305084745763</v>
      </c>
      <c r="AA532">
        <v>0.07794361525704809</v>
      </c>
      <c r="AB532">
        <v>0.4246688741721855</v>
      </c>
      <c r="AC532">
        <v>0.2483443708609272</v>
      </c>
      <c r="AD532">
        <v>0.5579470198675497</v>
      </c>
    </row>
    <row r="533" spans="1:30">
      <c r="A533" s="1" t="s">
        <v>540</v>
      </c>
      <c r="B533">
        <f>HYPERLINK("https://www.suredividend.com/sure-analysis-MGP/","MGM Growth Properties LLC")</f>
        <v>0</v>
      </c>
      <c r="C533">
        <v>22.88</v>
      </c>
      <c r="D533">
        <v>3006.820983</v>
      </c>
      <c r="E533" t="s">
        <v>651</v>
      </c>
      <c r="F533" t="s">
        <v>614</v>
      </c>
      <c r="G533" t="s">
        <v>653</v>
      </c>
      <c r="H533" t="s">
        <v>682</v>
      </c>
      <c r="I533" t="s">
        <v>1211</v>
      </c>
      <c r="J533" t="s">
        <v>1281</v>
      </c>
      <c r="K533">
        <v>43896</v>
      </c>
      <c r="L533">
        <v>0.082277097902097</v>
      </c>
      <c r="M533">
        <v>0.05568183052118192</v>
      </c>
      <c r="N533">
        <v>0.003</v>
      </c>
      <c r="O533">
        <v>0.1170342527999315</v>
      </c>
      <c r="P533" t="s">
        <v>516</v>
      </c>
      <c r="Q533" t="s">
        <v>375</v>
      </c>
      <c r="R533">
        <v>3</v>
      </c>
      <c r="S533">
        <v>0.8755813953488373</v>
      </c>
      <c r="T533">
        <v>30</v>
      </c>
      <c r="U533">
        <v>0.7626666666666666</v>
      </c>
      <c r="V533">
        <v>0.3282</v>
      </c>
      <c r="W533">
        <v>2.15</v>
      </c>
      <c r="X533">
        <v>1.8825</v>
      </c>
      <c r="Y533">
        <v>-0.2764</v>
      </c>
      <c r="Z533">
        <v>0.788135593220339</v>
      </c>
      <c r="AA533">
        <v>0.4220563847429519</v>
      </c>
      <c r="AB533">
        <v>0.04635761589403973</v>
      </c>
      <c r="AC533">
        <v>0.6920529801324503</v>
      </c>
      <c r="AD533">
        <v>0.5480132450331126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26.79</v>
      </c>
      <c r="D534">
        <v>2105.436602</v>
      </c>
      <c r="E534" t="s">
        <v>649</v>
      </c>
      <c r="F534" t="s">
        <v>613</v>
      </c>
      <c r="G534" t="s">
        <v>653</v>
      </c>
      <c r="H534" t="s">
        <v>682</v>
      </c>
      <c r="I534" t="s">
        <v>1212</v>
      </c>
      <c r="J534" t="s">
        <v>1277</v>
      </c>
      <c r="K534">
        <v>43954</v>
      </c>
      <c r="L534">
        <v>0.09257185516983901</v>
      </c>
      <c r="M534">
        <v>0.01597976161335013</v>
      </c>
      <c r="N534">
        <v>0.03</v>
      </c>
      <c r="O534">
        <v>0.1168800941128865</v>
      </c>
      <c r="P534" t="s">
        <v>516</v>
      </c>
      <c r="Q534" t="s">
        <v>375</v>
      </c>
      <c r="R534">
        <v>0</v>
      </c>
      <c r="S534">
        <v>1.033333333333333</v>
      </c>
      <c r="T534">
        <v>29</v>
      </c>
      <c r="U534">
        <v>0.9237931034482758</v>
      </c>
      <c r="V534">
        <v>2.6717</v>
      </c>
      <c r="W534">
        <v>2.4</v>
      </c>
      <c r="X534">
        <v>2.48</v>
      </c>
      <c r="Y534">
        <v>0.0568</v>
      </c>
      <c r="Z534">
        <v>0.8169491525423729</v>
      </c>
      <c r="AA534">
        <v>0.8142620232172472</v>
      </c>
      <c r="AB534">
        <v>0.2144039735099338</v>
      </c>
      <c r="AC534">
        <v>0.5165562913907285</v>
      </c>
      <c r="AD534">
        <v>0.5463576158940397</v>
      </c>
    </row>
    <row r="535" spans="1:30">
      <c r="A535" s="1" t="s">
        <v>542</v>
      </c>
      <c r="B535">
        <f>HYPERLINK("https://www.suredividend.com/sure-analysis-CVX/","Chevron Corp.")</f>
        <v>0</v>
      </c>
      <c r="C535">
        <v>89.16</v>
      </c>
      <c r="D535">
        <v>166459.9368</v>
      </c>
      <c r="E535" t="s">
        <v>644</v>
      </c>
      <c r="F535" t="s">
        <v>613</v>
      </c>
      <c r="G535" t="s">
        <v>653</v>
      </c>
      <c r="H535" t="s">
        <v>682</v>
      </c>
      <c r="I535" t="s">
        <v>1213</v>
      </c>
      <c r="J535" t="s">
        <v>1284</v>
      </c>
      <c r="K535">
        <v>43958</v>
      </c>
      <c r="L535">
        <v>0.05450874831763101</v>
      </c>
      <c r="M535">
        <v>-0.04997331070180711</v>
      </c>
      <c r="N535">
        <v>0.13</v>
      </c>
      <c r="O535">
        <v>0.115070711744101</v>
      </c>
      <c r="P535" t="s">
        <v>516</v>
      </c>
      <c r="Q535" t="s">
        <v>516</v>
      </c>
      <c r="R535">
        <v>33</v>
      </c>
      <c r="S535">
        <v>9.99</v>
      </c>
      <c r="T535">
        <v>69</v>
      </c>
      <c r="U535">
        <v>1.292173913043478</v>
      </c>
      <c r="V535">
        <v>2.0527</v>
      </c>
      <c r="W535">
        <v>-0.7</v>
      </c>
      <c r="X535">
        <v>4.86</v>
      </c>
      <c r="Y535">
        <v>-0.27</v>
      </c>
      <c r="Z535">
        <v>0.6135593220338983</v>
      </c>
      <c r="AA535">
        <v>0.4344941956882256</v>
      </c>
      <c r="AB535">
        <v>0.9445364238410596</v>
      </c>
      <c r="AC535">
        <v>0.1920529801324503</v>
      </c>
      <c r="AD535">
        <v>0.5397350993377483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10.29</v>
      </c>
      <c r="D536">
        <v>340.079355</v>
      </c>
      <c r="E536" t="s">
        <v>643</v>
      </c>
      <c r="F536" t="s">
        <v>616</v>
      </c>
      <c r="G536" t="s">
        <v>653</v>
      </c>
      <c r="H536" t="s">
        <v>683</v>
      </c>
      <c r="I536" t="s">
        <v>1189</v>
      </c>
      <c r="J536" t="s">
        <v>1277</v>
      </c>
      <c r="K536">
        <v>43868</v>
      </c>
      <c r="L536">
        <v>0.100485908649173</v>
      </c>
      <c r="M536">
        <v>0.01343398040961041</v>
      </c>
      <c r="N536">
        <v>0.036</v>
      </c>
      <c r="O536">
        <v>0.1147106105915012</v>
      </c>
      <c r="P536" t="s">
        <v>516</v>
      </c>
      <c r="Q536" t="s">
        <v>375</v>
      </c>
      <c r="R536">
        <v>9</v>
      </c>
      <c r="S536">
        <v>1.148888888888889</v>
      </c>
      <c r="T536">
        <v>11</v>
      </c>
      <c r="U536">
        <v>0.9354545454545454</v>
      </c>
      <c r="V536">
        <v>-0.2125</v>
      </c>
      <c r="W536">
        <v>0.9</v>
      </c>
      <c r="X536">
        <v>1.034</v>
      </c>
      <c r="Y536">
        <v>-0.1114</v>
      </c>
      <c r="Z536">
        <v>0.8322033898305086</v>
      </c>
      <c r="AA536">
        <v>0.6650082918739635</v>
      </c>
      <c r="AB536">
        <v>0.2806291390728477</v>
      </c>
      <c r="AC536">
        <v>0.5033112582781457</v>
      </c>
      <c r="AD536">
        <v>0.5380794701986755</v>
      </c>
    </row>
    <row r="537" spans="1:30">
      <c r="A537" s="1" t="s">
        <v>544</v>
      </c>
      <c r="B537">
        <f>HYPERLINK("https://www.suredividend.com/sure-analysis-KIM/","Kimco Realty Corp.")</f>
        <v>0</v>
      </c>
      <c r="C537">
        <v>9.15</v>
      </c>
      <c r="D537">
        <v>3957.60375</v>
      </c>
      <c r="E537" t="s">
        <v>646</v>
      </c>
      <c r="F537" t="s">
        <v>614</v>
      </c>
      <c r="G537" t="s">
        <v>653</v>
      </c>
      <c r="H537" t="s">
        <v>682</v>
      </c>
      <c r="I537" t="s">
        <v>1214</v>
      </c>
      <c r="J537" t="s">
        <v>1281</v>
      </c>
      <c r="K537">
        <v>43937</v>
      </c>
      <c r="L537">
        <v>0.122404371584699</v>
      </c>
      <c r="M537">
        <v>-0.04417066928673652</v>
      </c>
      <c r="N537">
        <v>0.105</v>
      </c>
      <c r="O537">
        <v>0.1130727417789423</v>
      </c>
      <c r="P537" t="s">
        <v>516</v>
      </c>
      <c r="Q537" t="s">
        <v>375</v>
      </c>
      <c r="R537">
        <v>0</v>
      </c>
      <c r="S537">
        <v>1.534246575342466</v>
      </c>
      <c r="T537">
        <v>7.3</v>
      </c>
      <c r="U537">
        <v>1.253424657534247</v>
      </c>
      <c r="V537">
        <v>0.755</v>
      </c>
      <c r="W537">
        <v>0.73</v>
      </c>
      <c r="X537">
        <v>1.12</v>
      </c>
      <c r="Y537">
        <v>-0.4948</v>
      </c>
      <c r="Z537">
        <v>0.8813559322033899</v>
      </c>
      <c r="AA537">
        <v>0.1658374792703151</v>
      </c>
      <c r="AB537">
        <v>0.9139072847682119</v>
      </c>
      <c r="AC537">
        <v>0.2102649006622516</v>
      </c>
      <c r="AD537">
        <v>0.5298013245033113</v>
      </c>
    </row>
    <row r="538" spans="1:30">
      <c r="A538" s="1" t="s">
        <v>545</v>
      </c>
      <c r="B538">
        <f>HYPERLINK("https://www.suredividend.com/sure-analysis-HTA/","Healthcare Trust of America, Inc.")</f>
        <v>0</v>
      </c>
      <c r="C538">
        <v>24.08</v>
      </c>
      <c r="D538">
        <v>10607.836847</v>
      </c>
      <c r="E538" t="s">
        <v>648</v>
      </c>
      <c r="F538" t="s">
        <v>614</v>
      </c>
      <c r="G538" t="s">
        <v>653</v>
      </c>
      <c r="H538" t="s">
        <v>682</v>
      </c>
      <c r="I538" t="s">
        <v>1215</v>
      </c>
      <c r="J538" t="s">
        <v>1281</v>
      </c>
      <c r="K538">
        <v>43964</v>
      </c>
      <c r="L538">
        <v>0.052117940199335</v>
      </c>
      <c r="M538">
        <v>0.03788277195792022</v>
      </c>
      <c r="N538">
        <v>0.03</v>
      </c>
      <c r="O538">
        <v>0.1080216543484704</v>
      </c>
      <c r="P538" t="s">
        <v>516</v>
      </c>
      <c r="Q538" t="s">
        <v>316</v>
      </c>
      <c r="R538">
        <v>8</v>
      </c>
      <c r="S538">
        <v>0.9960317460317459</v>
      </c>
      <c r="T538">
        <v>29</v>
      </c>
      <c r="U538">
        <v>0.8303448275862069</v>
      </c>
      <c r="V538">
        <v>0.1636</v>
      </c>
      <c r="W538">
        <v>1.26</v>
      </c>
      <c r="X538">
        <v>1.255</v>
      </c>
      <c r="Y538">
        <v>-0.136</v>
      </c>
      <c r="Z538">
        <v>0.5983050847457627</v>
      </c>
      <c r="AA538">
        <v>0.6260364842454395</v>
      </c>
      <c r="AB538">
        <v>0.2144039735099338</v>
      </c>
      <c r="AC538">
        <v>0.6142384105960265</v>
      </c>
      <c r="AD538">
        <v>0.5149006622516556</v>
      </c>
    </row>
    <row r="539" spans="1:30">
      <c r="A539" s="1" t="s">
        <v>546</v>
      </c>
      <c r="B539">
        <f>HYPERLINK("https://www.suredividend.com/sure-analysis-NRZ/","New Residential Investment Corp.")</f>
        <v>0</v>
      </c>
      <c r="C539">
        <v>5.91</v>
      </c>
      <c r="D539">
        <v>2456.48559</v>
      </c>
      <c r="E539" t="s">
        <v>643</v>
      </c>
      <c r="F539" t="s">
        <v>614</v>
      </c>
      <c r="G539" t="s">
        <v>653</v>
      </c>
      <c r="H539" t="s">
        <v>682</v>
      </c>
      <c r="I539" t="s">
        <v>1216</v>
      </c>
      <c r="J539" t="s">
        <v>1281</v>
      </c>
      <c r="K539">
        <v>43958</v>
      </c>
      <c r="L539">
        <v>0.262267343485617</v>
      </c>
      <c r="M539">
        <v>0.04027701568479003</v>
      </c>
      <c r="N539">
        <v>0.04</v>
      </c>
      <c r="O539">
        <v>0.1055326809228119</v>
      </c>
      <c r="P539" t="s">
        <v>516</v>
      </c>
      <c r="Q539" t="s">
        <v>375</v>
      </c>
      <c r="R539">
        <v>0</v>
      </c>
      <c r="S539">
        <v>1.722222222222222</v>
      </c>
      <c r="T539">
        <v>7.2</v>
      </c>
      <c r="U539">
        <v>0.8208333333333333</v>
      </c>
      <c r="V539">
        <v>-2.8823</v>
      </c>
      <c r="W539">
        <v>0.9</v>
      </c>
      <c r="X539">
        <v>1.55</v>
      </c>
      <c r="Y539">
        <v>-0.6457000000000001</v>
      </c>
      <c r="Z539">
        <v>0.9796610169491525</v>
      </c>
      <c r="AA539">
        <v>0.06301824212271973</v>
      </c>
      <c r="AB539">
        <v>0.3493377483443709</v>
      </c>
      <c r="AC539">
        <v>0.6357615894039735</v>
      </c>
      <c r="AD539">
        <v>0.5016556291390729</v>
      </c>
    </row>
    <row r="540" spans="1:30">
      <c r="A540" s="1" t="s">
        <v>547</v>
      </c>
      <c r="B540">
        <f>HYPERLINK("https://www.suredividend.com/sure-analysis-VLO/","Valero Energy Corp.")</f>
        <v>0</v>
      </c>
      <c r="C540">
        <v>58.78</v>
      </c>
      <c r="D540">
        <v>23964.54722</v>
      </c>
      <c r="E540" t="s">
        <v>644</v>
      </c>
      <c r="F540" t="s">
        <v>613</v>
      </c>
      <c r="G540" t="s">
        <v>653</v>
      </c>
      <c r="H540" t="s">
        <v>682</v>
      </c>
      <c r="I540" t="s">
        <v>1217</v>
      </c>
      <c r="J540" t="s">
        <v>1284</v>
      </c>
      <c r="K540">
        <v>43955</v>
      </c>
      <c r="L540">
        <v>0.06260632868322501</v>
      </c>
      <c r="M540">
        <v>0.01072363520515696</v>
      </c>
      <c r="N540">
        <v>0.04</v>
      </c>
      <c r="O540">
        <v>0.1050437174998649</v>
      </c>
      <c r="P540" t="s">
        <v>516</v>
      </c>
      <c r="Q540" t="s">
        <v>316</v>
      </c>
      <c r="R540">
        <v>10</v>
      </c>
      <c r="S540">
        <v>3.066666666666667</v>
      </c>
      <c r="T540">
        <v>62</v>
      </c>
      <c r="U540">
        <v>0.9480645161290323</v>
      </c>
      <c r="V540">
        <v>0.9884000000000001</v>
      </c>
      <c r="W540">
        <v>1.2</v>
      </c>
      <c r="X540">
        <v>3.68</v>
      </c>
      <c r="Y540">
        <v>-0.295</v>
      </c>
      <c r="Z540">
        <v>0.6644067796610169</v>
      </c>
      <c r="AA540">
        <v>0.39469320066335</v>
      </c>
      <c r="AB540">
        <v>0.3493377483443709</v>
      </c>
      <c r="AC540">
        <v>0.4834437086092715</v>
      </c>
      <c r="AD540">
        <v>0.4950331125827814</v>
      </c>
    </row>
    <row r="541" spans="1:30">
      <c r="A541" s="1" t="s">
        <v>548</v>
      </c>
      <c r="B541">
        <f>HYPERLINK("https://www.suredividend.com/sure-analysis-SIX/","Six Flags Entertainment Corp.")</f>
        <v>0</v>
      </c>
      <c r="C541">
        <v>19.11</v>
      </c>
      <c r="D541">
        <v>1618.359015</v>
      </c>
      <c r="E541" t="s">
        <v>644</v>
      </c>
      <c r="F541" t="s">
        <v>613</v>
      </c>
      <c r="G541" t="s">
        <v>653</v>
      </c>
      <c r="H541" t="s">
        <v>682</v>
      </c>
      <c r="I541" t="s">
        <v>1218</v>
      </c>
      <c r="J541" t="s">
        <v>1279</v>
      </c>
      <c r="K541">
        <v>43963</v>
      </c>
      <c r="L541">
        <v>0.14233385661957</v>
      </c>
      <c r="M541">
        <v>0.07157017013823097</v>
      </c>
      <c r="N541">
        <v>0.03</v>
      </c>
      <c r="O541">
        <v>0.1037172752423781</v>
      </c>
      <c r="P541" t="s">
        <v>516</v>
      </c>
      <c r="Q541" t="s">
        <v>316</v>
      </c>
      <c r="R541">
        <v>0</v>
      </c>
      <c r="S541">
        <v>9.99</v>
      </c>
      <c r="T541">
        <v>27</v>
      </c>
      <c r="U541">
        <v>0.7077777777777777</v>
      </c>
      <c r="V541">
        <v>1.9432</v>
      </c>
      <c r="W541">
        <v>-1.8</v>
      </c>
      <c r="X541">
        <v>2.72</v>
      </c>
      <c r="Y541">
        <v>-0.6464000000000001</v>
      </c>
      <c r="Z541">
        <v>0.9016949152542373</v>
      </c>
      <c r="AA541">
        <v>0.06135986733001658</v>
      </c>
      <c r="AB541">
        <v>0.2144039735099338</v>
      </c>
      <c r="AC541">
        <v>0.7582781456953643</v>
      </c>
      <c r="AD541">
        <v>0.4850993377483444</v>
      </c>
    </row>
    <row r="542" spans="1:30">
      <c r="A542" s="1" t="s">
        <v>549</v>
      </c>
      <c r="B542">
        <f>HYPERLINK("https://www.suredividend.com/sure-analysis-PTR/","PetroChina Co., Ltd.")</f>
        <v>0</v>
      </c>
      <c r="C542">
        <v>32.84</v>
      </c>
      <c r="D542">
        <v>6928.87876</v>
      </c>
      <c r="E542" t="s">
        <v>644</v>
      </c>
      <c r="F542" t="s">
        <v>613</v>
      </c>
      <c r="G542" t="s">
        <v>657</v>
      </c>
      <c r="H542" t="s">
        <v>682</v>
      </c>
      <c r="J542" t="s">
        <v>1284</v>
      </c>
      <c r="K542">
        <v>43917</v>
      </c>
      <c r="L542">
        <v>0.071103593179049</v>
      </c>
      <c r="M542">
        <v>-0.2882137071182015</v>
      </c>
      <c r="N542">
        <v>0.5</v>
      </c>
      <c r="O542">
        <v>0.1026705997912742</v>
      </c>
      <c r="P542" t="s">
        <v>516</v>
      </c>
      <c r="Q542" t="s">
        <v>316</v>
      </c>
      <c r="R542">
        <v>1</v>
      </c>
      <c r="S542">
        <v>4.670084</v>
      </c>
      <c r="T542">
        <v>6</v>
      </c>
      <c r="U542">
        <v>5.473333333333334</v>
      </c>
      <c r="V542">
        <v>4.4358</v>
      </c>
      <c r="W542">
        <v>0.5</v>
      </c>
      <c r="X542">
        <v>2.335042</v>
      </c>
      <c r="Y542">
        <v>-0.4378</v>
      </c>
      <c r="Z542">
        <v>0.7135593220338983</v>
      </c>
      <c r="AA542">
        <v>0.2255389718076285</v>
      </c>
      <c r="AB542">
        <v>0.9983443708609272</v>
      </c>
      <c r="AC542">
        <v>0.004966887417218543</v>
      </c>
      <c r="AD542">
        <v>0.4784768211920529</v>
      </c>
    </row>
    <row r="543" spans="1:30">
      <c r="A543" s="1" t="s">
        <v>550</v>
      </c>
      <c r="B543">
        <f>HYPERLINK("https://www.suredividend.com/sure-analysis-BCE/","BCE, Inc.")</f>
        <v>0</v>
      </c>
      <c r="C543">
        <v>38.9</v>
      </c>
      <c r="D543">
        <v>35178.3592</v>
      </c>
      <c r="E543" t="s">
        <v>650</v>
      </c>
      <c r="F543" t="s">
        <v>613</v>
      </c>
      <c r="G543" t="s">
        <v>659</v>
      </c>
      <c r="H543" t="s">
        <v>682</v>
      </c>
      <c r="I543" t="s">
        <v>1219</v>
      </c>
      <c r="J543" t="s">
        <v>1282</v>
      </c>
      <c r="K543">
        <v>43870</v>
      </c>
      <c r="L543">
        <v>0.06199856700354101</v>
      </c>
      <c r="M543">
        <v>0.01057104605809434</v>
      </c>
      <c r="N543">
        <v>0.035</v>
      </c>
      <c r="O543">
        <v>0.09973273706687591</v>
      </c>
      <c r="P543" t="s">
        <v>516</v>
      </c>
      <c r="Q543" t="s">
        <v>316</v>
      </c>
      <c r="R543">
        <v>12</v>
      </c>
      <c r="S543">
        <v>0.964697702575112</v>
      </c>
      <c r="T543">
        <v>41</v>
      </c>
      <c r="U543">
        <v>0.948780487804878</v>
      </c>
      <c r="V543">
        <v>2.4831</v>
      </c>
      <c r="W543">
        <v>2.5</v>
      </c>
      <c r="X543">
        <v>2.41174425643778</v>
      </c>
      <c r="Y543">
        <v>-0.1317</v>
      </c>
      <c r="Z543">
        <v>0.6627118644067796</v>
      </c>
      <c r="AA543">
        <v>0.6334991708126037</v>
      </c>
      <c r="AB543">
        <v>0.2706953642384106</v>
      </c>
      <c r="AC543">
        <v>0.4817880794701987</v>
      </c>
      <c r="AD543">
        <v>0.456953642384106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26.06</v>
      </c>
      <c r="D544">
        <v>379.936558</v>
      </c>
      <c r="E544" t="s">
        <v>644</v>
      </c>
      <c r="F544" t="s">
        <v>613</v>
      </c>
      <c r="G544" t="s">
        <v>653</v>
      </c>
      <c r="H544" t="s">
        <v>682</v>
      </c>
      <c r="J544" t="s">
        <v>1284</v>
      </c>
      <c r="K544">
        <v>43902</v>
      </c>
      <c r="L544">
        <v>0.113057175748273</v>
      </c>
      <c r="M544">
        <v>-0.0422570216161714</v>
      </c>
      <c r="N544">
        <v>0.05</v>
      </c>
      <c r="O544">
        <v>0.09958921674300747</v>
      </c>
      <c r="P544" t="s">
        <v>516</v>
      </c>
      <c r="Q544" t="s">
        <v>375</v>
      </c>
      <c r="R544">
        <v>0</v>
      </c>
      <c r="S544">
        <v>1.133180769230769</v>
      </c>
      <c r="T544">
        <v>21</v>
      </c>
      <c r="U544">
        <v>1.240952380952381</v>
      </c>
      <c r="V544">
        <v>2.8528</v>
      </c>
      <c r="W544">
        <v>2.6</v>
      </c>
      <c r="X544">
        <v>2.94627</v>
      </c>
      <c r="Y544">
        <v>-0.4743</v>
      </c>
      <c r="Z544">
        <v>0.8610169491525425</v>
      </c>
      <c r="AA544">
        <v>0.1940298507462687</v>
      </c>
      <c r="AB544">
        <v>0.4991721854304636</v>
      </c>
      <c r="AC544">
        <v>0.2168874172185431</v>
      </c>
      <c r="AD544">
        <v>0.4552980132450331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17.33</v>
      </c>
      <c r="D545">
        <v>12931.74998</v>
      </c>
      <c r="E545" t="s">
        <v>646</v>
      </c>
      <c r="F545" t="s">
        <v>613</v>
      </c>
      <c r="G545" t="s">
        <v>653</v>
      </c>
      <c r="H545" t="s">
        <v>682</v>
      </c>
      <c r="I545" t="s">
        <v>1220</v>
      </c>
      <c r="J545" t="s">
        <v>1281</v>
      </c>
      <c r="K545">
        <v>43916</v>
      </c>
      <c r="L545">
        <v>0.078476630121177</v>
      </c>
      <c r="M545">
        <v>-0.02846480226754999</v>
      </c>
      <c r="N545">
        <v>0.07000000000000001</v>
      </c>
      <c r="O545">
        <v>0.09943296510013844</v>
      </c>
      <c r="P545" t="s">
        <v>516</v>
      </c>
      <c r="Q545" t="s">
        <v>316</v>
      </c>
      <c r="R545">
        <v>9</v>
      </c>
      <c r="S545">
        <v>1.36</v>
      </c>
      <c r="T545">
        <v>15</v>
      </c>
      <c r="U545">
        <v>1.155333333333333</v>
      </c>
      <c r="V545">
        <v>0.4866</v>
      </c>
      <c r="W545">
        <v>1</v>
      </c>
      <c r="X545">
        <v>1.36</v>
      </c>
      <c r="Y545">
        <v>-0.3054</v>
      </c>
      <c r="Z545">
        <v>0.7627118644067796</v>
      </c>
      <c r="AA545">
        <v>0.3781094527363184</v>
      </c>
      <c r="AB545">
        <v>0.7259933774834437</v>
      </c>
      <c r="AC545">
        <v>0.2897350993377483</v>
      </c>
      <c r="AD545">
        <v>0.4519867549668874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28.71</v>
      </c>
      <c r="D546">
        <v>1862.788059</v>
      </c>
      <c r="E546" t="s">
        <v>647</v>
      </c>
      <c r="F546" t="s">
        <v>613</v>
      </c>
      <c r="G546" t="s">
        <v>653</v>
      </c>
      <c r="H546" t="s">
        <v>682</v>
      </c>
      <c r="I546" t="s">
        <v>1221</v>
      </c>
      <c r="J546" t="s">
        <v>1277</v>
      </c>
      <c r="K546">
        <v>43922</v>
      </c>
      <c r="L546">
        <v>0.085684430512016</v>
      </c>
      <c r="M546">
        <v>-0.0122066130520283</v>
      </c>
      <c r="N546">
        <v>0.02</v>
      </c>
      <c r="O546">
        <v>0.09906981020320749</v>
      </c>
      <c r="P546" t="s">
        <v>516</v>
      </c>
      <c r="Q546" t="s">
        <v>375</v>
      </c>
      <c r="R546">
        <v>5</v>
      </c>
      <c r="S546">
        <v>1.23</v>
      </c>
      <c r="T546">
        <v>27</v>
      </c>
      <c r="U546">
        <v>1.063333333333333</v>
      </c>
      <c r="V546">
        <v>-1.2614</v>
      </c>
      <c r="W546">
        <v>2</v>
      </c>
      <c r="X546">
        <v>2.46</v>
      </c>
      <c r="Y546">
        <v>-0.2936</v>
      </c>
      <c r="Z546">
        <v>0.8016949152542372</v>
      </c>
      <c r="AA546">
        <v>0.3980099502487562</v>
      </c>
      <c r="AB546">
        <v>0.1274834437086093</v>
      </c>
      <c r="AC546">
        <v>0.3725165562913907</v>
      </c>
      <c r="AD546">
        <v>0.4486754966887417</v>
      </c>
    </row>
    <row r="547" spans="1:30">
      <c r="A547" s="1" t="s">
        <v>554</v>
      </c>
      <c r="B547">
        <f>HYPERLINK("https://www.suredividend.com/sure-analysis-ABB/","ABB Ltd.")</f>
        <v>0</v>
      </c>
      <c r="C547">
        <v>17.66</v>
      </c>
      <c r="D547">
        <v>37678.97367</v>
      </c>
      <c r="E547" t="s">
        <v>644</v>
      </c>
      <c r="F547" t="s">
        <v>613</v>
      </c>
      <c r="G547" t="s">
        <v>655</v>
      </c>
      <c r="H547" t="s">
        <v>682</v>
      </c>
      <c r="I547" t="s">
        <v>1222</v>
      </c>
      <c r="J547" t="s">
        <v>1278</v>
      </c>
      <c r="K547">
        <v>43950</v>
      </c>
      <c r="L547">
        <v>0.03584133635334</v>
      </c>
      <c r="M547">
        <v>0.01473486010510228</v>
      </c>
      <c r="N547">
        <v>0.05</v>
      </c>
      <c r="O547">
        <v>0.09826910395367472</v>
      </c>
      <c r="P547" t="s">
        <v>516</v>
      </c>
      <c r="Q547" t="s">
        <v>516</v>
      </c>
      <c r="R547">
        <v>0</v>
      </c>
      <c r="S547">
        <v>1.582395</v>
      </c>
      <c r="T547">
        <v>19</v>
      </c>
      <c r="U547">
        <v>0.9294736842105263</v>
      </c>
      <c r="V547">
        <v>0.6747000000000001</v>
      </c>
      <c r="W547">
        <v>0.4</v>
      </c>
      <c r="X547">
        <v>0.632958</v>
      </c>
      <c r="Y547">
        <v>-0.0636</v>
      </c>
      <c r="Z547">
        <v>0.4152542372881356</v>
      </c>
      <c r="AA547">
        <v>0.7097844112769487</v>
      </c>
      <c r="AB547">
        <v>0.4991721854304636</v>
      </c>
      <c r="AC547">
        <v>0.5066225165562914</v>
      </c>
      <c r="AD547">
        <v>0.4420529801324504</v>
      </c>
    </row>
    <row r="548" spans="1:30">
      <c r="A548" s="1" t="s">
        <v>555</v>
      </c>
      <c r="B548">
        <f>HYPERLINK("https://www.suredividend.com/sure-analysis-GOOD/","Gladstone Commercial Corp.")</f>
        <v>0</v>
      </c>
      <c r="C548">
        <v>14.73</v>
      </c>
      <c r="D548">
        <v>511.396346</v>
      </c>
      <c r="E548" t="s">
        <v>649</v>
      </c>
      <c r="F548" t="s">
        <v>614</v>
      </c>
      <c r="G548" t="s">
        <v>653</v>
      </c>
      <c r="H548" t="s">
        <v>683</v>
      </c>
      <c r="I548" t="s">
        <v>1189</v>
      </c>
      <c r="J548" t="s">
        <v>1281</v>
      </c>
      <c r="K548">
        <v>43966</v>
      </c>
      <c r="L548">
        <v>0.101873727087576</v>
      </c>
      <c r="M548">
        <v>0.0166780497389265</v>
      </c>
      <c r="N548">
        <v>0</v>
      </c>
      <c r="O548">
        <v>0.09792588206414998</v>
      </c>
      <c r="P548" t="s">
        <v>516</v>
      </c>
      <c r="Q548" t="s">
        <v>375</v>
      </c>
      <c r="R548">
        <v>0</v>
      </c>
      <c r="S548">
        <v>0.9681290322580645</v>
      </c>
      <c r="T548">
        <v>16</v>
      </c>
      <c r="U548">
        <v>0.920625</v>
      </c>
      <c r="V548">
        <v>-0.2034</v>
      </c>
      <c r="W548">
        <v>1.55</v>
      </c>
      <c r="X548">
        <v>1.5006</v>
      </c>
      <c r="Y548">
        <v>-0.3231</v>
      </c>
      <c r="Z548">
        <v>0.8372881355932204</v>
      </c>
      <c r="AA548">
        <v>0.3532338308457711</v>
      </c>
      <c r="AB548">
        <v>0.02980132450331126</v>
      </c>
      <c r="AC548">
        <v>0.5215231788079471</v>
      </c>
      <c r="AD548">
        <v>0.4403973509933775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6.23</v>
      </c>
      <c r="D549">
        <v>37.38</v>
      </c>
      <c r="E549" t="s">
        <v>644</v>
      </c>
      <c r="F549" t="s">
        <v>613</v>
      </c>
      <c r="G549" t="s">
        <v>653</v>
      </c>
      <c r="H549" t="s">
        <v>682</v>
      </c>
      <c r="J549" t="s">
        <v>1284</v>
      </c>
      <c r="K549">
        <v>43922</v>
      </c>
      <c r="L549">
        <v>0.160055698234349</v>
      </c>
      <c r="M549">
        <v>-0.02819049461784451</v>
      </c>
      <c r="N549">
        <v>0</v>
      </c>
      <c r="O549">
        <v>0.09705759793396762</v>
      </c>
      <c r="P549" t="s">
        <v>516</v>
      </c>
      <c r="Q549" t="s">
        <v>375</v>
      </c>
      <c r="R549">
        <v>0</v>
      </c>
      <c r="S549">
        <v>1.107941111111111</v>
      </c>
      <c r="T549">
        <v>5.4</v>
      </c>
      <c r="U549">
        <v>1.153703703703704</v>
      </c>
      <c r="V549">
        <v>0.9972000000000001</v>
      </c>
      <c r="W549">
        <v>0.9</v>
      </c>
      <c r="X549">
        <v>0.997147</v>
      </c>
      <c r="Y549">
        <v>-0.5083</v>
      </c>
      <c r="Z549">
        <v>0.9271186440677966</v>
      </c>
      <c r="AA549">
        <v>0.1509121061359867</v>
      </c>
      <c r="AB549">
        <v>0.02980132450331126</v>
      </c>
      <c r="AC549">
        <v>0.293046357615894</v>
      </c>
      <c r="AD549">
        <v>0.4337748344370861</v>
      </c>
    </row>
    <row r="550" spans="1:30">
      <c r="A550" s="1" t="s">
        <v>557</v>
      </c>
      <c r="B550">
        <f>HYPERLINK("https://www.suredividend.com/sure-analysis-AQN/","Algonquin Power &amp; Utilities Corp.")</f>
        <v>0</v>
      </c>
      <c r="C550">
        <v>13.31</v>
      </c>
      <c r="D550">
        <v>7019.5609</v>
      </c>
      <c r="E550" t="s">
        <v>650</v>
      </c>
      <c r="F550" t="s">
        <v>613</v>
      </c>
      <c r="G550" t="s">
        <v>659</v>
      </c>
      <c r="H550" t="s">
        <v>682</v>
      </c>
      <c r="I550" t="s">
        <v>1223</v>
      </c>
      <c r="J550" t="s">
        <v>1287</v>
      </c>
      <c r="K550">
        <v>43909</v>
      </c>
      <c r="L550">
        <v>0.04263553561585701</v>
      </c>
      <c r="M550">
        <v>-0.02050857541273543</v>
      </c>
      <c r="N550">
        <v>0.075</v>
      </c>
      <c r="O550">
        <v>0.09330311412380676</v>
      </c>
      <c r="P550" t="s">
        <v>516</v>
      </c>
      <c r="Q550" t="s">
        <v>516</v>
      </c>
      <c r="R550">
        <v>2</v>
      </c>
      <c r="S550">
        <v>0.8730445831493215</v>
      </c>
      <c r="T550">
        <v>12</v>
      </c>
      <c r="U550">
        <v>1.109166666666667</v>
      </c>
      <c r="V550">
        <v>0.744</v>
      </c>
      <c r="W550">
        <v>0.65</v>
      </c>
      <c r="X550">
        <v>0.567478979047059</v>
      </c>
      <c r="Y550">
        <v>0.1554</v>
      </c>
      <c r="Z550">
        <v>0.4949152542372882</v>
      </c>
      <c r="AA550">
        <v>0.8839137645107794</v>
      </c>
      <c r="AB550">
        <v>0.7665562913907285</v>
      </c>
      <c r="AC550">
        <v>0.3327814569536424</v>
      </c>
      <c r="AD550">
        <v>0.4172185430463576</v>
      </c>
    </row>
    <row r="551" spans="1:30">
      <c r="A551" s="1" t="s">
        <v>558</v>
      </c>
      <c r="B551">
        <f>HYPERLINK("https://www.suredividend.com/sure-analysis-HOG/","Harley-Davidson, Inc.")</f>
        <v>0</v>
      </c>
      <c r="C551">
        <v>19.66</v>
      </c>
      <c r="D551">
        <v>3011.38118</v>
      </c>
      <c r="E551" t="s">
        <v>646</v>
      </c>
      <c r="F551" t="s">
        <v>613</v>
      </c>
      <c r="G551" t="s">
        <v>653</v>
      </c>
      <c r="H551" t="s">
        <v>682</v>
      </c>
      <c r="I551" t="s">
        <v>1224</v>
      </c>
      <c r="J551" t="s">
        <v>1279</v>
      </c>
      <c r="K551">
        <v>43937</v>
      </c>
      <c r="L551">
        <v>0.076551373346897</v>
      </c>
      <c r="M551">
        <v>-0.08513417165967829</v>
      </c>
      <c r="N551">
        <v>0.147</v>
      </c>
      <c r="O551">
        <v>0.09251316186936132</v>
      </c>
      <c r="P551" t="s">
        <v>516</v>
      </c>
      <c r="Q551" t="s">
        <v>316</v>
      </c>
      <c r="R551">
        <v>9</v>
      </c>
      <c r="S551">
        <v>1.194444444444444</v>
      </c>
      <c r="T551">
        <v>12.6</v>
      </c>
      <c r="U551">
        <v>1.56031746031746</v>
      </c>
      <c r="V551">
        <v>2.329</v>
      </c>
      <c r="W551">
        <v>1.26</v>
      </c>
      <c r="X551">
        <v>1.505</v>
      </c>
      <c r="Y551">
        <v>-0.4376</v>
      </c>
      <c r="Z551">
        <v>0.7525423728813559</v>
      </c>
      <c r="AA551">
        <v>0.2271973466003317</v>
      </c>
      <c r="AB551">
        <v>0.9536423841059603</v>
      </c>
      <c r="AC551">
        <v>0.08609271523178809</v>
      </c>
      <c r="AD551">
        <v>0.4139072847682119</v>
      </c>
    </row>
    <row r="552" spans="1:30">
      <c r="A552" s="1" t="s">
        <v>559</v>
      </c>
      <c r="B552">
        <f>HYPERLINK("https://www.suredividend.com/sure-analysis-AAL/","American Airlines Group, Inc.")</f>
        <v>0</v>
      </c>
      <c r="C552">
        <v>9.039999999999999</v>
      </c>
      <c r="D552">
        <v>3822.9708</v>
      </c>
      <c r="E552" t="s">
        <v>641</v>
      </c>
      <c r="F552" t="s">
        <v>613</v>
      </c>
      <c r="G552" t="s">
        <v>653</v>
      </c>
      <c r="H552" t="s">
        <v>683</v>
      </c>
      <c r="I552" t="s">
        <v>1225</v>
      </c>
      <c r="J552" t="s">
        <v>1278</v>
      </c>
      <c r="K552">
        <v>43958</v>
      </c>
      <c r="L552">
        <v>0.044247787610619</v>
      </c>
      <c r="M552">
        <v>0.09142003312797908</v>
      </c>
      <c r="N552">
        <v>0</v>
      </c>
      <c r="O552">
        <v>0.09142003312797908</v>
      </c>
      <c r="P552" t="s">
        <v>516</v>
      </c>
      <c r="Q552" t="s">
        <v>516</v>
      </c>
      <c r="R552">
        <v>0</v>
      </c>
      <c r="S552">
        <v>9.99</v>
      </c>
      <c r="T552">
        <v>14</v>
      </c>
      <c r="U552">
        <v>0.6457142857142857</v>
      </c>
      <c r="V552">
        <v>-1.8597</v>
      </c>
      <c r="W552">
        <v>-10</v>
      </c>
      <c r="X552">
        <v>0.4</v>
      </c>
      <c r="Y552">
        <v>-0.7189</v>
      </c>
      <c r="Z552">
        <v>0.5203389830508475</v>
      </c>
      <c r="AA552">
        <v>0.03316749585406302</v>
      </c>
      <c r="AB552">
        <v>0.02980132450331126</v>
      </c>
      <c r="AC552">
        <v>0.837748344370861</v>
      </c>
      <c r="AD552">
        <v>0.4039735099337748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25.1</v>
      </c>
      <c r="D553">
        <v>1423.2453</v>
      </c>
      <c r="E553" t="s">
        <v>642</v>
      </c>
      <c r="F553" t="s">
        <v>613</v>
      </c>
      <c r="G553" t="s">
        <v>653</v>
      </c>
      <c r="H553" t="s">
        <v>682</v>
      </c>
      <c r="I553" t="s">
        <v>1226</v>
      </c>
      <c r="J553" t="s">
        <v>1279</v>
      </c>
      <c r="K553">
        <v>43957</v>
      </c>
      <c r="L553">
        <v>0.148207171314741</v>
      </c>
      <c r="M553">
        <v>0.007070617988807371</v>
      </c>
      <c r="N553">
        <v>0.05</v>
      </c>
      <c r="O553">
        <v>0.0899452351454697</v>
      </c>
      <c r="P553" t="s">
        <v>516</v>
      </c>
      <c r="Q553" t="s">
        <v>375</v>
      </c>
      <c r="R553">
        <v>0</v>
      </c>
      <c r="S553">
        <v>9.99</v>
      </c>
      <c r="T553">
        <v>26</v>
      </c>
      <c r="U553">
        <v>0.9653846153846154</v>
      </c>
      <c r="V553">
        <v>0.7024</v>
      </c>
      <c r="W553">
        <v>-1.36</v>
      </c>
      <c r="X553">
        <v>3.72</v>
      </c>
      <c r="Y553">
        <v>-0.5244</v>
      </c>
      <c r="Z553">
        <v>0.9084745762711864</v>
      </c>
      <c r="AA553">
        <v>0.1359867330016584</v>
      </c>
      <c r="AB553">
        <v>0.4991721854304636</v>
      </c>
      <c r="AC553">
        <v>0.4602649006622517</v>
      </c>
      <c r="AD553">
        <v>0.3940397350993378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15.87</v>
      </c>
      <c r="D554">
        <v>8147.68974</v>
      </c>
      <c r="E554" t="s">
        <v>647</v>
      </c>
      <c r="F554" t="s">
        <v>613</v>
      </c>
      <c r="G554" t="s">
        <v>659</v>
      </c>
      <c r="H554" t="s">
        <v>682</v>
      </c>
      <c r="I554" t="s">
        <v>1227</v>
      </c>
      <c r="J554" t="s">
        <v>1282</v>
      </c>
      <c r="K554">
        <v>43951</v>
      </c>
      <c r="L554">
        <v>0.05633084117128501</v>
      </c>
      <c r="M554">
        <v>-0.01519990549743733</v>
      </c>
      <c r="N554">
        <v>0.06</v>
      </c>
      <c r="O554">
        <v>0.08905289808186168</v>
      </c>
      <c r="P554" t="s">
        <v>516</v>
      </c>
      <c r="Q554" t="s">
        <v>316</v>
      </c>
      <c r="R554">
        <v>0</v>
      </c>
      <c r="S554">
        <v>0.9717070102046761</v>
      </c>
      <c r="T554">
        <v>14.7</v>
      </c>
      <c r="U554">
        <v>1.079591836734694</v>
      </c>
      <c r="V554">
        <v>1.045</v>
      </c>
      <c r="W554">
        <v>0.92</v>
      </c>
      <c r="X554">
        <v>0.8939704493883021</v>
      </c>
      <c r="Y554">
        <v>-0.2025</v>
      </c>
      <c r="Z554">
        <v>0.6305084745762712</v>
      </c>
      <c r="AA554">
        <v>0.5174129353233831</v>
      </c>
      <c r="AB554">
        <v>0.6341059602649007</v>
      </c>
      <c r="AC554">
        <v>0.3559602649006622</v>
      </c>
      <c r="AD554">
        <v>0.3890728476821192</v>
      </c>
    </row>
    <row r="555" spans="1:30">
      <c r="A555" s="1" t="s">
        <v>562</v>
      </c>
      <c r="B555">
        <f>HYPERLINK("https://www.suredividend.com/sure-analysis-COP/","ConocoPhillips")</f>
        <v>0</v>
      </c>
      <c r="C555">
        <v>40.87</v>
      </c>
      <c r="D555">
        <v>43830.2141</v>
      </c>
      <c r="E555" t="s">
        <v>644</v>
      </c>
      <c r="F555" t="s">
        <v>613</v>
      </c>
      <c r="G555" t="s">
        <v>653</v>
      </c>
      <c r="H555" t="s">
        <v>682</v>
      </c>
      <c r="I555" t="s">
        <v>1228</v>
      </c>
      <c r="J555" t="s">
        <v>1284</v>
      </c>
      <c r="K555">
        <v>43962</v>
      </c>
      <c r="L555">
        <v>0.035478345975042</v>
      </c>
      <c r="M555">
        <v>-0.03053377962043347</v>
      </c>
      <c r="N555">
        <v>0.09</v>
      </c>
      <c r="O555">
        <v>0.08904486035054249</v>
      </c>
      <c r="P555" t="s">
        <v>516</v>
      </c>
      <c r="Q555" t="s">
        <v>516</v>
      </c>
      <c r="R555">
        <v>4</v>
      </c>
      <c r="S555">
        <v>9.99</v>
      </c>
      <c r="T555">
        <v>35</v>
      </c>
      <c r="U555">
        <v>1.167714285714286</v>
      </c>
      <c r="V555">
        <v>3.2137</v>
      </c>
      <c r="W555">
        <v>-0.9</v>
      </c>
      <c r="X555">
        <v>1.45</v>
      </c>
      <c r="Y555">
        <v>-0.3412</v>
      </c>
      <c r="Z555">
        <v>0.4135593220338983</v>
      </c>
      <c r="AA555">
        <v>0.3325041459369817</v>
      </c>
      <c r="AB555">
        <v>0.8600993377483444</v>
      </c>
      <c r="AC555">
        <v>0.2764900662251655</v>
      </c>
      <c r="AD555">
        <v>0.3874172185430463</v>
      </c>
    </row>
    <row r="556" spans="1:30">
      <c r="A556" s="1" t="s">
        <v>563</v>
      </c>
      <c r="B556">
        <f>HYPERLINK("https://www.suredividend.com/sure-analysis-QSR/","Restaurant Brands International, Inc.")</f>
        <v>0</v>
      </c>
      <c r="C556">
        <v>51.42</v>
      </c>
      <c r="D556">
        <v>23846.238547</v>
      </c>
      <c r="E556" t="s">
        <v>644</v>
      </c>
      <c r="F556" t="s">
        <v>613</v>
      </c>
      <c r="G556" t="s">
        <v>659</v>
      </c>
      <c r="H556" t="s">
        <v>682</v>
      </c>
      <c r="I556" t="s">
        <v>1229</v>
      </c>
      <c r="J556" t="s">
        <v>1279</v>
      </c>
      <c r="K556">
        <v>43959</v>
      </c>
      <c r="L556">
        <v>0.03969801824972</v>
      </c>
      <c r="M556">
        <v>-0.06881904347044665</v>
      </c>
      <c r="N556">
        <v>0.13</v>
      </c>
      <c r="O556">
        <v>0.08694607916156794</v>
      </c>
      <c r="P556" t="s">
        <v>516</v>
      </c>
      <c r="Q556" t="s">
        <v>516</v>
      </c>
      <c r="R556">
        <v>8</v>
      </c>
      <c r="S556">
        <v>1.02063604920031</v>
      </c>
      <c r="T556">
        <v>36</v>
      </c>
      <c r="U556">
        <v>1.428333333333333</v>
      </c>
      <c r="V556">
        <v>2.345</v>
      </c>
      <c r="W556">
        <v>2</v>
      </c>
      <c r="X556">
        <v>2.04127209840062</v>
      </c>
      <c r="Y556">
        <v>-0.2298</v>
      </c>
      <c r="Z556">
        <v>0.464406779661017</v>
      </c>
      <c r="AA556">
        <v>0.4759535655058043</v>
      </c>
      <c r="AB556">
        <v>0.9445364238410596</v>
      </c>
      <c r="AC556">
        <v>0.1291390728476821</v>
      </c>
      <c r="AD556">
        <v>0.3741721854304636</v>
      </c>
    </row>
    <row r="557" spans="1:30">
      <c r="A557" s="1" t="s">
        <v>564</v>
      </c>
      <c r="B557">
        <f>HYPERLINK("https://www.suredividend.com/sure-analysis-FCX/","Freeport-McMoRan, Inc.")</f>
        <v>0</v>
      </c>
      <c r="C557">
        <v>8.48</v>
      </c>
      <c r="D557">
        <v>12312.7056</v>
      </c>
      <c r="E557" t="s">
        <v>649</v>
      </c>
      <c r="F557" t="s">
        <v>613</v>
      </c>
      <c r="G557" t="s">
        <v>653</v>
      </c>
      <c r="H557" t="s">
        <v>682</v>
      </c>
      <c r="I557" t="s">
        <v>1230</v>
      </c>
      <c r="J557" t="s">
        <v>1283</v>
      </c>
      <c r="K557">
        <v>43949</v>
      </c>
      <c r="L557">
        <v>0.017688679245283</v>
      </c>
      <c r="M557">
        <v>-0.01158613932954511</v>
      </c>
      <c r="N557">
        <v>0.08500000000000001</v>
      </c>
      <c r="O557">
        <v>0.08325370437132928</v>
      </c>
      <c r="P557" t="s">
        <v>516</v>
      </c>
      <c r="Q557" t="s">
        <v>516</v>
      </c>
      <c r="R557">
        <v>0</v>
      </c>
      <c r="S557">
        <v>9.99</v>
      </c>
      <c r="T557">
        <v>8</v>
      </c>
      <c r="U557">
        <v>1.06</v>
      </c>
      <c r="V557">
        <v>-0.5317000000000001</v>
      </c>
      <c r="W557">
        <v>-0.17</v>
      </c>
      <c r="X557">
        <v>0.15</v>
      </c>
      <c r="Y557">
        <v>-0.2184</v>
      </c>
      <c r="Z557">
        <v>0.1525423728813559</v>
      </c>
      <c r="AA557">
        <v>0.4933665008291874</v>
      </c>
      <c r="AB557">
        <v>0.837748344370861</v>
      </c>
      <c r="AC557">
        <v>0.3758278145695364</v>
      </c>
      <c r="AD557">
        <v>0.3443708609271524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13.38</v>
      </c>
      <c r="D558">
        <v>5654.68236</v>
      </c>
      <c r="E558" t="s">
        <v>646</v>
      </c>
      <c r="F558" t="s">
        <v>616</v>
      </c>
      <c r="G558" t="s">
        <v>653</v>
      </c>
      <c r="H558" t="s">
        <v>683</v>
      </c>
      <c r="I558" t="s">
        <v>1231</v>
      </c>
      <c r="J558" t="s">
        <v>1277</v>
      </c>
      <c r="K558">
        <v>43908</v>
      </c>
      <c r="L558">
        <v>0.119581464872944</v>
      </c>
      <c r="M558">
        <v>-0.0384158097079037</v>
      </c>
      <c r="N558">
        <v>0.01</v>
      </c>
      <c r="O558">
        <v>0.08001648969361264</v>
      </c>
      <c r="P558" t="s">
        <v>516</v>
      </c>
      <c r="Q558" t="s">
        <v>375</v>
      </c>
      <c r="R558">
        <v>2</v>
      </c>
      <c r="S558">
        <v>0.888888888888889</v>
      </c>
      <c r="T558">
        <v>11</v>
      </c>
      <c r="U558">
        <v>1.216363636363637</v>
      </c>
      <c r="V558">
        <v>-0.0684</v>
      </c>
      <c r="W558">
        <v>1.8</v>
      </c>
      <c r="X558">
        <v>1.6</v>
      </c>
      <c r="Y558">
        <v>-0.2389</v>
      </c>
      <c r="Z558">
        <v>0.8745762711864407</v>
      </c>
      <c r="AA558">
        <v>0.4643449419568823</v>
      </c>
      <c r="AB558">
        <v>0.05960264900662252</v>
      </c>
      <c r="AC558">
        <v>0.2367549668874172</v>
      </c>
      <c r="AD558">
        <v>0.3311258278145695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26.96</v>
      </c>
      <c r="D559">
        <v>5799.58128</v>
      </c>
      <c r="E559" t="s">
        <v>646</v>
      </c>
      <c r="F559" t="s">
        <v>614</v>
      </c>
      <c r="G559" t="s">
        <v>653</v>
      </c>
      <c r="H559" t="s">
        <v>683</v>
      </c>
      <c r="I559" t="s">
        <v>1232</v>
      </c>
      <c r="J559" t="s">
        <v>1281</v>
      </c>
      <c r="K559">
        <v>43913</v>
      </c>
      <c r="L559">
        <v>0.102373887240356</v>
      </c>
      <c r="M559">
        <v>-0.08810295852258077</v>
      </c>
      <c r="N559">
        <v>0.129</v>
      </c>
      <c r="O559">
        <v>0.07955825670254035</v>
      </c>
      <c r="P559" t="s">
        <v>516</v>
      </c>
      <c r="Q559" t="s">
        <v>375</v>
      </c>
      <c r="R559">
        <v>6</v>
      </c>
      <c r="S559">
        <v>1.84</v>
      </c>
      <c r="T559">
        <v>17</v>
      </c>
      <c r="U559">
        <v>1.585882352941177</v>
      </c>
      <c r="V559">
        <v>1.8353</v>
      </c>
      <c r="W559">
        <v>1.5</v>
      </c>
      <c r="X559">
        <v>2.76</v>
      </c>
      <c r="Y559">
        <v>-0.3182</v>
      </c>
      <c r="Z559">
        <v>0.8389830508474576</v>
      </c>
      <c r="AA559">
        <v>0.3615257048092869</v>
      </c>
      <c r="AB559">
        <v>0.9420529801324503</v>
      </c>
      <c r="AC559">
        <v>0.07450331125827814</v>
      </c>
      <c r="AD559">
        <v>0.3278145695364238</v>
      </c>
    </row>
    <row r="560" spans="1:30">
      <c r="A560" s="1" t="s">
        <v>567</v>
      </c>
      <c r="B560">
        <f>HYPERLINK("https://www.suredividend.com/sure-analysis-IP/","International Paper Co.")</f>
        <v>0</v>
      </c>
      <c r="C560">
        <v>31.05</v>
      </c>
      <c r="D560">
        <v>12203.92305</v>
      </c>
      <c r="E560" t="s">
        <v>644</v>
      </c>
      <c r="F560" t="s">
        <v>613</v>
      </c>
      <c r="G560" t="s">
        <v>653</v>
      </c>
      <c r="H560" t="s">
        <v>682</v>
      </c>
      <c r="I560" t="s">
        <v>1233</v>
      </c>
      <c r="J560" t="s">
        <v>1279</v>
      </c>
      <c r="K560">
        <v>43964</v>
      </c>
      <c r="L560">
        <v>0.06521739130434701</v>
      </c>
      <c r="M560">
        <v>-0.07523467293853481</v>
      </c>
      <c r="N560">
        <v>0.1</v>
      </c>
      <c r="O560">
        <v>0.07423938459904855</v>
      </c>
      <c r="P560" t="s">
        <v>516</v>
      </c>
      <c r="Q560" t="s">
        <v>316</v>
      </c>
      <c r="R560">
        <v>10</v>
      </c>
      <c r="S560">
        <v>0.9642857142857142</v>
      </c>
      <c r="T560">
        <v>21</v>
      </c>
      <c r="U560">
        <v>1.478571428571429</v>
      </c>
      <c r="V560">
        <v>1.6816</v>
      </c>
      <c r="W560">
        <v>2.1</v>
      </c>
      <c r="X560">
        <v>2.025</v>
      </c>
      <c r="Y560">
        <v>-0.3072</v>
      </c>
      <c r="Z560">
        <v>0.6728813559322033</v>
      </c>
      <c r="AA560">
        <v>0.3747927031509121</v>
      </c>
      <c r="AB560">
        <v>0.8981788079470199</v>
      </c>
      <c r="AC560">
        <v>0.1092715231788079</v>
      </c>
      <c r="AD560">
        <v>0.3079470198675496</v>
      </c>
    </row>
    <row r="561" spans="1:30">
      <c r="A561" s="1" t="s">
        <v>568</v>
      </c>
      <c r="B561">
        <f>HYPERLINK("https://www.suredividend.com/sure-analysis-PRT/","PermRock Royalty Trust")</f>
        <v>0</v>
      </c>
      <c r="C561">
        <v>1.9</v>
      </c>
      <c r="D561">
        <v>23.1154</v>
      </c>
      <c r="E561" t="s">
        <v>647</v>
      </c>
      <c r="F561" t="s">
        <v>613</v>
      </c>
      <c r="G561" t="s">
        <v>653</v>
      </c>
      <c r="H561" t="s">
        <v>682</v>
      </c>
      <c r="J561" t="s">
        <v>1284</v>
      </c>
      <c r="K561">
        <v>43944</v>
      </c>
      <c r="L561">
        <v>0.344482052631579</v>
      </c>
      <c r="M561">
        <v>0.01531324576182613</v>
      </c>
      <c r="N561">
        <v>-0.1</v>
      </c>
      <c r="O561">
        <v>0.07393960474264905</v>
      </c>
      <c r="P561" t="s">
        <v>516</v>
      </c>
      <c r="Q561" t="s">
        <v>618</v>
      </c>
      <c r="R561">
        <v>0</v>
      </c>
      <c r="S561">
        <v>1.596380243902439</v>
      </c>
      <c r="T561">
        <v>2.05</v>
      </c>
      <c r="U561">
        <v>0.926829268292683</v>
      </c>
      <c r="V561">
        <v>0.6545000000000001</v>
      </c>
      <c r="W561">
        <v>0.41</v>
      </c>
      <c r="X561">
        <v>0.6545158999999999</v>
      </c>
      <c r="Y561">
        <v>-0.7762</v>
      </c>
      <c r="Z561">
        <v>0.9949152542372882</v>
      </c>
      <c r="AA561">
        <v>0.01326699834162521</v>
      </c>
      <c r="AB561">
        <v>0.003311258278145696</v>
      </c>
      <c r="AC561">
        <v>0.5115894039735099</v>
      </c>
      <c r="AD561">
        <v>0.304635761589404</v>
      </c>
    </row>
    <row r="562" spans="1:30">
      <c r="A562" s="1" t="s">
        <v>569</v>
      </c>
      <c r="B562">
        <f>HYPERLINK("https://www.suredividend.com/sure-analysis-HA/","Hawaiian Holdings, Inc.")</f>
        <v>0</v>
      </c>
      <c r="C562">
        <v>11.16</v>
      </c>
      <c r="D562">
        <v>512.804232</v>
      </c>
      <c r="E562" t="s">
        <v>649</v>
      </c>
      <c r="F562" t="s">
        <v>613</v>
      </c>
      <c r="G562" t="s">
        <v>653</v>
      </c>
      <c r="H562" t="s">
        <v>683</v>
      </c>
      <c r="I562" t="s">
        <v>1234</v>
      </c>
      <c r="J562" t="s">
        <v>1278</v>
      </c>
      <c r="K562">
        <v>43959</v>
      </c>
      <c r="L562">
        <v>0.043010752688172</v>
      </c>
      <c r="M562">
        <v>0.06092678206548197</v>
      </c>
      <c r="N562">
        <v>0</v>
      </c>
      <c r="O562">
        <v>0.07336291434221742</v>
      </c>
      <c r="P562" t="s">
        <v>516</v>
      </c>
      <c r="Q562" t="s">
        <v>516</v>
      </c>
      <c r="R562">
        <v>0</v>
      </c>
      <c r="S562">
        <v>9.99</v>
      </c>
      <c r="T562">
        <v>15</v>
      </c>
      <c r="U562">
        <v>0.744</v>
      </c>
      <c r="V562">
        <v>0.8386</v>
      </c>
      <c r="W562">
        <v>-7.15</v>
      </c>
      <c r="X562">
        <v>0.48</v>
      </c>
      <c r="Y562">
        <v>-0.5861000000000001</v>
      </c>
      <c r="Z562">
        <v>0.5033898305084746</v>
      </c>
      <c r="AA562">
        <v>0.0978441127694859</v>
      </c>
      <c r="AB562">
        <v>0.02980132450331126</v>
      </c>
      <c r="AC562">
        <v>0.7152317880794702</v>
      </c>
      <c r="AD562">
        <v>0.2996688741721855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17.55</v>
      </c>
      <c r="D563">
        <v>1885.1859</v>
      </c>
      <c r="E563" t="s">
        <v>644</v>
      </c>
      <c r="F563" t="s">
        <v>613</v>
      </c>
      <c r="G563" t="s">
        <v>653</v>
      </c>
      <c r="H563" t="s">
        <v>682</v>
      </c>
      <c r="I563" t="s">
        <v>1235</v>
      </c>
      <c r="J563" t="s">
        <v>1284</v>
      </c>
      <c r="K563">
        <v>43962</v>
      </c>
      <c r="L563">
        <v>0.161823361823361</v>
      </c>
      <c r="M563">
        <v>-0.1250301711341005</v>
      </c>
      <c r="N563">
        <v>0.17</v>
      </c>
      <c r="O563">
        <v>0.0710174255938798</v>
      </c>
      <c r="P563" t="s">
        <v>516</v>
      </c>
      <c r="Q563" t="s">
        <v>375</v>
      </c>
      <c r="R563">
        <v>0</v>
      </c>
      <c r="S563">
        <v>9.99</v>
      </c>
      <c r="T563">
        <v>9</v>
      </c>
      <c r="U563">
        <v>1.95</v>
      </c>
      <c r="V563">
        <v>-4.66</v>
      </c>
      <c r="W563">
        <v>-1.1</v>
      </c>
      <c r="X563">
        <v>2.84</v>
      </c>
      <c r="Y563">
        <v>-0.6970000000000001</v>
      </c>
      <c r="Z563">
        <v>0.9288135593220339</v>
      </c>
      <c r="AA563">
        <v>0.04145936981757878</v>
      </c>
      <c r="AB563">
        <v>0.9735099337748345</v>
      </c>
      <c r="AC563">
        <v>0.04139072847682119</v>
      </c>
      <c r="AD563">
        <v>0.2880794701986755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23.99</v>
      </c>
      <c r="D564">
        <v>1538.176426</v>
      </c>
      <c r="E564" t="s">
        <v>641</v>
      </c>
      <c r="F564" t="s">
        <v>613</v>
      </c>
      <c r="G564" t="s">
        <v>653</v>
      </c>
      <c r="H564" t="s">
        <v>682</v>
      </c>
      <c r="I564" t="s">
        <v>1236</v>
      </c>
      <c r="J564" t="s">
        <v>1285</v>
      </c>
      <c r="K564">
        <v>43964</v>
      </c>
      <c r="L564">
        <v>0.07919966652771901</v>
      </c>
      <c r="M564">
        <v>-0.01716981417453567</v>
      </c>
      <c r="N564">
        <v>0.02</v>
      </c>
      <c r="O564">
        <v>0.06917710282656953</v>
      </c>
      <c r="P564" t="s">
        <v>516</v>
      </c>
      <c r="Q564" t="s">
        <v>375</v>
      </c>
      <c r="R564">
        <v>9</v>
      </c>
      <c r="S564">
        <v>1.027027027027027</v>
      </c>
      <c r="T564">
        <v>22</v>
      </c>
      <c r="U564">
        <v>1.090454545454545</v>
      </c>
      <c r="V564">
        <v>1.3558</v>
      </c>
      <c r="W564">
        <v>1.85</v>
      </c>
      <c r="X564">
        <v>1.9</v>
      </c>
      <c r="Y564">
        <v>0.07240000000000001</v>
      </c>
      <c r="Z564">
        <v>0.7677966101694915</v>
      </c>
      <c r="AA564">
        <v>0.8308457711442786</v>
      </c>
      <c r="AB564">
        <v>0.1274834437086093</v>
      </c>
      <c r="AC564">
        <v>0.3394039735099338</v>
      </c>
      <c r="AD564">
        <v>0.283112582781457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12.49</v>
      </c>
      <c r="D565">
        <v>287.04518</v>
      </c>
      <c r="E565" t="s">
        <v>646</v>
      </c>
      <c r="F565" t="s">
        <v>614</v>
      </c>
      <c r="G565" t="s">
        <v>653</v>
      </c>
      <c r="H565" t="s">
        <v>682</v>
      </c>
      <c r="I565" t="s">
        <v>1237</v>
      </c>
      <c r="J565" t="s">
        <v>1281</v>
      </c>
      <c r="K565">
        <v>43938</v>
      </c>
      <c r="L565">
        <v>0.153722978382706</v>
      </c>
      <c r="M565">
        <v>-0.08524348824543948</v>
      </c>
      <c r="N565">
        <v>0.08500000000000001</v>
      </c>
      <c r="O565">
        <v>0.0684920763086867</v>
      </c>
      <c r="P565" t="s">
        <v>516</v>
      </c>
      <c r="Q565" t="s">
        <v>375</v>
      </c>
      <c r="R565">
        <v>0</v>
      </c>
      <c r="S565">
        <v>1.92</v>
      </c>
      <c r="T565">
        <v>8</v>
      </c>
      <c r="U565">
        <v>1.56125</v>
      </c>
      <c r="V565">
        <v>-9.0014</v>
      </c>
      <c r="W565">
        <v>1</v>
      </c>
      <c r="X565">
        <v>1.92</v>
      </c>
      <c r="Y565">
        <v>-0.2932</v>
      </c>
      <c r="Z565">
        <v>0.9152542372881356</v>
      </c>
      <c r="AA565">
        <v>0.3996683250414593</v>
      </c>
      <c r="AB565">
        <v>0.837748344370861</v>
      </c>
      <c r="AC565">
        <v>0.08443708609271523</v>
      </c>
      <c r="AD565">
        <v>0.2781456953642384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18.36</v>
      </c>
      <c r="D566">
        <v>32796.048667</v>
      </c>
      <c r="E566" t="s">
        <v>644</v>
      </c>
      <c r="F566" t="s">
        <v>613</v>
      </c>
      <c r="G566" t="s">
        <v>673</v>
      </c>
      <c r="H566" t="s">
        <v>682</v>
      </c>
      <c r="I566" t="s">
        <v>1238</v>
      </c>
      <c r="J566" t="s">
        <v>1284</v>
      </c>
      <c r="K566">
        <v>43949</v>
      </c>
      <c r="L566">
        <v>0.072743790849673</v>
      </c>
      <c r="M566">
        <v>-0.03961865288340116</v>
      </c>
      <c r="N566">
        <v>0.06</v>
      </c>
      <c r="O566">
        <v>0.06739501111480251</v>
      </c>
      <c r="P566" t="s">
        <v>516</v>
      </c>
      <c r="Q566" t="s">
        <v>316</v>
      </c>
      <c r="R566">
        <v>0</v>
      </c>
      <c r="S566">
        <v>9.99</v>
      </c>
      <c r="T566">
        <v>15</v>
      </c>
      <c r="U566">
        <v>1.224</v>
      </c>
      <c r="V566">
        <v>0.1066</v>
      </c>
      <c r="W566">
        <v>-1.8</v>
      </c>
      <c r="X566">
        <v>1.335576</v>
      </c>
      <c r="Y566">
        <v>-0.4346</v>
      </c>
      <c r="Z566">
        <v>0.7220338983050847</v>
      </c>
      <c r="AA566">
        <v>0.2288557213930348</v>
      </c>
      <c r="AB566">
        <v>0.6341059602649007</v>
      </c>
      <c r="AC566">
        <v>0.2301324503311258</v>
      </c>
      <c r="AD566">
        <v>0.2748344370860927</v>
      </c>
    </row>
    <row r="567" spans="1:30">
      <c r="A567" s="1" t="s">
        <v>574</v>
      </c>
      <c r="B567">
        <f>HYPERLINK("https://www.suredividend.com/sure-analysis-APTV/","Aptiv Plc")</f>
        <v>0</v>
      </c>
      <c r="C567">
        <v>64.06999999999999</v>
      </c>
      <c r="D567">
        <v>16329.90532</v>
      </c>
      <c r="E567" t="s">
        <v>649</v>
      </c>
      <c r="F567" t="s">
        <v>613</v>
      </c>
      <c r="G567" t="s">
        <v>658</v>
      </c>
      <c r="H567" t="s">
        <v>682</v>
      </c>
      <c r="I567" t="s">
        <v>1239</v>
      </c>
      <c r="J567" t="s">
        <v>1279</v>
      </c>
      <c r="K567">
        <v>43963</v>
      </c>
      <c r="L567">
        <v>0.013734977368503</v>
      </c>
      <c r="M567">
        <v>-0.003362635486991228</v>
      </c>
      <c r="N567">
        <v>0.07000000000000001</v>
      </c>
      <c r="O567">
        <v>0.06640198002891951</v>
      </c>
      <c r="P567" t="s">
        <v>516</v>
      </c>
      <c r="Q567" t="s">
        <v>516</v>
      </c>
      <c r="R567">
        <v>0</v>
      </c>
      <c r="S567">
        <v>0.88</v>
      </c>
      <c r="T567">
        <v>63</v>
      </c>
      <c r="U567">
        <v>1.016984126984127</v>
      </c>
      <c r="V567">
        <v>9.0807</v>
      </c>
      <c r="W567">
        <v>1</v>
      </c>
      <c r="X567">
        <v>0.88</v>
      </c>
      <c r="Y567">
        <v>-0.1462</v>
      </c>
      <c r="Z567">
        <v>0.09661016949152541</v>
      </c>
      <c r="AA567">
        <v>0.6119402985074627</v>
      </c>
      <c r="AB567">
        <v>0.7259933774834437</v>
      </c>
      <c r="AC567">
        <v>0.4072847682119206</v>
      </c>
      <c r="AD567">
        <v>0.2649006622516556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21.27</v>
      </c>
      <c r="D568">
        <v>2879.02212</v>
      </c>
      <c r="E568" t="s">
        <v>646</v>
      </c>
      <c r="F568" t="s">
        <v>614</v>
      </c>
      <c r="G568" t="s">
        <v>653</v>
      </c>
      <c r="H568" t="s">
        <v>682</v>
      </c>
      <c r="I568" t="s">
        <v>1240</v>
      </c>
      <c r="J568" t="s">
        <v>1281</v>
      </c>
      <c r="K568">
        <v>43938</v>
      </c>
      <c r="L568">
        <v>0.116596144804889</v>
      </c>
      <c r="M568">
        <v>-0.08024510224658321</v>
      </c>
      <c r="N568">
        <v>0.082</v>
      </c>
      <c r="O568">
        <v>0.06048714670619937</v>
      </c>
      <c r="P568" t="s">
        <v>516</v>
      </c>
      <c r="Q568" t="s">
        <v>375</v>
      </c>
      <c r="R568">
        <v>0</v>
      </c>
      <c r="S568">
        <v>1.837037037037037</v>
      </c>
      <c r="T568">
        <v>14</v>
      </c>
      <c r="U568">
        <v>1.519285714285714</v>
      </c>
      <c r="V568">
        <v>1.3431</v>
      </c>
      <c r="W568">
        <v>1.35</v>
      </c>
      <c r="X568">
        <v>2.48</v>
      </c>
      <c r="Y568">
        <v>-0.4044</v>
      </c>
      <c r="Z568">
        <v>0.8677966101694915</v>
      </c>
      <c r="AA568">
        <v>0.263681592039801</v>
      </c>
      <c r="AB568">
        <v>0.8344370860927153</v>
      </c>
      <c r="AC568">
        <v>0.09768211920529801</v>
      </c>
      <c r="AD568">
        <v>0.2450331125827815</v>
      </c>
    </row>
    <row r="569" spans="1:30">
      <c r="A569" s="1" t="s">
        <v>576</v>
      </c>
      <c r="B569">
        <f>HYPERLINK("https://www.suredividend.com/sure-analysis-AGNC/","AGNC Investment Corp.")</f>
        <v>0</v>
      </c>
      <c r="C569">
        <v>12.44</v>
      </c>
      <c r="D569">
        <v>6958.40108</v>
      </c>
      <c r="E569" t="s">
        <v>646</v>
      </c>
      <c r="F569" t="s">
        <v>614</v>
      </c>
      <c r="G569" t="s">
        <v>653</v>
      </c>
      <c r="H569" t="s">
        <v>683</v>
      </c>
      <c r="I569" t="s">
        <v>1241</v>
      </c>
      <c r="J569" t="s">
        <v>1281</v>
      </c>
      <c r="K569">
        <v>43915</v>
      </c>
      <c r="L569">
        <v>0.155948553054662</v>
      </c>
      <c r="M569">
        <v>-0.1356966943858927</v>
      </c>
      <c r="N569">
        <v>0.118</v>
      </c>
      <c r="O569">
        <v>0.06013243588475392</v>
      </c>
      <c r="P569" t="s">
        <v>516</v>
      </c>
      <c r="Q569" t="s">
        <v>375</v>
      </c>
      <c r="R569">
        <v>0</v>
      </c>
      <c r="S569">
        <v>1.94</v>
      </c>
      <c r="T569">
        <v>6</v>
      </c>
      <c r="U569">
        <v>2.073333333333333</v>
      </c>
      <c r="V569">
        <v>-3.7726</v>
      </c>
      <c r="W569">
        <v>1</v>
      </c>
      <c r="X569">
        <v>1.94</v>
      </c>
      <c r="Y569">
        <v>-0.2887</v>
      </c>
      <c r="Z569">
        <v>0.9220338983050848</v>
      </c>
      <c r="AA569">
        <v>0.4096185737976783</v>
      </c>
      <c r="AB569">
        <v>0.9238410596026491</v>
      </c>
      <c r="AC569">
        <v>0.03311258278145696</v>
      </c>
      <c r="AD569">
        <v>0.2433774834437086</v>
      </c>
    </row>
    <row r="570" spans="1:30">
      <c r="A570" s="1" t="s">
        <v>577</v>
      </c>
      <c r="B570">
        <f>HYPERLINK("https://www.suredividend.com/sure-analysis-BBBY/","Bed Bath &amp; Beyond, Inc.")</f>
        <v>0</v>
      </c>
      <c r="C570">
        <v>5.79</v>
      </c>
      <c r="D570">
        <v>732.7418699999999</v>
      </c>
      <c r="E570" t="s">
        <v>641</v>
      </c>
      <c r="F570" t="s">
        <v>613</v>
      </c>
      <c r="G570" t="s">
        <v>653</v>
      </c>
      <c r="H570" t="s">
        <v>683</v>
      </c>
      <c r="I570" t="s">
        <v>1242</v>
      </c>
      <c r="J570" t="s">
        <v>1279</v>
      </c>
      <c r="K570">
        <v>43937</v>
      </c>
      <c r="L570">
        <v>0.117443868739205</v>
      </c>
      <c r="M570">
        <v>0.03868508462692688</v>
      </c>
      <c r="N570">
        <v>0.02</v>
      </c>
      <c r="O570">
        <v>0.05945878631946555</v>
      </c>
      <c r="P570" t="s">
        <v>516</v>
      </c>
      <c r="Q570" t="s">
        <v>316</v>
      </c>
      <c r="R570">
        <v>3</v>
      </c>
      <c r="S570">
        <v>9.99</v>
      </c>
      <c r="T570">
        <v>7</v>
      </c>
      <c r="U570">
        <v>0.8271428571428572</v>
      </c>
      <c r="V570">
        <v>-4.8764</v>
      </c>
      <c r="W570">
        <v>-2</v>
      </c>
      <c r="X570">
        <v>0.68</v>
      </c>
      <c r="Y570">
        <v>-0.6203000000000001</v>
      </c>
      <c r="Z570">
        <v>0.8694915254237289</v>
      </c>
      <c r="AA570">
        <v>0.0746268656716418</v>
      </c>
      <c r="AB570">
        <v>0.1274834437086093</v>
      </c>
      <c r="AC570">
        <v>0.6175496688741722</v>
      </c>
      <c r="AD570">
        <v>0.2400662251655629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23.35</v>
      </c>
      <c r="D571">
        <v>12837.4564</v>
      </c>
      <c r="E571" t="s">
        <v>644</v>
      </c>
      <c r="F571" t="s">
        <v>613</v>
      </c>
      <c r="G571" t="s">
        <v>659</v>
      </c>
      <c r="H571" t="s">
        <v>682</v>
      </c>
      <c r="I571" t="s">
        <v>1243</v>
      </c>
      <c r="J571" t="s">
        <v>1284</v>
      </c>
      <c r="K571">
        <v>43912</v>
      </c>
      <c r="L571">
        <v>0.077868989942018</v>
      </c>
      <c r="M571">
        <v>-0.06150404028651357</v>
      </c>
      <c r="N571">
        <v>0.05</v>
      </c>
      <c r="O571">
        <v>0.05931536686454897</v>
      </c>
      <c r="P571" t="s">
        <v>516</v>
      </c>
      <c r="Q571" t="s">
        <v>316</v>
      </c>
      <c r="R571">
        <v>4</v>
      </c>
      <c r="S571">
        <v>1.212160610097427</v>
      </c>
      <c r="T571">
        <v>17</v>
      </c>
      <c r="U571">
        <v>1.373529411764706</v>
      </c>
      <c r="V571">
        <v>1.9561</v>
      </c>
      <c r="W571">
        <v>1.5</v>
      </c>
      <c r="X571">
        <v>1.81824091514614</v>
      </c>
      <c r="Y571">
        <v>-0.3474</v>
      </c>
      <c r="Z571">
        <v>0.7593220338983051</v>
      </c>
      <c r="AA571">
        <v>0.3250414593698176</v>
      </c>
      <c r="AB571">
        <v>0.4991721854304636</v>
      </c>
      <c r="AC571">
        <v>0.1539735099337748</v>
      </c>
      <c r="AD571">
        <v>0.2384105960264901</v>
      </c>
    </row>
    <row r="572" spans="1:30">
      <c r="A572" s="1" t="s">
        <v>579</v>
      </c>
      <c r="B572">
        <f>HYPERLINK("https://www.suredividend.com/sure-analysis-VET/","Vermilion Energy, Inc.")</f>
        <v>0</v>
      </c>
      <c r="C572">
        <v>4.4</v>
      </c>
      <c r="D572">
        <v>687.676</v>
      </c>
      <c r="E572" t="s">
        <v>646</v>
      </c>
      <c r="F572" t="s">
        <v>613</v>
      </c>
      <c r="G572" t="s">
        <v>659</v>
      </c>
      <c r="H572" t="s">
        <v>682</v>
      </c>
      <c r="I572" t="s">
        <v>1244</v>
      </c>
      <c r="J572" t="s">
        <v>1284</v>
      </c>
      <c r="K572">
        <v>43912</v>
      </c>
      <c r="L572">
        <v>0.451914494360922</v>
      </c>
      <c r="M572">
        <v>-0.1033612562610045</v>
      </c>
      <c r="N572">
        <v>0.05</v>
      </c>
      <c r="O572">
        <v>0.05697008769888234</v>
      </c>
      <c r="P572" t="s">
        <v>516</v>
      </c>
      <c r="Q572" t="s">
        <v>375</v>
      </c>
      <c r="R572">
        <v>0</v>
      </c>
      <c r="S572">
        <v>3.898870147427568</v>
      </c>
      <c r="T572">
        <v>2.55</v>
      </c>
      <c r="U572">
        <v>1.725490196078432</v>
      </c>
      <c r="V572">
        <v>-6.2942</v>
      </c>
      <c r="W572">
        <v>0.51</v>
      </c>
      <c r="X572">
        <v>1.98842377518806</v>
      </c>
      <c r="Y572">
        <v>-0.8113</v>
      </c>
      <c r="Z572">
        <v>0.9983050847457627</v>
      </c>
      <c r="AA572">
        <v>0.006633499170812604</v>
      </c>
      <c r="AB572">
        <v>0.4991721854304636</v>
      </c>
      <c r="AC572">
        <v>0.05132450331125828</v>
      </c>
      <c r="AD572">
        <v>0.2268211920529801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10.35</v>
      </c>
      <c r="D573">
        <v>1144.65825</v>
      </c>
      <c r="E573" t="s">
        <v>646</v>
      </c>
      <c r="F573" t="s">
        <v>614</v>
      </c>
      <c r="G573" t="s">
        <v>653</v>
      </c>
      <c r="H573" t="s">
        <v>682</v>
      </c>
      <c r="I573" t="s">
        <v>1245</v>
      </c>
      <c r="J573" t="s">
        <v>1277</v>
      </c>
      <c r="K573">
        <v>43910</v>
      </c>
      <c r="L573">
        <v>0.123671497584541</v>
      </c>
      <c r="M573">
        <v>0.01225625034648092</v>
      </c>
      <c r="N573">
        <v>-0.038</v>
      </c>
      <c r="O573">
        <v>0.05489188829582536</v>
      </c>
      <c r="P573" t="s">
        <v>516</v>
      </c>
      <c r="Q573" t="s">
        <v>375</v>
      </c>
      <c r="R573">
        <v>2</v>
      </c>
      <c r="S573">
        <v>1.662337662337662</v>
      </c>
      <c r="T573">
        <v>11</v>
      </c>
      <c r="U573">
        <v>0.9409090909090909</v>
      </c>
      <c r="V573">
        <v>0.8278000000000001</v>
      </c>
      <c r="W573">
        <v>0.77</v>
      </c>
      <c r="X573">
        <v>1.28</v>
      </c>
      <c r="Y573">
        <v>-0.2189</v>
      </c>
      <c r="Z573">
        <v>0.8847457627118643</v>
      </c>
      <c r="AA573">
        <v>0.4908789386401327</v>
      </c>
      <c r="AB573">
        <v>0.006622516556291392</v>
      </c>
      <c r="AC573">
        <v>0.4950331125827814</v>
      </c>
      <c r="AD573">
        <v>0.2201986754966887</v>
      </c>
    </row>
    <row r="574" spans="1:30">
      <c r="A574" s="1" t="s">
        <v>581</v>
      </c>
      <c r="B574">
        <f>HYPERLINK("https://www.suredividend.com/sure-analysis-EQM/","EQM Midstream Partners LP")</f>
        <v>0</v>
      </c>
      <c r="C574">
        <v>18.68</v>
      </c>
      <c r="D574">
        <v>3744.55544</v>
      </c>
      <c r="E574" t="s">
        <v>644</v>
      </c>
      <c r="F574" t="s">
        <v>615</v>
      </c>
      <c r="G574" t="s">
        <v>653</v>
      </c>
      <c r="H574" t="s">
        <v>682</v>
      </c>
      <c r="I574" t="s">
        <v>1246</v>
      </c>
      <c r="J574" t="s">
        <v>1284</v>
      </c>
      <c r="K574">
        <v>43893</v>
      </c>
      <c r="L574">
        <v>0.207039614561027</v>
      </c>
      <c r="M574">
        <v>-0.03049819460778258</v>
      </c>
      <c r="N574">
        <v>0</v>
      </c>
      <c r="O574">
        <v>0.04519135716182787</v>
      </c>
      <c r="P574" t="s">
        <v>516</v>
      </c>
      <c r="Q574" t="s">
        <v>618</v>
      </c>
      <c r="R574">
        <v>0</v>
      </c>
      <c r="S574">
        <v>1.105</v>
      </c>
      <c r="T574">
        <v>16</v>
      </c>
      <c r="U574">
        <v>1.1675</v>
      </c>
      <c r="V574">
        <v>0.4171</v>
      </c>
      <c r="W574">
        <v>3.5</v>
      </c>
      <c r="X574">
        <v>3.8675</v>
      </c>
      <c r="Y574">
        <v>-0.5836</v>
      </c>
      <c r="Z574">
        <v>0.9627118644067797</v>
      </c>
      <c r="AA574">
        <v>0.09950248756218905</v>
      </c>
      <c r="AB574">
        <v>0.02980132450331126</v>
      </c>
      <c r="AC574">
        <v>0.2781456953642384</v>
      </c>
      <c r="AD574">
        <v>0.1887417218543046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3.27</v>
      </c>
      <c r="D575">
        <v>609.86481</v>
      </c>
      <c r="E575" t="s">
        <v>644</v>
      </c>
      <c r="F575" t="s">
        <v>613</v>
      </c>
      <c r="G575" t="s">
        <v>653</v>
      </c>
      <c r="H575" t="s">
        <v>683</v>
      </c>
      <c r="I575" t="s">
        <v>1247</v>
      </c>
      <c r="J575" t="s">
        <v>1284</v>
      </c>
      <c r="K575">
        <v>43957</v>
      </c>
      <c r="L575">
        <v>0.048929663608562</v>
      </c>
      <c r="M575">
        <v>0.1774345989350237</v>
      </c>
      <c r="N575">
        <v>-0.14</v>
      </c>
      <c r="O575">
        <v>0.03689276069419378</v>
      </c>
      <c r="P575" t="s">
        <v>516</v>
      </c>
      <c r="Q575" t="s">
        <v>516</v>
      </c>
      <c r="R575">
        <v>0</v>
      </c>
      <c r="S575">
        <v>9.99</v>
      </c>
      <c r="T575">
        <v>7.4</v>
      </c>
      <c r="U575">
        <v>0.4418918918918919</v>
      </c>
      <c r="V575">
        <v>-4.2748</v>
      </c>
      <c r="W575">
        <v>-2.4</v>
      </c>
      <c r="X575">
        <v>0.16</v>
      </c>
      <c r="Y575">
        <v>-0.7449</v>
      </c>
      <c r="Z575">
        <v>0.5694915254237288</v>
      </c>
      <c r="AA575">
        <v>0.02321724709784411</v>
      </c>
      <c r="AB575">
        <v>0.001655629139072848</v>
      </c>
      <c r="AC575">
        <v>0.966887417218543</v>
      </c>
      <c r="AD575">
        <v>0.152317880794702</v>
      </c>
    </row>
    <row r="576" spans="1:30">
      <c r="A576" s="1" t="s">
        <v>583</v>
      </c>
      <c r="B576">
        <f>HYPERLINK("https://www.suredividend.com/sure-analysis-LAND/","Gladstone Land Corp.")</f>
        <v>0</v>
      </c>
      <c r="C576">
        <v>13</v>
      </c>
      <c r="D576">
        <v>277.5045</v>
      </c>
      <c r="E576" t="s">
        <v>649</v>
      </c>
      <c r="F576" t="s">
        <v>614</v>
      </c>
      <c r="G576" t="s">
        <v>653</v>
      </c>
      <c r="H576" t="s">
        <v>683</v>
      </c>
      <c r="I576" t="s">
        <v>1189</v>
      </c>
      <c r="J576" t="s">
        <v>1281</v>
      </c>
      <c r="K576">
        <v>43882</v>
      </c>
      <c r="L576">
        <v>0.041161538461538</v>
      </c>
      <c r="M576">
        <v>-0.03285883999939365</v>
      </c>
      <c r="N576">
        <v>0.03</v>
      </c>
      <c r="O576">
        <v>0.03635648042022188</v>
      </c>
      <c r="P576" t="s">
        <v>516</v>
      </c>
      <c r="Q576" t="s">
        <v>516</v>
      </c>
      <c r="R576">
        <v>6</v>
      </c>
      <c r="S576">
        <v>0.8918333333333334</v>
      </c>
      <c r="T576">
        <v>11</v>
      </c>
      <c r="U576">
        <v>1.181818181818182</v>
      </c>
      <c r="V576">
        <v>-0.0562</v>
      </c>
      <c r="W576">
        <v>0.6</v>
      </c>
      <c r="X576">
        <v>0.5351</v>
      </c>
      <c r="Y576">
        <v>0.0269</v>
      </c>
      <c r="Z576">
        <v>0.4779661016949152</v>
      </c>
      <c r="AA576">
        <v>0.7927031509121062</v>
      </c>
      <c r="AB576">
        <v>0.2144039735099338</v>
      </c>
      <c r="AC576">
        <v>0.2632450331125828</v>
      </c>
      <c r="AD576">
        <v>0.1506622516556291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8.470000000000001</v>
      </c>
      <c r="D577">
        <v>5932.420042</v>
      </c>
      <c r="E577" t="s">
        <v>646</v>
      </c>
      <c r="F577" t="s">
        <v>614</v>
      </c>
      <c r="G577" t="s">
        <v>659</v>
      </c>
      <c r="H577" t="s">
        <v>684</v>
      </c>
      <c r="I577" t="s">
        <v>1248</v>
      </c>
      <c r="J577" t="s">
        <v>1277</v>
      </c>
      <c r="K577">
        <v>43963</v>
      </c>
      <c r="L577">
        <v>0.065649912448022</v>
      </c>
      <c r="M577">
        <v>-0.0827328174886276</v>
      </c>
      <c r="N577">
        <v>0.049</v>
      </c>
      <c r="O577">
        <v>0.03179859665395912</v>
      </c>
      <c r="P577" t="s">
        <v>516</v>
      </c>
      <c r="Q577" t="s">
        <v>316</v>
      </c>
      <c r="R577">
        <v>0</v>
      </c>
      <c r="S577">
        <v>1.011008651699542</v>
      </c>
      <c r="T577">
        <v>5.5</v>
      </c>
      <c r="U577">
        <v>1.54</v>
      </c>
      <c r="V577">
        <v>0.6972</v>
      </c>
      <c r="W577">
        <v>0.55</v>
      </c>
      <c r="X577">
        <v>0.5560547584347481</v>
      </c>
      <c r="Y577">
        <v>-0.1547</v>
      </c>
      <c r="Z577">
        <v>0.6779661016949153</v>
      </c>
      <c r="AA577">
        <v>0.5953565505804312</v>
      </c>
      <c r="AB577">
        <v>0.4321192052980132</v>
      </c>
      <c r="AC577">
        <v>0.09105960264900663</v>
      </c>
      <c r="AD577">
        <v>0.1423841059602649</v>
      </c>
    </row>
    <row r="578" spans="1:30">
      <c r="A578" s="1" t="s">
        <v>585</v>
      </c>
      <c r="B578">
        <f>HYPERLINK("https://www.suredividend.com/sure-analysis-BX/","The Blackstone Group, Inc.")</f>
        <v>0</v>
      </c>
      <c r="C578">
        <v>51.07</v>
      </c>
      <c r="D578">
        <v>34210.56732</v>
      </c>
      <c r="E578" t="s">
        <v>641</v>
      </c>
      <c r="F578" t="s">
        <v>613</v>
      </c>
      <c r="G578" t="s">
        <v>653</v>
      </c>
      <c r="H578" t="s">
        <v>682</v>
      </c>
      <c r="I578" t="s">
        <v>1249</v>
      </c>
      <c r="J578" t="s">
        <v>1277</v>
      </c>
      <c r="K578">
        <v>43951</v>
      </c>
      <c r="L578">
        <v>0.038182886234579</v>
      </c>
      <c r="M578">
        <v>-0.09501961290464089</v>
      </c>
      <c r="N578">
        <v>0.09</v>
      </c>
      <c r="O578">
        <v>0.02988596841234847</v>
      </c>
      <c r="P578" t="s">
        <v>516</v>
      </c>
      <c r="Q578" t="s">
        <v>516</v>
      </c>
      <c r="R578">
        <v>0</v>
      </c>
      <c r="S578">
        <v>0.8863636363636364</v>
      </c>
      <c r="T578">
        <v>31</v>
      </c>
      <c r="U578">
        <v>1.64741935483871</v>
      </c>
      <c r="V578">
        <v>0.7412000000000001</v>
      </c>
      <c r="W578">
        <v>2.2</v>
      </c>
      <c r="X578">
        <v>1.95</v>
      </c>
      <c r="Y578">
        <v>0.2903</v>
      </c>
      <c r="Z578">
        <v>0.4440677966101695</v>
      </c>
      <c r="AA578">
        <v>0.945273631840796</v>
      </c>
      <c r="AB578">
        <v>0.8600993377483444</v>
      </c>
      <c r="AC578">
        <v>0.06291390728476821</v>
      </c>
      <c r="AD578">
        <v>0.1390728476821192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20.01</v>
      </c>
      <c r="D579">
        <v>20925.272347</v>
      </c>
      <c r="E579" t="s">
        <v>643</v>
      </c>
      <c r="F579" t="s">
        <v>613</v>
      </c>
      <c r="G579" t="s">
        <v>670</v>
      </c>
      <c r="H579" t="s">
        <v>682</v>
      </c>
      <c r="I579" t="s">
        <v>1250</v>
      </c>
      <c r="J579" t="s">
        <v>1286</v>
      </c>
      <c r="K579">
        <v>43950</v>
      </c>
      <c r="L579">
        <v>0.07471764117941</v>
      </c>
      <c r="M579">
        <v>-0.06894317197241295</v>
      </c>
      <c r="N579">
        <v>0.02</v>
      </c>
      <c r="O579">
        <v>0.02651361660699703</v>
      </c>
      <c r="P579" t="s">
        <v>516</v>
      </c>
      <c r="Q579" t="s">
        <v>316</v>
      </c>
      <c r="R579">
        <v>1</v>
      </c>
      <c r="S579">
        <v>2.135857142857143</v>
      </c>
      <c r="T579">
        <v>14</v>
      </c>
      <c r="U579">
        <v>1.429285714285714</v>
      </c>
      <c r="V579">
        <v>0.9983000000000001</v>
      </c>
      <c r="W579">
        <v>0.7</v>
      </c>
      <c r="X579">
        <v>1.4951</v>
      </c>
      <c r="Y579">
        <v>-0.2866</v>
      </c>
      <c r="Z579">
        <v>0.7406779661016949</v>
      </c>
      <c r="AA579">
        <v>0.4112769485903814</v>
      </c>
      <c r="AB579">
        <v>0.1274834437086093</v>
      </c>
      <c r="AC579">
        <v>0.1274834437086093</v>
      </c>
      <c r="AD579">
        <v>0.1258278145695364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13.85</v>
      </c>
      <c r="D580">
        <v>6831.0693</v>
      </c>
      <c r="E580" t="s">
        <v>644</v>
      </c>
      <c r="F580" t="s">
        <v>613</v>
      </c>
      <c r="G580" t="s">
        <v>653</v>
      </c>
      <c r="H580" t="s">
        <v>682</v>
      </c>
      <c r="I580" t="s">
        <v>1251</v>
      </c>
      <c r="J580" t="s">
        <v>1279</v>
      </c>
      <c r="K580">
        <v>43962</v>
      </c>
      <c r="L580">
        <v>0.03898916967509</v>
      </c>
      <c r="M580">
        <v>-0.02826847018696077</v>
      </c>
      <c r="N580">
        <v>0.05</v>
      </c>
      <c r="O580">
        <v>0.02497091018882958</v>
      </c>
      <c r="P580" t="s">
        <v>516</v>
      </c>
      <c r="Q580" t="s">
        <v>516</v>
      </c>
      <c r="R580">
        <v>0</v>
      </c>
      <c r="S580">
        <v>9.99</v>
      </c>
      <c r="T580">
        <v>12</v>
      </c>
      <c r="U580">
        <v>1.154166666666667</v>
      </c>
      <c r="V580">
        <v>5.5895</v>
      </c>
      <c r="W580">
        <v>-2.5</v>
      </c>
      <c r="X580">
        <v>0.54</v>
      </c>
      <c r="Y580">
        <v>-0.4693</v>
      </c>
      <c r="Z580">
        <v>0.4559322033898305</v>
      </c>
      <c r="AA580">
        <v>0.203150912106136</v>
      </c>
      <c r="AB580">
        <v>0.4991721854304636</v>
      </c>
      <c r="AC580">
        <v>0.2913907284768212</v>
      </c>
      <c r="AD580">
        <v>0.1225165562913907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11.63</v>
      </c>
      <c r="D581">
        <v>3282.61402</v>
      </c>
      <c r="E581" t="s">
        <v>646</v>
      </c>
      <c r="F581" t="s">
        <v>614</v>
      </c>
      <c r="G581" t="s">
        <v>653</v>
      </c>
      <c r="H581" t="s">
        <v>682</v>
      </c>
      <c r="I581" t="s">
        <v>1252</v>
      </c>
      <c r="J581" t="s">
        <v>1281</v>
      </c>
      <c r="K581">
        <v>43913</v>
      </c>
      <c r="L581">
        <v>0.165090283748925</v>
      </c>
      <c r="M581">
        <v>-0.172959914332258</v>
      </c>
      <c r="N581">
        <v>0.148</v>
      </c>
      <c r="O581">
        <v>0.01991622185774</v>
      </c>
      <c r="P581" t="s">
        <v>516</v>
      </c>
      <c r="Q581" t="s">
        <v>375</v>
      </c>
      <c r="R581">
        <v>0</v>
      </c>
      <c r="S581">
        <v>2.56</v>
      </c>
      <c r="T581">
        <v>4.5</v>
      </c>
      <c r="U581">
        <v>2.584444444444445</v>
      </c>
      <c r="V581">
        <v>1.3125</v>
      </c>
      <c r="W581">
        <v>0.75</v>
      </c>
      <c r="X581">
        <v>1.92</v>
      </c>
      <c r="Y581">
        <v>-0.4838</v>
      </c>
      <c r="Z581">
        <v>0.9355932203389831</v>
      </c>
      <c r="AA581">
        <v>0.1774461028192372</v>
      </c>
      <c r="AB581">
        <v>0.9552980132450331</v>
      </c>
      <c r="AC581">
        <v>0.01986754966887417</v>
      </c>
      <c r="AD581">
        <v>0.1092715231788079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40.69</v>
      </c>
      <c r="D582">
        <v>17613.168167</v>
      </c>
      <c r="E582" t="s">
        <v>649</v>
      </c>
      <c r="F582" t="s">
        <v>613</v>
      </c>
      <c r="G582" t="s">
        <v>653</v>
      </c>
      <c r="H582" t="s">
        <v>682</v>
      </c>
      <c r="I582" t="s">
        <v>1253</v>
      </c>
      <c r="J582" t="s">
        <v>1277</v>
      </c>
      <c r="K582">
        <v>43955</v>
      </c>
      <c r="L582">
        <v>0.05775374784959401</v>
      </c>
      <c r="M582">
        <v>-0.1157257100568043</v>
      </c>
      <c r="N582">
        <v>0.1</v>
      </c>
      <c r="O582">
        <v>0.01730493440449243</v>
      </c>
      <c r="P582" t="s">
        <v>516</v>
      </c>
      <c r="Q582" t="s">
        <v>316</v>
      </c>
      <c r="R582">
        <v>0</v>
      </c>
      <c r="S582">
        <v>1.175</v>
      </c>
      <c r="T582">
        <v>22</v>
      </c>
      <c r="U582">
        <v>1.849545454545454</v>
      </c>
      <c r="V582">
        <v>-1.3993</v>
      </c>
      <c r="W582">
        <v>2</v>
      </c>
      <c r="X582">
        <v>2.35</v>
      </c>
      <c r="Y582">
        <v>0.2417</v>
      </c>
      <c r="Z582">
        <v>0.6389830508474577</v>
      </c>
      <c r="AA582">
        <v>0.9237147595356551</v>
      </c>
      <c r="AB582">
        <v>0.8981788079470199</v>
      </c>
      <c r="AC582">
        <v>0.04470198675496689</v>
      </c>
      <c r="AD582">
        <v>0.09768211920529801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14.73</v>
      </c>
      <c r="D583">
        <v>39436.9236</v>
      </c>
      <c r="E583" t="s">
        <v>649</v>
      </c>
      <c r="F583" t="s">
        <v>613</v>
      </c>
      <c r="G583" t="s">
        <v>654</v>
      </c>
      <c r="H583" t="s">
        <v>683</v>
      </c>
      <c r="I583" t="s">
        <v>1254</v>
      </c>
      <c r="J583" t="s">
        <v>1282</v>
      </c>
      <c r="K583">
        <v>43964</v>
      </c>
      <c r="L583">
        <v>0.063679293957909</v>
      </c>
      <c r="M583">
        <v>-0.09383360478765357</v>
      </c>
      <c r="N583">
        <v>0.02</v>
      </c>
      <c r="O583">
        <v>9.13238316304632e-05</v>
      </c>
      <c r="P583" t="s">
        <v>516</v>
      </c>
      <c r="Q583" t="s">
        <v>316</v>
      </c>
      <c r="R583">
        <v>0</v>
      </c>
      <c r="S583">
        <v>1.130115662650602</v>
      </c>
      <c r="T583">
        <v>9</v>
      </c>
      <c r="U583">
        <v>1.636666666666667</v>
      </c>
      <c r="V583">
        <v>-0.9115000000000001</v>
      </c>
      <c r="W583">
        <v>0.83</v>
      </c>
      <c r="X583">
        <v>0.9379959999999999</v>
      </c>
      <c r="Y583">
        <v>-0.0828</v>
      </c>
      <c r="Z583">
        <v>0.6661016949152543</v>
      </c>
      <c r="AA583">
        <v>0.6965174129353234</v>
      </c>
      <c r="AB583">
        <v>0.1274834437086093</v>
      </c>
      <c r="AC583">
        <v>0.06788079470198675</v>
      </c>
      <c r="AD583">
        <v>0.05794701986754967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10.61</v>
      </c>
      <c r="D584">
        <v>4004.48986</v>
      </c>
      <c r="E584" t="s">
        <v>644</v>
      </c>
      <c r="F584" t="s">
        <v>613</v>
      </c>
      <c r="G584" t="s">
        <v>653</v>
      </c>
      <c r="H584" t="s">
        <v>682</v>
      </c>
      <c r="I584" t="s">
        <v>1255</v>
      </c>
      <c r="J584" t="s">
        <v>1284</v>
      </c>
      <c r="K584">
        <v>43966</v>
      </c>
      <c r="L584">
        <v>0.073044297832233</v>
      </c>
      <c r="M584">
        <v>-0.1772480477291859</v>
      </c>
      <c r="N584">
        <v>0.2</v>
      </c>
      <c r="O584">
        <v>-0.002971804992500382</v>
      </c>
      <c r="P584" t="s">
        <v>516</v>
      </c>
      <c r="Q584" t="s">
        <v>316</v>
      </c>
      <c r="R584">
        <v>0</v>
      </c>
      <c r="S584">
        <v>9.99</v>
      </c>
      <c r="T584">
        <v>4</v>
      </c>
      <c r="U584">
        <v>2.6525</v>
      </c>
      <c r="V584">
        <v>-21.1516</v>
      </c>
      <c r="W584">
        <v>-2.6</v>
      </c>
      <c r="X584">
        <v>0.775</v>
      </c>
      <c r="Y584">
        <v>-0.6596000000000001</v>
      </c>
      <c r="Z584">
        <v>0.7271186440677967</v>
      </c>
      <c r="AA584">
        <v>0.05638474295190713</v>
      </c>
      <c r="AB584">
        <v>0.9817880794701986</v>
      </c>
      <c r="AC584">
        <v>0.01821192052980132</v>
      </c>
      <c r="AD584">
        <v>0.04966887417218543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11.14</v>
      </c>
      <c r="D585">
        <v>686.198378</v>
      </c>
      <c r="E585" t="s">
        <v>649</v>
      </c>
      <c r="F585" t="s">
        <v>613</v>
      </c>
      <c r="G585" t="s">
        <v>653</v>
      </c>
      <c r="H585" t="s">
        <v>682</v>
      </c>
      <c r="I585" t="s">
        <v>1256</v>
      </c>
      <c r="J585" t="s">
        <v>1279</v>
      </c>
      <c r="K585">
        <v>43906</v>
      </c>
      <c r="L585">
        <v>0.071813285457809</v>
      </c>
      <c r="M585">
        <v>-0.1164050768135169</v>
      </c>
      <c r="N585">
        <v>0.02</v>
      </c>
      <c r="O585">
        <v>-0.03003403750533307</v>
      </c>
      <c r="P585" t="s">
        <v>516</v>
      </c>
      <c r="Q585" t="s">
        <v>316</v>
      </c>
      <c r="R585">
        <v>0</v>
      </c>
      <c r="S585">
        <v>1.6</v>
      </c>
      <c r="T585">
        <v>6</v>
      </c>
      <c r="U585">
        <v>1.856666666666667</v>
      </c>
      <c r="V585">
        <v>0.6589</v>
      </c>
      <c r="W585">
        <v>0.5</v>
      </c>
      <c r="X585">
        <v>0.8</v>
      </c>
      <c r="Y585">
        <v>-0.5702</v>
      </c>
      <c r="Z585">
        <v>0.7169491525423729</v>
      </c>
      <c r="AA585">
        <v>0.1044776119402985</v>
      </c>
      <c r="AB585">
        <v>0.1274834437086093</v>
      </c>
      <c r="AC585">
        <v>0.04304635761589404</v>
      </c>
      <c r="AD585">
        <v>0.02152317880794702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5.81</v>
      </c>
      <c r="D586">
        <v>8310.7402</v>
      </c>
      <c r="E586" t="s">
        <v>646</v>
      </c>
      <c r="F586" t="s">
        <v>614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0.172117039586919</v>
      </c>
      <c r="M586">
        <v>-0.23724857912187</v>
      </c>
      <c r="N586">
        <v>0.149</v>
      </c>
      <c r="O586">
        <v>-0.04811239495358943</v>
      </c>
      <c r="P586" t="s">
        <v>516</v>
      </c>
      <c r="Q586" t="s">
        <v>375</v>
      </c>
      <c r="R586">
        <v>0</v>
      </c>
      <c r="S586">
        <v>4</v>
      </c>
      <c r="T586">
        <v>1.5</v>
      </c>
      <c r="U586">
        <v>3.873333333333334</v>
      </c>
      <c r="V586">
        <v>-3.5293</v>
      </c>
      <c r="W586">
        <v>0.25</v>
      </c>
      <c r="X586">
        <v>1</v>
      </c>
      <c r="Y586">
        <v>-0.3903</v>
      </c>
      <c r="Z586">
        <v>0.940677966101695</v>
      </c>
      <c r="AA586">
        <v>0.2786069651741294</v>
      </c>
      <c r="AB586">
        <v>0.9586092715231789</v>
      </c>
      <c r="AC586">
        <v>0.006622516556291392</v>
      </c>
      <c r="AD586">
        <v>0.01655629139072848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69.61</v>
      </c>
      <c r="D587">
        <v>9040.877189999999</v>
      </c>
      <c r="E587" t="s">
        <v>648</v>
      </c>
      <c r="F587" t="s">
        <v>613</v>
      </c>
      <c r="G587" t="s">
        <v>653</v>
      </c>
      <c r="H587" t="s">
        <v>682</v>
      </c>
      <c r="I587" t="s">
        <v>1258</v>
      </c>
      <c r="J587" t="s">
        <v>1279</v>
      </c>
      <c r="K587">
        <v>43937</v>
      </c>
      <c r="L587">
        <v>0.048699899439735</v>
      </c>
      <c r="M587">
        <v>-0.08766106642167981</v>
      </c>
      <c r="N587">
        <v>0.04</v>
      </c>
      <c r="O587">
        <v>-0.05116750907854706</v>
      </c>
      <c r="P587" t="s">
        <v>516</v>
      </c>
      <c r="Q587" t="s">
        <v>516</v>
      </c>
      <c r="R587">
        <v>4</v>
      </c>
      <c r="S587">
        <v>1.334645669291339</v>
      </c>
      <c r="T587">
        <v>44</v>
      </c>
      <c r="U587">
        <v>1.582045454545455</v>
      </c>
      <c r="V587">
        <v>5.195</v>
      </c>
      <c r="W587">
        <v>2.54</v>
      </c>
      <c r="X587">
        <v>3.39</v>
      </c>
      <c r="Y587">
        <v>-0.4245</v>
      </c>
      <c r="Z587">
        <v>0.5661016949152543</v>
      </c>
      <c r="AA587">
        <v>0.2454394693200663</v>
      </c>
      <c r="AB587">
        <v>0.3493377483443709</v>
      </c>
      <c r="AC587">
        <v>0.07781456953642384</v>
      </c>
      <c r="AD587">
        <v>0.01324503311258278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77.7</v>
      </c>
      <c r="D588">
        <v>8381.3436</v>
      </c>
      <c r="E588" t="s">
        <v>642</v>
      </c>
      <c r="F588" t="s">
        <v>613</v>
      </c>
      <c r="G588" t="s">
        <v>653</v>
      </c>
      <c r="H588" t="s">
        <v>683</v>
      </c>
      <c r="I588" t="s">
        <v>1259</v>
      </c>
      <c r="J588" t="s">
        <v>1279</v>
      </c>
      <c r="K588">
        <v>43963</v>
      </c>
      <c r="L588">
        <v>0.051480051480051</v>
      </c>
      <c r="M588">
        <v>-0.1625752507107816</v>
      </c>
      <c r="N588">
        <v>0.04</v>
      </c>
      <c r="O588">
        <v>-0.1061064161814267</v>
      </c>
      <c r="P588" t="s">
        <v>516</v>
      </c>
      <c r="Q588" t="s">
        <v>516</v>
      </c>
      <c r="R588">
        <v>0</v>
      </c>
      <c r="S588">
        <v>9.99</v>
      </c>
      <c r="T588">
        <v>32</v>
      </c>
      <c r="U588">
        <v>2.428125</v>
      </c>
      <c r="V588">
        <v>-3.6034</v>
      </c>
      <c r="W588">
        <v>-0.6</v>
      </c>
      <c r="X588">
        <v>4</v>
      </c>
      <c r="Y588">
        <v>-0.3796</v>
      </c>
      <c r="Z588">
        <v>0.5915254237288136</v>
      </c>
      <c r="AA588">
        <v>0.2918739635157546</v>
      </c>
      <c r="AB588">
        <v>0.3493377483443709</v>
      </c>
      <c r="AC588">
        <v>0.02152317880794702</v>
      </c>
      <c r="AD588">
        <v>0.008278145695364239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17</v>
      </c>
      <c r="D589">
        <v>124.09626</v>
      </c>
      <c r="E589" t="s">
        <v>644</v>
      </c>
      <c r="F589" t="s">
        <v>613</v>
      </c>
      <c r="G589" t="s">
        <v>660</v>
      </c>
      <c r="H589" t="s">
        <v>682</v>
      </c>
      <c r="I589" t="s">
        <v>1260</v>
      </c>
      <c r="J589" t="s">
        <v>1284</v>
      </c>
      <c r="K589">
        <v>43888</v>
      </c>
      <c r="L589">
        <v>0.117647058823529</v>
      </c>
      <c r="M589">
        <v>-0.3239910215796484</v>
      </c>
      <c r="N589">
        <v>-0.03</v>
      </c>
      <c r="O589">
        <v>-0.3320117005898389</v>
      </c>
      <c r="P589" t="s">
        <v>516</v>
      </c>
      <c r="Q589" t="s">
        <v>316</v>
      </c>
      <c r="R589">
        <v>0</v>
      </c>
      <c r="S589">
        <v>9.99</v>
      </c>
      <c r="T589">
        <v>2.4</v>
      </c>
      <c r="U589">
        <v>7.083333333333334</v>
      </c>
      <c r="V589">
        <v>-143.962</v>
      </c>
      <c r="W589">
        <v>-1</v>
      </c>
      <c r="X589">
        <v>2</v>
      </c>
      <c r="Y589">
        <v>-0.9091</v>
      </c>
      <c r="Z589">
        <v>0.8711864406779661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10.92</v>
      </c>
      <c r="D590">
        <v>2799.26556</v>
      </c>
      <c r="E590" t="s">
        <v>649</v>
      </c>
      <c r="F590" t="s">
        <v>613</v>
      </c>
      <c r="G590" t="s">
        <v>653</v>
      </c>
      <c r="H590" t="s">
        <v>682</v>
      </c>
      <c r="I590" t="s">
        <v>1261</v>
      </c>
      <c r="J590" t="s">
        <v>1279</v>
      </c>
      <c r="K590">
        <v>43967</v>
      </c>
      <c r="M590">
        <v>0.2398965968423794</v>
      </c>
      <c r="N590">
        <v>0.08</v>
      </c>
      <c r="O590">
        <v>0.33908832458977</v>
      </c>
      <c r="P590" t="s">
        <v>619</v>
      </c>
      <c r="Q590" t="s">
        <v>619</v>
      </c>
      <c r="R590">
        <v>0</v>
      </c>
      <c r="T590">
        <v>32</v>
      </c>
      <c r="U590">
        <v>0.34125</v>
      </c>
      <c r="V590">
        <v>-5.0215</v>
      </c>
      <c r="W590">
        <v>-7</v>
      </c>
      <c r="Y590">
        <v>-0.8075</v>
      </c>
      <c r="AA590">
        <v>0.008291873963515755</v>
      </c>
      <c r="AB590">
        <v>0.8038079470198676</v>
      </c>
      <c r="AC590">
        <v>0.9834437086092715</v>
      </c>
      <c r="AD590">
        <v>0.9834437086092715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248.03</v>
      </c>
      <c r="D591">
        <v>7017.810426</v>
      </c>
      <c r="E591" t="s">
        <v>644</v>
      </c>
      <c r="F591" t="s">
        <v>613</v>
      </c>
      <c r="G591" t="s">
        <v>659</v>
      </c>
      <c r="H591" t="s">
        <v>684</v>
      </c>
      <c r="I591" t="s">
        <v>1262</v>
      </c>
      <c r="J591" t="s">
        <v>1277</v>
      </c>
      <c r="K591">
        <v>43895</v>
      </c>
      <c r="M591">
        <v>0.1810658941179792</v>
      </c>
      <c r="N591">
        <v>0.02</v>
      </c>
      <c r="O591">
        <v>0.2232488385864766</v>
      </c>
      <c r="P591" t="s">
        <v>619</v>
      </c>
      <c r="Q591" t="s">
        <v>619</v>
      </c>
      <c r="R591">
        <v>0</v>
      </c>
      <c r="T591">
        <v>570</v>
      </c>
      <c r="U591">
        <v>0.435140350877193</v>
      </c>
      <c r="V591">
        <v>-2.6906</v>
      </c>
      <c r="W591">
        <v>500</v>
      </c>
      <c r="Y591">
        <v>-0.4596</v>
      </c>
      <c r="AA591">
        <v>0.2139303482587065</v>
      </c>
      <c r="AB591">
        <v>0.1274834437086093</v>
      </c>
      <c r="AC591">
        <v>0.9718543046357615</v>
      </c>
      <c r="AD591">
        <v>0.9072847682119205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19.92</v>
      </c>
      <c r="D592">
        <v>5785.40544</v>
      </c>
      <c r="E592" t="s">
        <v>643</v>
      </c>
      <c r="F592" t="s">
        <v>613</v>
      </c>
      <c r="G592" t="s">
        <v>653</v>
      </c>
      <c r="H592" t="s">
        <v>683</v>
      </c>
      <c r="I592" t="s">
        <v>1263</v>
      </c>
      <c r="J592" t="s">
        <v>1278</v>
      </c>
      <c r="K592">
        <v>43958</v>
      </c>
      <c r="M592">
        <v>0.1608924621423444</v>
      </c>
      <c r="N592">
        <v>0.05</v>
      </c>
      <c r="O592">
        <v>0.2189370852494616</v>
      </c>
      <c r="P592" t="s">
        <v>619</v>
      </c>
      <c r="Q592" t="s">
        <v>619</v>
      </c>
      <c r="R592">
        <v>0</v>
      </c>
      <c r="T592">
        <v>42</v>
      </c>
      <c r="U592">
        <v>0.4742857142857143</v>
      </c>
      <c r="V592">
        <v>3.7238</v>
      </c>
      <c r="W592">
        <v>-15</v>
      </c>
      <c r="Y592">
        <v>-0.7581</v>
      </c>
      <c r="AA592">
        <v>0.01658374792703151</v>
      </c>
      <c r="AB592">
        <v>0.4991721854304636</v>
      </c>
      <c r="AC592">
        <v>0.9437086092715232</v>
      </c>
      <c r="AD592">
        <v>0.9006622516556291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30.04</v>
      </c>
      <c r="D593">
        <v>4176.6114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0.089547270306258</v>
      </c>
      <c r="M593">
        <v>0.128580526304126</v>
      </c>
      <c r="N593">
        <v>0.03</v>
      </c>
      <c r="O593">
        <v>0.2121935480488943</v>
      </c>
      <c r="P593" t="s">
        <v>619</v>
      </c>
      <c r="Q593" t="s">
        <v>619</v>
      </c>
      <c r="R593">
        <v>11</v>
      </c>
      <c r="T593">
        <v>55</v>
      </c>
      <c r="U593">
        <v>0.5461818181818182</v>
      </c>
      <c r="V593">
        <v>5.3448</v>
      </c>
      <c r="W593">
        <v>0</v>
      </c>
      <c r="X593">
        <v>2.69</v>
      </c>
      <c r="Y593">
        <v>-0.5881000000000001</v>
      </c>
      <c r="Z593">
        <v>0.8084745762711865</v>
      </c>
      <c r="AA593">
        <v>0.09452736318407959</v>
      </c>
      <c r="AB593">
        <v>0.2144039735099338</v>
      </c>
      <c r="AC593">
        <v>0.9023178807947019</v>
      </c>
      <c r="AD593">
        <v>0.8923841059602649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169.25</v>
      </c>
      <c r="D594">
        <v>411283.846875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0.07501746322659963</v>
      </c>
      <c r="N594">
        <v>0.05</v>
      </c>
      <c r="O594">
        <v>0.1287683363879295</v>
      </c>
      <c r="P594" t="s">
        <v>619</v>
      </c>
      <c r="Q594" t="s">
        <v>619</v>
      </c>
      <c r="R594">
        <v>0</v>
      </c>
      <c r="T594">
        <v>243</v>
      </c>
      <c r="U594">
        <v>0.6965020576131687</v>
      </c>
      <c r="V594">
        <v>3.994</v>
      </c>
      <c r="W594">
        <v>9</v>
      </c>
      <c r="Y594">
        <v>-0.1662</v>
      </c>
      <c r="AA594">
        <v>0.5779436152570481</v>
      </c>
      <c r="AB594">
        <v>0.4991721854304636</v>
      </c>
      <c r="AC594">
        <v>0.7814569536423841</v>
      </c>
      <c r="AD594">
        <v>0.6192052980132451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6.82</v>
      </c>
      <c r="D595">
        <v>13343.814905</v>
      </c>
      <c r="E595" t="s">
        <v>646</v>
      </c>
      <c r="F595" t="s">
        <v>613</v>
      </c>
      <c r="G595" t="s">
        <v>670</v>
      </c>
      <c r="H595" t="s">
        <v>684</v>
      </c>
      <c r="I595" t="s">
        <v>1266</v>
      </c>
      <c r="J595" t="s">
        <v>1279</v>
      </c>
      <c r="K595">
        <v>43921</v>
      </c>
      <c r="M595">
        <v>-0.2255491776484571</v>
      </c>
      <c r="N595">
        <v>0.38</v>
      </c>
      <c r="O595">
        <v>0.100512931251949</v>
      </c>
      <c r="P595" t="s">
        <v>619</v>
      </c>
      <c r="Q595" t="s">
        <v>619</v>
      </c>
      <c r="R595">
        <v>0</v>
      </c>
      <c r="T595">
        <v>1.9</v>
      </c>
      <c r="U595">
        <v>3.589473684210527</v>
      </c>
      <c r="V595">
        <v>0.1993</v>
      </c>
      <c r="W595">
        <v>0.25</v>
      </c>
      <c r="Y595">
        <v>-0.5251</v>
      </c>
      <c r="AA595">
        <v>0.1343283582089552</v>
      </c>
      <c r="AB595">
        <v>0.9942052980132451</v>
      </c>
      <c r="AC595">
        <v>0.009933774834437087</v>
      </c>
      <c r="AD595">
        <v>0.4635761589403973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203.68</v>
      </c>
      <c r="D596">
        <v>546417.428</v>
      </c>
      <c r="E596" t="s">
        <v>649</v>
      </c>
      <c r="F596" t="s">
        <v>613</v>
      </c>
      <c r="G596" t="s">
        <v>657</v>
      </c>
      <c r="H596" t="s">
        <v>682</v>
      </c>
      <c r="I596" t="s">
        <v>1267</v>
      </c>
      <c r="J596" t="s">
        <v>1279</v>
      </c>
      <c r="K596">
        <v>43882</v>
      </c>
      <c r="M596">
        <v>-0.0830933785994874</v>
      </c>
      <c r="N596">
        <v>0.2</v>
      </c>
      <c r="O596">
        <v>0.1002879456806152</v>
      </c>
      <c r="P596" t="s">
        <v>619</v>
      </c>
      <c r="Q596" t="s">
        <v>619</v>
      </c>
      <c r="R596">
        <v>0</v>
      </c>
      <c r="T596">
        <v>132</v>
      </c>
      <c r="U596">
        <v>1.543030303030303</v>
      </c>
      <c r="V596">
        <v>9.4811</v>
      </c>
      <c r="W596">
        <v>27.54</v>
      </c>
      <c r="Y596">
        <v>0.1468</v>
      </c>
      <c r="AA596">
        <v>0.8789386401326699</v>
      </c>
      <c r="AB596">
        <v>0.9817880794701986</v>
      </c>
      <c r="AC596">
        <v>0.08940397350993377</v>
      </c>
      <c r="AD596">
        <v>0.4619205298013245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1.06</v>
      </c>
      <c r="D597">
        <v>4452</v>
      </c>
      <c r="E597" t="s">
        <v>642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0.05721772088359112</v>
      </c>
      <c r="N597">
        <v>0.04</v>
      </c>
      <c r="O597">
        <v>0.09950642971893475</v>
      </c>
      <c r="P597" t="s">
        <v>619</v>
      </c>
      <c r="Q597" t="s">
        <v>619</v>
      </c>
      <c r="R597">
        <v>0</v>
      </c>
      <c r="T597">
        <v>1.4</v>
      </c>
      <c r="U597">
        <v>0.7571428571428572</v>
      </c>
      <c r="V597">
        <v>0.2598</v>
      </c>
      <c r="W597">
        <v>0.28</v>
      </c>
      <c r="Y597">
        <v>-0.1654</v>
      </c>
      <c r="AA597">
        <v>0.582089552238806</v>
      </c>
      <c r="AB597">
        <v>0.3493377483443709</v>
      </c>
      <c r="AC597">
        <v>0.6986754966887417</v>
      </c>
      <c r="AD597">
        <v>0.4536423841059603</v>
      </c>
    </row>
    <row r="598" spans="1:30">
      <c r="A598" s="1" t="s">
        <v>605</v>
      </c>
      <c r="B598">
        <f>HYPERLINK("https://www.suredividend.com/sure-analysis-CARR/","Carrier Global Corp.")</f>
        <v>0</v>
      </c>
      <c r="C598">
        <v>16.71</v>
      </c>
      <c r="D598">
        <v>14473.51689</v>
      </c>
      <c r="E598" t="s">
        <v>641</v>
      </c>
      <c r="F598" t="s">
        <v>613</v>
      </c>
      <c r="G598" t="s">
        <v>653</v>
      </c>
      <c r="H598" t="s">
        <v>682</v>
      </c>
      <c r="I598" t="s">
        <v>1269</v>
      </c>
      <c r="J598" t="s">
        <v>1278</v>
      </c>
      <c r="K598">
        <v>43964</v>
      </c>
      <c r="M598">
        <v>0.003447128017048495</v>
      </c>
      <c r="N598">
        <v>0.05</v>
      </c>
      <c r="O598">
        <v>0.08332330801532062</v>
      </c>
      <c r="P598" t="s">
        <v>619</v>
      </c>
      <c r="Q598" t="s">
        <v>619</v>
      </c>
      <c r="R598">
        <v>26</v>
      </c>
      <c r="T598">
        <v>17</v>
      </c>
      <c r="U598">
        <v>0.9829411764705883</v>
      </c>
      <c r="W598">
        <v>1.39</v>
      </c>
      <c r="Y598">
        <v>0.3925</v>
      </c>
      <c r="AA598">
        <v>0.9651741293532338</v>
      </c>
      <c r="AB598">
        <v>0.4991721854304636</v>
      </c>
      <c r="AC598">
        <v>0.4420529801324504</v>
      </c>
      <c r="AD598">
        <v>0.3460264900662252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210.88</v>
      </c>
      <c r="D599">
        <v>600913.1040000001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1282</v>
      </c>
      <c r="K599">
        <v>43951</v>
      </c>
      <c r="M599">
        <v>-0.01252534081794965</v>
      </c>
      <c r="N599">
        <v>0.09</v>
      </c>
      <c r="O599">
        <v>0.07634737850843498</v>
      </c>
      <c r="P599" t="s">
        <v>619</v>
      </c>
      <c r="Q599" t="s">
        <v>619</v>
      </c>
      <c r="R599">
        <v>0</v>
      </c>
      <c r="T599">
        <v>198</v>
      </c>
      <c r="U599">
        <v>1.065050505050505</v>
      </c>
      <c r="V599">
        <v>7.3458</v>
      </c>
      <c r="W599">
        <v>7.5</v>
      </c>
      <c r="Y599">
        <v>0.1321</v>
      </c>
      <c r="AA599">
        <v>0.8689883913764511</v>
      </c>
      <c r="AB599">
        <v>0.8600993377483444</v>
      </c>
      <c r="AC599">
        <v>0.3658940397350993</v>
      </c>
      <c r="AD599">
        <v>0.3145695364238411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3.91</v>
      </c>
      <c r="D600">
        <v>258.98667</v>
      </c>
      <c r="E600" t="s">
        <v>646</v>
      </c>
      <c r="F600" t="s">
        <v>614</v>
      </c>
      <c r="G600" t="s">
        <v>653</v>
      </c>
      <c r="H600" t="s">
        <v>682</v>
      </c>
      <c r="I600" t="s">
        <v>1271</v>
      </c>
      <c r="J600" t="s">
        <v>1281</v>
      </c>
      <c r="K600">
        <v>43921</v>
      </c>
      <c r="L600">
        <v>0.245524296675191</v>
      </c>
      <c r="M600">
        <v>-0.02756533520359794</v>
      </c>
      <c r="N600">
        <v>0.015</v>
      </c>
      <c r="O600">
        <v>0.07322559959129937</v>
      </c>
      <c r="P600" t="s">
        <v>619</v>
      </c>
      <c r="Q600" t="s">
        <v>619</v>
      </c>
      <c r="R600">
        <v>0</v>
      </c>
      <c r="T600">
        <v>3.4</v>
      </c>
      <c r="U600">
        <v>1.15</v>
      </c>
      <c r="V600">
        <v>-1.1902</v>
      </c>
      <c r="W600">
        <v>0</v>
      </c>
      <c r="X600">
        <v>0.96</v>
      </c>
      <c r="Y600">
        <v>-0.3919</v>
      </c>
      <c r="Z600">
        <v>0.9745762711864407</v>
      </c>
      <c r="AA600">
        <v>0.2752902155887231</v>
      </c>
      <c r="AB600">
        <v>0.07781456953642384</v>
      </c>
      <c r="AC600">
        <v>0.2963576158940397</v>
      </c>
      <c r="AD600">
        <v>0.2980132450331126</v>
      </c>
    </row>
    <row r="601" spans="1:30">
      <c r="A601" s="1" t="s">
        <v>608</v>
      </c>
      <c r="B601">
        <f>HYPERLINK("https://www.suredividend.com/sure-analysis-NFLX/","Netflix, Inc.")</f>
        <v>0</v>
      </c>
      <c r="C601">
        <v>454.19</v>
      </c>
      <c r="D601">
        <v>199754.57876</v>
      </c>
      <c r="E601" t="s">
        <v>648</v>
      </c>
      <c r="F601" t="s">
        <v>613</v>
      </c>
      <c r="G601" t="s">
        <v>653</v>
      </c>
      <c r="H601" t="s">
        <v>683</v>
      </c>
      <c r="I601" t="s">
        <v>1272</v>
      </c>
      <c r="J601" t="s">
        <v>1282</v>
      </c>
      <c r="K601">
        <v>43958</v>
      </c>
      <c r="M601">
        <v>-0.07057447130181638</v>
      </c>
      <c r="N601">
        <v>0.15</v>
      </c>
      <c r="O601">
        <v>0.06883935800291097</v>
      </c>
      <c r="P601" t="s">
        <v>619</v>
      </c>
      <c r="Q601" t="s">
        <v>619</v>
      </c>
      <c r="R601">
        <v>0</v>
      </c>
      <c r="T601">
        <v>315</v>
      </c>
      <c r="U601">
        <v>1.441873015873016</v>
      </c>
      <c r="V601">
        <v>5.0908</v>
      </c>
      <c r="W601">
        <v>6.3</v>
      </c>
      <c r="Y601">
        <v>0.2794</v>
      </c>
      <c r="AA601">
        <v>0.9353233830845771</v>
      </c>
      <c r="AB601">
        <v>0.9660596026490066</v>
      </c>
      <c r="AC601">
        <v>0.1225165562913907</v>
      </c>
      <c r="AD601">
        <v>0.2814569536423841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1373.19</v>
      </c>
      <c r="D602">
        <v>937366.258846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1282</v>
      </c>
      <c r="K602">
        <v>43951</v>
      </c>
      <c r="M602">
        <v>-0.06334228961394728</v>
      </c>
      <c r="N602">
        <v>0.12</v>
      </c>
      <c r="O602">
        <v>0.04905663563237916</v>
      </c>
      <c r="P602" t="s">
        <v>619</v>
      </c>
      <c r="Q602" t="s">
        <v>619</v>
      </c>
      <c r="R602">
        <v>0</v>
      </c>
      <c r="T602">
        <v>990</v>
      </c>
      <c r="U602">
        <v>1.387060606060606</v>
      </c>
      <c r="V602">
        <v>49.9867</v>
      </c>
      <c r="W602">
        <v>45</v>
      </c>
      <c r="Y602">
        <v>0.1795</v>
      </c>
      <c r="AA602">
        <v>0.9021558872305141</v>
      </c>
      <c r="AB602">
        <v>0.9321192052980132</v>
      </c>
      <c r="AC602">
        <v>0.1506622516556291</v>
      </c>
      <c r="AD602">
        <v>0.2036423841059603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2409.78</v>
      </c>
      <c r="D603">
        <v>1201940.42928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1279</v>
      </c>
      <c r="K603">
        <v>43958</v>
      </c>
      <c r="M603">
        <v>-0.0619799301897781</v>
      </c>
      <c r="N603">
        <v>0.11</v>
      </c>
      <c r="O603">
        <v>0.04120227748934635</v>
      </c>
      <c r="P603" t="s">
        <v>619</v>
      </c>
      <c r="Q603" t="s">
        <v>619</v>
      </c>
      <c r="R603">
        <v>0</v>
      </c>
      <c r="T603">
        <v>1750</v>
      </c>
      <c r="U603">
        <v>1.377017142857143</v>
      </c>
      <c r="V603">
        <v>21.3147</v>
      </c>
      <c r="W603">
        <v>70</v>
      </c>
      <c r="Y603">
        <v>0.2879</v>
      </c>
      <c r="AA603">
        <v>0.9402985074626865</v>
      </c>
      <c r="AB603">
        <v>0.9180463576158941</v>
      </c>
      <c r="AC603">
        <v>0.152317880794702</v>
      </c>
      <c r="AD603">
        <v>0.1721854304635762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48.89</v>
      </c>
      <c r="D604">
        <v>21173.23231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1278</v>
      </c>
      <c r="K604">
        <v>43964</v>
      </c>
      <c r="M604">
        <v>-0.08127403997643001</v>
      </c>
      <c r="N604">
        <v>0.07000000000000001</v>
      </c>
      <c r="O604">
        <v>0.003689875862056491</v>
      </c>
      <c r="P604" t="s">
        <v>619</v>
      </c>
      <c r="Q604" t="s">
        <v>619</v>
      </c>
      <c r="R604">
        <v>32</v>
      </c>
      <c r="T604">
        <v>32</v>
      </c>
      <c r="U604">
        <v>1.5278125</v>
      </c>
      <c r="W604">
        <v>2.03</v>
      </c>
      <c r="Y604">
        <v>0.1111</v>
      </c>
      <c r="AA604">
        <v>0.8540630182421228</v>
      </c>
      <c r="AB604">
        <v>0.7259933774834437</v>
      </c>
      <c r="AC604">
        <v>0.09437086092715231</v>
      </c>
      <c r="AD604">
        <v>0.07119205298013245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799.17</v>
      </c>
      <c r="D605">
        <v>148142.94207</v>
      </c>
      <c r="E605" t="s">
        <v>649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43955</v>
      </c>
      <c r="M605">
        <v>-0.1779534397475525</v>
      </c>
      <c r="N605">
        <v>0.18</v>
      </c>
      <c r="O605">
        <v>-0.02998505890211189</v>
      </c>
      <c r="P605" t="s">
        <v>619</v>
      </c>
      <c r="Q605" t="s">
        <v>619</v>
      </c>
      <c r="R605">
        <v>0</v>
      </c>
      <c r="T605">
        <v>300</v>
      </c>
      <c r="U605">
        <v>2.6639</v>
      </c>
      <c r="V605">
        <v>-0.8418</v>
      </c>
      <c r="W605">
        <v>0</v>
      </c>
      <c r="Y605">
        <v>2.4454</v>
      </c>
      <c r="AA605">
        <v>1</v>
      </c>
      <c r="AB605">
        <v>0.9751655629139073</v>
      </c>
      <c r="AC605">
        <v>0.01655629139072848</v>
      </c>
      <c r="AD605">
        <v>0.02317880794701986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581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538</v>
      </c>
      <c r="B238">
        <v>43829</v>
      </c>
    </row>
    <row r="239" spans="1:2">
      <c r="A239" s="1" t="s">
        <v>579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486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546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398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539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494</v>
      </c>
      <c r="B328">
        <v>43781</v>
      </c>
    </row>
    <row r="329" spans="1:2">
      <c r="A329" s="1" t="s">
        <v>576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526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492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270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138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365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420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556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479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368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387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389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308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257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534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518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435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568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487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520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548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408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555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425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413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498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269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503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247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391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451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458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490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396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303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506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441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517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171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433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274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258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427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251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397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438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544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184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299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373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501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380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40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379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550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409</v>
      </c>
      <c r="B1676">
        <v>43830</v>
      </c>
    </row>
    <row r="1677" spans="1:2">
      <c r="A1677" s="1" t="s">
        <v>509</v>
      </c>
      <c r="B1677">
        <v>43741</v>
      </c>
    </row>
    <row r="1678" spans="1:2">
      <c r="A1678" s="1" t="s">
        <v>533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469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422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392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535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453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519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319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262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418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421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182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523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412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496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417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468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390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524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454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567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428</v>
      </c>
      <c r="B2100">
        <v>43802</v>
      </c>
    </row>
    <row r="2101" spans="1:2">
      <c r="A2101" s="1" t="s">
        <v>445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416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573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447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401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284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436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385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317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545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265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583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149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394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268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132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289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140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286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542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557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158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449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423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279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577</v>
      </c>
      <c r="B2493">
        <v>43844</v>
      </c>
    </row>
    <row r="2494" spans="1:2">
      <c r="A2494" s="1" t="s">
        <v>196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260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547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31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407</v>
      </c>
      <c r="B2582">
        <v>43846</v>
      </c>
    </row>
    <row r="2583" spans="1:2">
      <c r="A2583" s="1" t="s">
        <v>340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13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137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287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493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549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497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585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282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276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502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203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180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217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511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324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206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16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156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554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12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281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504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323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298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272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563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271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400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195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189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471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311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414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527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457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14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321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424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225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388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159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515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536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202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165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410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405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104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309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200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562</v>
      </c>
      <c r="B3527">
        <v>43801</v>
      </c>
    </row>
    <row r="3528" spans="1:2">
      <c r="A3528" s="1" t="s">
        <v>92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216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419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402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264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267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166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234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160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188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194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531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296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293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354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167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346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461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205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448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23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212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467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97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91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155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300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278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201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38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59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275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39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464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37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79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208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186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73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229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415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157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393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47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52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175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508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28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64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62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26</v>
      </c>
      <c r="B4407">
        <v>43840</v>
      </c>
    </row>
    <row r="4408" spans="1:2">
      <c r="A4408" s="1" t="s">
        <v>329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17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18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75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440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169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233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85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48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294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204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55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290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150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411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192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446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304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61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162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291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569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283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338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564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42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36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45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56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240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70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72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41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34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559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483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93</v>
      </c>
      <c r="B5285">
        <v>43809</v>
      </c>
    </row>
    <row r="5286" spans="1:2">
      <c r="A5286" s="1" t="s">
        <v>235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273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154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103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27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25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147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174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434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181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11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230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224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57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301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232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60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81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111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46</v>
      </c>
      <c r="B5881">
        <v>43613</v>
      </c>
    </row>
    <row r="5882" spans="1:2">
      <c r="A5882" s="1" t="s">
        <v>49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310</v>
      </c>
      <c r="B5926">
        <v>43784</v>
      </c>
    </row>
    <row r="5927" spans="1:2">
      <c r="A5927" s="1" t="s">
        <v>292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266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94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280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351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355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22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482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406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591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437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2020-05-17T20:43:49Z</dcterms:created>
  <dcterms:modified xsi:type="dcterms:W3CDTF">2020-05-17T20:43:49Z</dcterms:modified>
</cp:coreProperties>
</file>