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<sst xmlns="http://schemas.openxmlformats.org/spreadsheetml/2006/main" count="22070" uniqueCount="10772">
  <si>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</si>
  <si>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</si>
  <si>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</si>
  <si>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</si>
  <si>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</si>
  <si>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</si>
  <si>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</si>
  <si>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</si>
  <si>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</si>
  <si>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</si>
  <si>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TXT</t>
  </si>
  <si>
    <t>AMP</t>
  </si>
  <si>
    <t>BAM</t>
  </si>
  <si>
    <t>CMCSA</t>
  </si>
  <si>
    <t>BEN</t>
  </si>
  <si>
    <t>WEYS</t>
  </si>
  <si>
    <t>TYCB</t>
  </si>
  <si>
    <t>BANF</t>
  </si>
  <si>
    <t>FUL</t>
  </si>
  <si>
    <t>EBTC</t>
  </si>
  <si>
    <t>GD</t>
  </si>
  <si>
    <t>EFSI</t>
  </si>
  <si>
    <t>CTBI</t>
  </si>
  <si>
    <t>TNC</t>
  </si>
  <si>
    <t>FRT</t>
  </si>
  <si>
    <t>WBA</t>
  </si>
  <si>
    <t>ADM</t>
  </si>
  <si>
    <t>PNR</t>
  </si>
  <si>
    <t>CB</t>
  </si>
  <si>
    <t>TDS</t>
  </si>
  <si>
    <t>AIZ</t>
  </si>
  <si>
    <t>ABBV</t>
  </si>
  <si>
    <t>MCK</t>
  </si>
  <si>
    <t>NOC</t>
  </si>
  <si>
    <t>NFG</t>
  </si>
  <si>
    <t>PNGAY</t>
  </si>
  <si>
    <t>EV</t>
  </si>
  <si>
    <t>FMCB</t>
  </si>
  <si>
    <t>LHX</t>
  </si>
  <si>
    <t>GPC</t>
  </si>
  <si>
    <t>PSBQ</t>
  </si>
  <si>
    <t>EMR</t>
  </si>
  <si>
    <t>VFC</t>
  </si>
  <si>
    <t>AFL</t>
  </si>
  <si>
    <t>CSL</t>
  </si>
  <si>
    <t>SON</t>
  </si>
  <si>
    <t>SRCE</t>
  </si>
  <si>
    <t>TJX</t>
  </si>
  <si>
    <t>PPG</t>
  </si>
  <si>
    <t>CINF</t>
  </si>
  <si>
    <t>SYY</t>
  </si>
  <si>
    <t>ORCL</t>
  </si>
  <si>
    <t>MGRC</t>
  </si>
  <si>
    <t>THFF</t>
  </si>
  <si>
    <t>BKH</t>
  </si>
  <si>
    <t>PRGO</t>
  </si>
  <si>
    <t>ALB</t>
  </si>
  <si>
    <t>PH</t>
  </si>
  <si>
    <t>SEIC</t>
  </si>
  <si>
    <t>FMS</t>
  </si>
  <si>
    <t>ROST</t>
  </si>
  <si>
    <t>CAH</t>
  </si>
  <si>
    <t>ABM</t>
  </si>
  <si>
    <t>GRC</t>
  </si>
  <si>
    <t>BRC</t>
  </si>
  <si>
    <t>SWK</t>
  </si>
  <si>
    <t>TGT</t>
  </si>
  <si>
    <t>NVS</t>
  </si>
  <si>
    <t>AOS</t>
  </si>
  <si>
    <t>AAP</t>
  </si>
  <si>
    <t>BDX</t>
  </si>
  <si>
    <t>ABC</t>
  </si>
  <si>
    <t>CPKF</t>
  </si>
  <si>
    <t>MMM</t>
  </si>
  <si>
    <t>SYK</t>
  </si>
  <si>
    <t>TROW</t>
  </si>
  <si>
    <t>DCI</t>
  </si>
  <si>
    <t>ADP</t>
  </si>
  <si>
    <t>DOV</t>
  </si>
  <si>
    <t>LOW</t>
  </si>
  <si>
    <t>CSX</t>
  </si>
  <si>
    <t>GWW</t>
  </si>
  <si>
    <t>KMB</t>
  </si>
  <si>
    <t>BRO</t>
  </si>
  <si>
    <t>MDT</t>
  </si>
  <si>
    <t>SPGI</t>
  </si>
  <si>
    <t>ATO</t>
  </si>
  <si>
    <t>DG</t>
  </si>
  <si>
    <t>ITW</t>
  </si>
  <si>
    <t>JNJ</t>
  </si>
  <si>
    <t>FELE</t>
  </si>
  <si>
    <t>MCD</t>
  </si>
  <si>
    <t>MSA</t>
  </si>
  <si>
    <t>PG</t>
  </si>
  <si>
    <t>NUE</t>
  </si>
  <si>
    <t>CHD</t>
  </si>
  <si>
    <t>KR</t>
  </si>
  <si>
    <t>SJW</t>
  </si>
  <si>
    <t>EXPD</t>
  </si>
  <si>
    <t>CSVI</t>
  </si>
  <si>
    <t>MCO</t>
  </si>
  <si>
    <t>SHW</t>
  </si>
  <si>
    <t>ABT</t>
  </si>
  <si>
    <t>RPM</t>
  </si>
  <si>
    <t>MKC</t>
  </si>
  <si>
    <t>CL</t>
  </si>
  <si>
    <t>LANC</t>
  </si>
  <si>
    <t>TR</t>
  </si>
  <si>
    <t>AAPL</t>
  </si>
  <si>
    <t>ATR</t>
  </si>
  <si>
    <t>ROP</t>
  </si>
  <si>
    <t>COST</t>
  </si>
  <si>
    <t>WMT</t>
  </si>
  <si>
    <t>CTAS</t>
  </si>
  <si>
    <t>MGEE</t>
  </si>
  <si>
    <t>NDSN</t>
  </si>
  <si>
    <t>ECL</t>
  </si>
  <si>
    <t>AWR</t>
  </si>
  <si>
    <t>SCL</t>
  </si>
  <si>
    <t>HRL</t>
  </si>
  <si>
    <t>BF.B</t>
  </si>
  <si>
    <t>MSEX</t>
  </si>
  <si>
    <t>BMI</t>
  </si>
  <si>
    <t>CWT</t>
  </si>
  <si>
    <t>JKHY</t>
  </si>
  <si>
    <t>RLI</t>
  </si>
  <si>
    <t>WST</t>
  </si>
  <si>
    <t>TU</t>
  </si>
  <si>
    <t>EPD</t>
  </si>
  <si>
    <t>SU</t>
  </si>
  <si>
    <t>MPC</t>
  </si>
  <si>
    <t>GWLIF</t>
  </si>
  <si>
    <t>IMO</t>
  </si>
  <si>
    <t>FL</t>
  </si>
  <si>
    <t>CNQ</t>
  </si>
  <si>
    <t>LAZ</t>
  </si>
  <si>
    <t>BMO</t>
  </si>
  <si>
    <t>BNS</t>
  </si>
  <si>
    <t>HBI</t>
  </si>
  <si>
    <t>SUN</t>
  </si>
  <si>
    <t>WHR</t>
  </si>
  <si>
    <t>TD</t>
  </si>
  <si>
    <t>LEG</t>
  </si>
  <si>
    <t>MET</t>
  </si>
  <si>
    <t>OMC</t>
  </si>
  <si>
    <t>SLF</t>
  </si>
  <si>
    <t>UGI</t>
  </si>
  <si>
    <t>CM</t>
  </si>
  <si>
    <t>RY</t>
  </si>
  <si>
    <t>MDU</t>
  </si>
  <si>
    <t>MO</t>
  </si>
  <si>
    <t>HAS</t>
  </si>
  <si>
    <t>AXP</t>
  </si>
  <si>
    <t>AMX</t>
  </si>
  <si>
    <t>TTC</t>
  </si>
  <si>
    <t>T</t>
  </si>
  <si>
    <t>AMAT</t>
  </si>
  <si>
    <t>CAE</t>
  </si>
  <si>
    <t>JACK</t>
  </si>
  <si>
    <t>NTIOF</t>
  </si>
  <si>
    <t>PB</t>
  </si>
  <si>
    <t>FOXA</t>
  </si>
  <si>
    <t>CFR</t>
  </si>
  <si>
    <t>RE</t>
  </si>
  <si>
    <t>BAYRY</t>
  </si>
  <si>
    <t>PBCT</t>
  </si>
  <si>
    <t>FDX</t>
  </si>
  <si>
    <t>LMT</t>
  </si>
  <si>
    <t>CVS</t>
  </si>
  <si>
    <t>BMY</t>
  </si>
  <si>
    <t>CSCO</t>
  </si>
  <si>
    <t>IBM</t>
  </si>
  <si>
    <t>TSN</t>
  </si>
  <si>
    <t>RDEIY</t>
  </si>
  <si>
    <t>HII</t>
  </si>
  <si>
    <t>SAP</t>
  </si>
  <si>
    <t>CTSH</t>
  </si>
  <si>
    <t>EIX</t>
  </si>
  <si>
    <t>MDLZ</t>
  </si>
  <si>
    <t>TRV</t>
  </si>
  <si>
    <t>JW.A</t>
  </si>
  <si>
    <t>VZ</t>
  </si>
  <si>
    <t>ICE</t>
  </si>
  <si>
    <t>DNKN</t>
  </si>
  <si>
    <t>LNT</t>
  </si>
  <si>
    <t>FTS</t>
  </si>
  <si>
    <t>HON</t>
  </si>
  <si>
    <t>NSC</t>
  </si>
  <si>
    <t>UNH</t>
  </si>
  <si>
    <t>CP</t>
  </si>
  <si>
    <t>SWKS</t>
  </si>
  <si>
    <t>MRK</t>
  </si>
  <si>
    <t>XYL</t>
  </si>
  <si>
    <t>UVV</t>
  </si>
  <si>
    <t>NEP</t>
  </si>
  <si>
    <t>INTC</t>
  </si>
  <si>
    <t>SNA</t>
  </si>
  <si>
    <t>KO</t>
  </si>
  <si>
    <t>AMGN</t>
  </si>
  <si>
    <t>DPZ</t>
  </si>
  <si>
    <t>WU</t>
  </si>
  <si>
    <t>DE</t>
  </si>
  <si>
    <t>HD</t>
  </si>
  <si>
    <t>AJG</t>
  </si>
  <si>
    <t>SJM</t>
  </si>
  <si>
    <t>GILD</t>
  </si>
  <si>
    <t>AROW</t>
  </si>
  <si>
    <t>UNP</t>
  </si>
  <si>
    <t>ED</t>
  </si>
  <si>
    <t>ARTNA</t>
  </si>
  <si>
    <t>EBAY</t>
  </si>
  <si>
    <t>UBSI</t>
  </si>
  <si>
    <t>ETR</t>
  </si>
  <si>
    <t>HSY</t>
  </si>
  <si>
    <t>BLK</t>
  </si>
  <si>
    <t>LIN</t>
  </si>
  <si>
    <t>ROK</t>
  </si>
  <si>
    <t>CHRW</t>
  </si>
  <si>
    <t>BBY</t>
  </si>
  <si>
    <t>PEP</t>
  </si>
  <si>
    <t>CNI</t>
  </si>
  <si>
    <t>NSRGY</t>
  </si>
  <si>
    <t>NVO</t>
  </si>
  <si>
    <t>WM</t>
  </si>
  <si>
    <t>CBU</t>
  </si>
  <si>
    <t>CBSH</t>
  </si>
  <si>
    <t>IFF</t>
  </si>
  <si>
    <t>NEE</t>
  </si>
  <si>
    <t>TMP</t>
  </si>
  <si>
    <t>RMD</t>
  </si>
  <si>
    <t>WABC</t>
  </si>
  <si>
    <t>AMT</t>
  </si>
  <si>
    <t>WTRG</t>
  </si>
  <si>
    <t>BAH</t>
  </si>
  <si>
    <t>TSCO</t>
  </si>
  <si>
    <t>MORN</t>
  </si>
  <si>
    <t>MSFT</t>
  </si>
  <si>
    <t>XEL</t>
  </si>
  <si>
    <t>APD</t>
  </si>
  <si>
    <t>NKE</t>
  </si>
  <si>
    <t>NWN</t>
  </si>
  <si>
    <t>WSM</t>
  </si>
  <si>
    <t>CLX</t>
  </si>
  <si>
    <t>ERIE</t>
  </si>
  <si>
    <t>LLY</t>
  </si>
  <si>
    <t>CORR</t>
  </si>
  <si>
    <t>AAL</t>
  </si>
  <si>
    <t>RCL</t>
  </si>
  <si>
    <t>VIAC</t>
  </si>
  <si>
    <t>SKT</t>
  </si>
  <si>
    <t>OKE</t>
  </si>
  <si>
    <t>ALK</t>
  </si>
  <si>
    <t>MDP</t>
  </si>
  <si>
    <t>MFGP</t>
  </si>
  <si>
    <t>RRD</t>
  </si>
  <si>
    <t>IPPLF</t>
  </si>
  <si>
    <t>PBR</t>
  </si>
  <si>
    <t>ALLY</t>
  </si>
  <si>
    <t>HA</t>
  </si>
  <si>
    <t>DFS</t>
  </si>
  <si>
    <t>GPS</t>
  </si>
  <si>
    <t>RDS.B</t>
  </si>
  <si>
    <t>VTR</t>
  </si>
  <si>
    <t>ERF</t>
  </si>
  <si>
    <t>MPLX</t>
  </si>
  <si>
    <t>PRU</t>
  </si>
  <si>
    <t>FRFHF</t>
  </si>
  <si>
    <t>TOT</t>
  </si>
  <si>
    <t>KTB</t>
  </si>
  <si>
    <t>TAP</t>
  </si>
  <si>
    <t>MMP</t>
  </si>
  <si>
    <t>MGA</t>
  </si>
  <si>
    <t>STOR</t>
  </si>
  <si>
    <t>GM</t>
  </si>
  <si>
    <t>LRCX</t>
  </si>
  <si>
    <t>BIP</t>
  </si>
  <si>
    <t>HPQ</t>
  </si>
  <si>
    <t>ENB</t>
  </si>
  <si>
    <t>HNI</t>
  </si>
  <si>
    <t>WRK</t>
  </si>
  <si>
    <t>MTB</t>
  </si>
  <si>
    <t>MAR</t>
  </si>
  <si>
    <t>PII</t>
  </si>
  <si>
    <t>GS</t>
  </si>
  <si>
    <t>GEF</t>
  </si>
  <si>
    <t>MT</t>
  </si>
  <si>
    <t>MSM</t>
  </si>
  <si>
    <t>UPS</t>
  </si>
  <si>
    <t>SIEGY</t>
  </si>
  <si>
    <t>PDCO</t>
  </si>
  <si>
    <t>BK</t>
  </si>
  <si>
    <t>ORI</t>
  </si>
  <si>
    <t>DDS</t>
  </si>
  <si>
    <t>GE</t>
  </si>
  <si>
    <t>O</t>
  </si>
  <si>
    <t>UMBF</t>
  </si>
  <si>
    <t>JWN</t>
  </si>
  <si>
    <t>KSU</t>
  </si>
  <si>
    <t>NC</t>
  </si>
  <si>
    <t>CAT</t>
  </si>
  <si>
    <t>DTE</t>
  </si>
  <si>
    <t>RTX</t>
  </si>
  <si>
    <t>BTI</t>
  </si>
  <si>
    <t>OSK</t>
  </si>
  <si>
    <t>YUM</t>
  </si>
  <si>
    <t>VALE</t>
  </si>
  <si>
    <t>ALL</t>
  </si>
  <si>
    <t>NNN</t>
  </si>
  <si>
    <t>SRE</t>
  </si>
  <si>
    <t>AON</t>
  </si>
  <si>
    <t>KDP</t>
  </si>
  <si>
    <t>SNY</t>
  </si>
  <si>
    <t>HMC</t>
  </si>
  <si>
    <t>PSA</t>
  </si>
  <si>
    <t>TM</t>
  </si>
  <si>
    <t>APTV</t>
  </si>
  <si>
    <t>WPC</t>
  </si>
  <si>
    <t>D</t>
  </si>
  <si>
    <t>OTTR</t>
  </si>
  <si>
    <t>ERIC</t>
  </si>
  <si>
    <t>ASML</t>
  </si>
  <si>
    <t>CMI</t>
  </si>
  <si>
    <t>DEO</t>
  </si>
  <si>
    <t>AVB</t>
  </si>
  <si>
    <t>PPL</t>
  </si>
  <si>
    <t>SKM</t>
  </si>
  <si>
    <t>PAYX</t>
  </si>
  <si>
    <t>DUK</t>
  </si>
  <si>
    <t>KLAC</t>
  </si>
  <si>
    <t>TRSWF</t>
  </si>
  <si>
    <t>CNP</t>
  </si>
  <si>
    <t>TCO</t>
  </si>
  <si>
    <t>TXN</t>
  </si>
  <si>
    <t>INFY</t>
  </si>
  <si>
    <t>SO</t>
  </si>
  <si>
    <t>UL</t>
  </si>
  <si>
    <t>V</t>
  </si>
  <si>
    <t>GIS</t>
  </si>
  <si>
    <t>K</t>
  </si>
  <si>
    <t>AEP</t>
  </si>
  <si>
    <t>MA</t>
  </si>
  <si>
    <t>WDC</t>
  </si>
  <si>
    <t>QCOM</t>
  </si>
  <si>
    <t>FLO</t>
  </si>
  <si>
    <t>BEP</t>
  </si>
  <si>
    <t>CCI</t>
  </si>
  <si>
    <t>CPB</t>
  </si>
  <si>
    <t>DIS</t>
  </si>
  <si>
    <t>NVDA</t>
  </si>
  <si>
    <t>FAST</t>
  </si>
  <si>
    <t>WEC</t>
  </si>
  <si>
    <t>DLR</t>
  </si>
  <si>
    <t>MRVL</t>
  </si>
  <si>
    <t>TIF</t>
  </si>
  <si>
    <t>SNE</t>
  </si>
  <si>
    <t>RACE</t>
  </si>
  <si>
    <t>NEM</t>
  </si>
  <si>
    <t>OMI</t>
  </si>
  <si>
    <t>TRI</t>
  </si>
  <si>
    <t>UHT</t>
  </si>
  <si>
    <t>AUY</t>
  </si>
  <si>
    <t>GOLD</t>
  </si>
  <si>
    <t>CHRRF</t>
  </si>
  <si>
    <t>SVC</t>
  </si>
  <si>
    <t>NRZ</t>
  </si>
  <si>
    <t>SCGLY</t>
  </si>
  <si>
    <t>IVZ</t>
  </si>
  <si>
    <t>SPG</t>
  </si>
  <si>
    <t>DIN</t>
  </si>
  <si>
    <t>AEG</t>
  </si>
  <si>
    <t>BNPQF</t>
  </si>
  <si>
    <t>C</t>
  </si>
  <si>
    <t>SBRA</t>
  </si>
  <si>
    <t>SPH</t>
  </si>
  <si>
    <t>CCL</t>
  </si>
  <si>
    <t>FCAU</t>
  </si>
  <si>
    <t>SYF</t>
  </si>
  <si>
    <t>BRX</t>
  </si>
  <si>
    <t>KSS</t>
  </si>
  <si>
    <t>TFC</t>
  </si>
  <si>
    <t>LB</t>
  </si>
  <si>
    <t>OUT</t>
  </si>
  <si>
    <t>LYB</t>
  </si>
  <si>
    <t>PFG</t>
  </si>
  <si>
    <t>CTL</t>
  </si>
  <si>
    <t>SAXPY</t>
  </si>
  <si>
    <t>BKR</t>
  </si>
  <si>
    <t>ET</t>
  </si>
  <si>
    <t>TPR</t>
  </si>
  <si>
    <t>BXP</t>
  </si>
  <si>
    <t>IMBBY</t>
  </si>
  <si>
    <t>HST</t>
  </si>
  <si>
    <t>KMI</t>
  </si>
  <si>
    <t>NAVI</t>
  </si>
  <si>
    <t>USB</t>
  </si>
  <si>
    <t>NOV</t>
  </si>
  <si>
    <t>TEF</t>
  </si>
  <si>
    <t>NWL</t>
  </si>
  <si>
    <t>CNA</t>
  </si>
  <si>
    <t>IRM</t>
  </si>
  <si>
    <t>BAC</t>
  </si>
  <si>
    <t>JCI</t>
  </si>
  <si>
    <t>NTAP</t>
  </si>
  <si>
    <t>OHI</t>
  </si>
  <si>
    <t>ABEV</t>
  </si>
  <si>
    <t>UBS</t>
  </si>
  <si>
    <t>WPP</t>
  </si>
  <si>
    <t>HFC</t>
  </si>
  <si>
    <t>CHL</t>
  </si>
  <si>
    <t>UFS</t>
  </si>
  <si>
    <t>SUUIF</t>
  </si>
  <si>
    <t>NOK</t>
  </si>
  <si>
    <t>JPM</t>
  </si>
  <si>
    <t>MCY</t>
  </si>
  <si>
    <t>NLSN</t>
  </si>
  <si>
    <t>OPI</t>
  </si>
  <si>
    <t>BUD</t>
  </si>
  <si>
    <t>PSO</t>
  </si>
  <si>
    <t>CF</t>
  </si>
  <si>
    <t>CWCO</t>
  </si>
  <si>
    <t>PFE</t>
  </si>
  <si>
    <t>WYNN</t>
  </si>
  <si>
    <t>AXS</t>
  </si>
  <si>
    <t>DTEGY</t>
  </si>
  <si>
    <t>STAG</t>
  </si>
  <si>
    <t>XRX</t>
  </si>
  <si>
    <t>UBA</t>
  </si>
  <si>
    <t>HTA</t>
  </si>
  <si>
    <t>GLW</t>
  </si>
  <si>
    <t>AMCR</t>
  </si>
  <si>
    <t>MPW</t>
  </si>
  <si>
    <t>BHP</t>
  </si>
  <si>
    <t>COP</t>
  </si>
  <si>
    <t>DD</t>
  </si>
  <si>
    <t>TRP</t>
  </si>
  <si>
    <t>SAN</t>
  </si>
  <si>
    <t>PM</t>
  </si>
  <si>
    <t>EXC</t>
  </si>
  <si>
    <t>AVGO</t>
  </si>
  <si>
    <t>WDR</t>
  </si>
  <si>
    <t>TCP</t>
  </si>
  <si>
    <t>STX</t>
  </si>
  <si>
    <t>DDAIF</t>
  </si>
  <si>
    <t>PKX</t>
  </si>
  <si>
    <t>GSK</t>
  </si>
  <si>
    <t>TT</t>
  </si>
  <si>
    <t>SBUX</t>
  </si>
  <si>
    <t>KHC</t>
  </si>
  <si>
    <t>TS</t>
  </si>
  <si>
    <t>HRB</t>
  </si>
  <si>
    <t>CBRL</t>
  </si>
  <si>
    <t>DOC</t>
  </si>
  <si>
    <t>LAMR</t>
  </si>
  <si>
    <t>RCI</t>
  </si>
  <si>
    <t>OGZPY</t>
  </si>
  <si>
    <t>IP</t>
  </si>
  <si>
    <t>DRETF</t>
  </si>
  <si>
    <t>TSM</t>
  </si>
  <si>
    <t>GRMN</t>
  </si>
  <si>
    <t>WEN</t>
  </si>
  <si>
    <t>COR</t>
  </si>
  <si>
    <t>RIO</t>
  </si>
  <si>
    <t>STZ</t>
  </si>
  <si>
    <t>ESS</t>
  </si>
  <si>
    <t>CAG</t>
  </si>
  <si>
    <t>PCAR</t>
  </si>
  <si>
    <t>SCHL</t>
  </si>
  <si>
    <t>EQR</t>
  </si>
  <si>
    <t>FLR</t>
  </si>
  <si>
    <t>ACN</t>
  </si>
  <si>
    <t>LOGI</t>
  </si>
  <si>
    <t>DEA</t>
  </si>
  <si>
    <t>LAND</t>
  </si>
  <si>
    <t>CME</t>
  </si>
  <si>
    <t>LM</t>
  </si>
  <si>
    <t>IR</t>
  </si>
  <si>
    <t>ETN</t>
  </si>
  <si>
    <t>AZN</t>
  </si>
  <si>
    <t>WPM</t>
  </si>
  <si>
    <t>KLIC</t>
  </si>
  <si>
    <t>MAC</t>
  </si>
  <si>
    <t>GEL</t>
  </si>
  <si>
    <t>TRGP</t>
  </si>
  <si>
    <t>BPY</t>
  </si>
  <si>
    <t>EPR</t>
  </si>
  <si>
    <t>CLDT</t>
  </si>
  <si>
    <t>CIM</t>
  </si>
  <si>
    <t>OXY</t>
  </si>
  <si>
    <t>USAC</t>
  </si>
  <si>
    <t>APA</t>
  </si>
  <si>
    <t>ALARF</t>
  </si>
  <si>
    <t>DHC</t>
  </si>
  <si>
    <t>LUV</t>
  </si>
  <si>
    <t>FUN</t>
  </si>
  <si>
    <t>M</t>
  </si>
  <si>
    <t>HP</t>
  </si>
  <si>
    <t>BA</t>
  </si>
  <si>
    <t>SCM</t>
  </si>
  <si>
    <t>MGM</t>
  </si>
  <si>
    <t>CPTA</t>
  </si>
  <si>
    <t>TWO</t>
  </si>
  <si>
    <t>WSR</t>
  </si>
  <si>
    <t>SSREY</t>
  </si>
  <si>
    <t>WFC</t>
  </si>
  <si>
    <t>LADR</t>
  </si>
  <si>
    <t>OLN</t>
  </si>
  <si>
    <t>PACW</t>
  </si>
  <si>
    <t>SIX</t>
  </si>
  <si>
    <t>MIC</t>
  </si>
  <si>
    <t>WELL</t>
  </si>
  <si>
    <t>KEY</t>
  </si>
  <si>
    <t>HEP</t>
  </si>
  <si>
    <t>SFL</t>
  </si>
  <si>
    <t>HSBC</t>
  </si>
  <si>
    <t>CAKE</t>
  </si>
  <si>
    <t>OZK</t>
  </si>
  <si>
    <t>PSEC</t>
  </si>
  <si>
    <t>SNP</t>
  </si>
  <si>
    <t>GLAD</t>
  </si>
  <si>
    <t>BP</t>
  </si>
  <si>
    <t>HAL</t>
  </si>
  <si>
    <t>HBAN</t>
  </si>
  <si>
    <t>FTI</t>
  </si>
  <si>
    <t>F</t>
  </si>
  <si>
    <t>LTC</t>
  </si>
  <si>
    <t>R</t>
  </si>
  <si>
    <t>VER</t>
  </si>
  <si>
    <t>CEO</t>
  </si>
  <si>
    <t>NTR</t>
  </si>
  <si>
    <t>SPKE</t>
  </si>
  <si>
    <t>AM</t>
  </si>
  <si>
    <t>XOM</t>
  </si>
  <si>
    <t>WMB</t>
  </si>
  <si>
    <t>LMRK</t>
  </si>
  <si>
    <t>BMWYY</t>
  </si>
  <si>
    <t>DOW</t>
  </si>
  <si>
    <t>APLE</t>
  </si>
  <si>
    <t>QSR</t>
  </si>
  <si>
    <t>LVS</t>
  </si>
  <si>
    <t>INN</t>
  </si>
  <si>
    <t>GNL</t>
  </si>
  <si>
    <t>MAIN</t>
  </si>
  <si>
    <t>PSX</t>
  </si>
  <si>
    <t>VGR</t>
  </si>
  <si>
    <t>ARI</t>
  </si>
  <si>
    <t>SLB</t>
  </si>
  <si>
    <t>GOOD</t>
  </si>
  <si>
    <t>SBR</t>
  </si>
  <si>
    <t>PHG</t>
  </si>
  <si>
    <t>PEAK</t>
  </si>
  <si>
    <t>CVX</t>
  </si>
  <si>
    <t>AB</t>
  </si>
  <si>
    <t>ABR</t>
  </si>
  <si>
    <t>NYCB</t>
  </si>
  <si>
    <t>CODI</t>
  </si>
  <si>
    <t>CRT</t>
  </si>
  <si>
    <t>GAIN</t>
  </si>
  <si>
    <t>APAM</t>
  </si>
  <si>
    <t>ARR</t>
  </si>
  <si>
    <t>MGP</t>
  </si>
  <si>
    <t>VLO</t>
  </si>
  <si>
    <t>ABB</t>
  </si>
  <si>
    <t>PTR</t>
  </si>
  <si>
    <t>DAL</t>
  </si>
  <si>
    <t>KIM</t>
  </si>
  <si>
    <t>BCE</t>
  </si>
  <si>
    <t>AQN</t>
  </si>
  <si>
    <t>SJR</t>
  </si>
  <si>
    <t>HOG</t>
  </si>
  <si>
    <t>WY</t>
  </si>
  <si>
    <t>ARCC</t>
  </si>
  <si>
    <t>ALV</t>
  </si>
  <si>
    <t>PRT</t>
  </si>
  <si>
    <t>GLPI</t>
  </si>
  <si>
    <t>DREUF</t>
  </si>
  <si>
    <t>BGS</t>
  </si>
  <si>
    <t>GRP-UN</t>
  </si>
  <si>
    <t>FCX</t>
  </si>
  <si>
    <t>PBA</t>
  </si>
  <si>
    <t>E</t>
  </si>
  <si>
    <t>BBBY</t>
  </si>
  <si>
    <t>PTEN</t>
  </si>
  <si>
    <t>VOD</t>
  </si>
  <si>
    <t>AGNC</t>
  </si>
  <si>
    <t>DX</t>
  </si>
  <si>
    <t>EQM</t>
  </si>
  <si>
    <t>HTGC</t>
  </si>
  <si>
    <t>VET</t>
  </si>
  <si>
    <t>BXMT</t>
  </si>
  <si>
    <t>PPRQF</t>
  </si>
  <si>
    <t>BX</t>
  </si>
  <si>
    <t>CAJ</t>
  </si>
  <si>
    <t>APO</t>
  </si>
  <si>
    <t>STWD</t>
  </si>
  <si>
    <t>ANF</t>
  </si>
  <si>
    <t>DRI</t>
  </si>
  <si>
    <t>NLY</t>
  </si>
  <si>
    <t>NBR</t>
  </si>
  <si>
    <t>UAL</t>
  </si>
  <si>
    <t>NCLH</t>
  </si>
  <si>
    <t>CMA</t>
  </si>
  <si>
    <t>BRK.B</t>
  </si>
  <si>
    <t>NSANY</t>
  </si>
  <si>
    <t>BABA</t>
  </si>
  <si>
    <t>CARR</t>
  </si>
  <si>
    <t>TKGBY</t>
  </si>
  <si>
    <t>ORC</t>
  </si>
  <si>
    <t>FB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</si>
  <si>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</si>
  <si>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</si>
  <si>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</si>
  <si>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</si>
  <si>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</si>
  <si>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</si>
  <si>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</si>
  <si>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</si>
  <si>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</si>
  <si>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</si>
  <si>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</si>
  <si>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</si>
  <si>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</si>
  <si>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</si>
  <si>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</si>
  <si>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</si>
  <si>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</si>
  <si>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</si>
  <si>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</si>
  <si>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</si>
  <si>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</si>
  <si>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</si>
  <si>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</si>
  <si>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</si>
  <si>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</si>
  <si>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</si>
  <si>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</si>
  <si>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</si>
  <si>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</si>
  <si>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</si>
  <si>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</si>
  <si>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</si>
  <si>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</si>
  <si>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</si>
  <si>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</si>
  <si>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Nathan Parsh</t>
  </si>
  <si>
    <t>Josh Arnold</t>
  </si>
  <si>
    <t>Kay Ng</t>
  </si>
  <si>
    <t>Jonathan Weber</t>
  </si>
  <si>
    <t>Felix Martinez</t>
  </si>
  <si>
    <t>Aristofanis Papadatos</t>
  </si>
  <si>
    <t>Samuel Smith</t>
  </si>
  <si>
    <t>Quinn Mohammed</t>
  </si>
  <si>
    <t>Katherine Peach</t>
  </si>
  <si>
    <t>Sameul Smith</t>
  </si>
  <si>
    <t>United States</t>
  </si>
  <si>
    <t>Canada</t>
  </si>
  <si>
    <t>United Kingdom</t>
  </si>
  <si>
    <t>Switzerland</t>
  </si>
  <si>
    <t>China</t>
  </si>
  <si>
    <t>Ireland</t>
  </si>
  <si>
    <t>Germany</t>
  </si>
  <si>
    <t>Mexico</t>
  </si>
  <si>
    <t>Bermuda</t>
  </si>
  <si>
    <t>Spain</t>
  </si>
  <si>
    <t>Denmark</t>
  </si>
  <si>
    <t>Brazil</t>
  </si>
  <si>
    <t>The Netherlands</t>
  </si>
  <si>
    <t>France</t>
  </si>
  <si>
    <t>Luxembourg</t>
  </si>
  <si>
    <t>Japan</t>
  </si>
  <si>
    <t>Sweden</t>
  </si>
  <si>
    <t>South Korea</t>
  </si>
  <si>
    <t>India</t>
  </si>
  <si>
    <t>Italy</t>
  </si>
  <si>
    <t>Finland</t>
  </si>
  <si>
    <t>Hong Kong</t>
  </si>
  <si>
    <t>Belgium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</si>
  <si>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</si>
  <si>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</si>
  <si>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</si>
  <si>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</si>
  <si>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</si>
  <si>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</si>
  <si>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</si>
  <si>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</si>
  <si>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</si>
  <si>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</si>
  <si>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</si>
  <si>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</si>
  <si>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Scott C. Donnelly</t>
  </si>
  <si>
    <t>James Michael Cracchiolo</t>
  </si>
  <si>
    <t>James Bruce Flatt</t>
  </si>
  <si>
    <t>Brian L. Roberts</t>
  </si>
  <si>
    <t>Jennifer M. Johnson</t>
  </si>
  <si>
    <t>Thomas W. Florsheim</t>
  </si>
  <si>
    <t>Raymond M. Thompson</t>
  </si>
  <si>
    <t>David R. Harlow</t>
  </si>
  <si>
    <t>James J. Owens</t>
  </si>
  <si>
    <t>John P. Clancy</t>
  </si>
  <si>
    <t>Phebe N. Novakovic</t>
  </si>
  <si>
    <t>Brandon Craig Lorey</t>
  </si>
  <si>
    <t>Jean R. Hale</t>
  </si>
  <si>
    <t>H. Chris Killingstad</t>
  </si>
  <si>
    <t>Donald C. Wood</t>
  </si>
  <si>
    <t>Stefano Pessina</t>
  </si>
  <si>
    <t>Juan Ricardo Luciano</t>
  </si>
  <si>
    <t>John L. Stauch</t>
  </si>
  <si>
    <t>Evan G. Greenberg</t>
  </si>
  <si>
    <t>LeRoy T. Carlson</t>
  </si>
  <si>
    <t>Alan B. Colberg</t>
  </si>
  <si>
    <t>Richard A. Gonzalez</t>
  </si>
  <si>
    <t>Brian Scott Tyler</t>
  </si>
  <si>
    <t>Kathy J. Warden</t>
  </si>
  <si>
    <t>David P. Bauer</t>
  </si>
  <si>
    <t>Ming Zhe Ma / Yong Lin Xie / Xin Ying Chen / Sin Ying Tan</t>
  </si>
  <si>
    <t>Thomas Ewart Faust</t>
  </si>
  <si>
    <t>Kent A. Steinwert</t>
  </si>
  <si>
    <t>William M. Brown</t>
  </si>
  <si>
    <t>Paul D. Donahue</t>
  </si>
  <si>
    <t>Scott M. Cattanach</t>
  </si>
  <si>
    <t>David N. Farr</t>
  </si>
  <si>
    <t>Steven E. Rendle</t>
  </si>
  <si>
    <t>Daniel Paul Amos</t>
  </si>
  <si>
    <t>D. Christian Koch</t>
  </si>
  <si>
    <t>Robert Howard Coker</t>
  </si>
  <si>
    <t>Christopher J. Murphy</t>
  </si>
  <si>
    <t>Ernie L. Herrman</t>
  </si>
  <si>
    <t>Michael H. McGarry</t>
  </si>
  <si>
    <t>Steven J. Johnston</t>
  </si>
  <si>
    <t>Kevin Hourican</t>
  </si>
  <si>
    <t>Safra Ada Catz</t>
  </si>
  <si>
    <t>Joseph F. Hanna</t>
  </si>
  <si>
    <t>Norman L. Lowery</t>
  </si>
  <si>
    <t>Linden R. Evans</t>
  </si>
  <si>
    <t>Murray S. Kessler</t>
  </si>
  <si>
    <t>Jerry Kent Masters</t>
  </si>
  <si>
    <t>Thomas L. Williams</t>
  </si>
  <si>
    <t>Alfred P. West</t>
  </si>
  <si>
    <t>Rice Powell</t>
  </si>
  <si>
    <t>Barbara Rentler</t>
  </si>
  <si>
    <t>Michael C. Kaufmann</t>
  </si>
  <si>
    <t>Scott Salmirs</t>
  </si>
  <si>
    <t>Jeffrey S. Gorman</t>
  </si>
  <si>
    <t>J. Michael Nauman</t>
  </si>
  <si>
    <t>James M. Loree</t>
  </si>
  <si>
    <t>Brian C. Cornell</t>
  </si>
  <si>
    <t>Vasant Narasimhan</t>
  </si>
  <si>
    <t>Kevin J. Wheeler</t>
  </si>
  <si>
    <t>Thomas R. Greco</t>
  </si>
  <si>
    <t>Thomas E. Polen</t>
  </si>
  <si>
    <t>Steven H. Collis</t>
  </si>
  <si>
    <t>Jeffrey M. Szyperski</t>
  </si>
  <si>
    <t>Michael F. Roman</t>
  </si>
  <si>
    <t>Kevin A. Lobo</t>
  </si>
  <si>
    <t>William Joseph Stromberg</t>
  </si>
  <si>
    <t>Tod E. Carpenter</t>
  </si>
  <si>
    <t>Carlos A. Rodriguez</t>
  </si>
  <si>
    <t>Richard Joseph Tobin</t>
  </si>
  <si>
    <t>Marvin R. Ellison</t>
  </si>
  <si>
    <t>James M. Foote</t>
  </si>
  <si>
    <t>Donald G. Macpherson</t>
  </si>
  <si>
    <t>Michael D. Hsu</t>
  </si>
  <si>
    <t>J. Powell Brown</t>
  </si>
  <si>
    <t>Geoffrey Straub Martha</t>
  </si>
  <si>
    <t>Douglas L. Peterson</t>
  </si>
  <si>
    <t>J. Kevin Akers</t>
  </si>
  <si>
    <t>Todd J. Vasos</t>
  </si>
  <si>
    <t>Ernest Scott Santi</t>
  </si>
  <si>
    <t>Alex Gorsky</t>
  </si>
  <si>
    <t>Gregg C. Sengstack</t>
  </si>
  <si>
    <t>Christopher Kempczinski</t>
  </si>
  <si>
    <t>Nishan J. Vartanian</t>
  </si>
  <si>
    <t>David S. Taylor</t>
  </si>
  <si>
    <t>Leon J. Topalian</t>
  </si>
  <si>
    <t>Matthew Thomas Farrell</t>
  </si>
  <si>
    <t>W. Rodney McMullen</t>
  </si>
  <si>
    <t>Eric W. Thornburg</t>
  </si>
  <si>
    <t>Jeffrey S. Musser</t>
  </si>
  <si>
    <t>Steven A. Powless</t>
  </si>
  <si>
    <t>Raymond W. McDaniel</t>
  </si>
  <si>
    <t>John George Morikis</t>
  </si>
  <si>
    <t>Robert B. Ford</t>
  </si>
  <si>
    <t>Frank C. Sullivan</t>
  </si>
  <si>
    <t>Lawrence Erik Kurzius</t>
  </si>
  <si>
    <t>Noel R. Wallace</t>
  </si>
  <si>
    <t>David Alan Ciesinski</t>
  </si>
  <si>
    <t>Ellen R. Gordon</t>
  </si>
  <si>
    <t>Timothy Donald Cook</t>
  </si>
  <si>
    <t>Stephan B. Tanda</t>
  </si>
  <si>
    <t>Laurence Neil Hunn</t>
  </si>
  <si>
    <t>Walter Craig Jelinek</t>
  </si>
  <si>
    <t>C. Douglas McMillon</t>
  </si>
  <si>
    <t>Scott Douglas Farmer</t>
  </si>
  <si>
    <t>Jeffrey M. Keebler</t>
  </si>
  <si>
    <t>Sundaram Nagarajan</t>
  </si>
  <si>
    <t>Douglas M. Baker</t>
  </si>
  <si>
    <t>Robert J. Sprowls</t>
  </si>
  <si>
    <t>F. Quinn Stepan</t>
  </si>
  <si>
    <t>James P. Snee</t>
  </si>
  <si>
    <t>Lawson E. Whiting</t>
  </si>
  <si>
    <t>Dennis W. Doll</t>
  </si>
  <si>
    <t>Kenneth C. Bockhorst</t>
  </si>
  <si>
    <t>Martin A. Kropelnicki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</si>
  <si>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</si>
  <si>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</si>
  <si>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</si>
  <si>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</si>
  <si>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</si>
  <si>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</si>
  <si>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Michael J. Hennigan</t>
  </si>
  <si>
    <t>Paul Anthony Mahon</t>
  </si>
  <si>
    <t>Bradley W. Corson</t>
  </si>
  <si>
    <t>Richard A. Johnson</t>
  </si>
  <si>
    <t>Kenneth Marc Jacobs</t>
  </si>
  <si>
    <t>Darryl White</t>
  </si>
  <si>
    <t>Brian Johnston Porter</t>
  </si>
  <si>
    <t>Gerald W. Evans</t>
  </si>
  <si>
    <t>Joseph Kim</t>
  </si>
  <si>
    <t>Marc Robert Bitzer</t>
  </si>
  <si>
    <t>Bharat B. Masrani</t>
  </si>
  <si>
    <t>Karl G. Glassman</t>
  </si>
  <si>
    <t>Michel A. Khalaf</t>
  </si>
  <si>
    <t>John D. Wren</t>
  </si>
  <si>
    <t>Dean A. Connor</t>
  </si>
  <si>
    <t>John L. Walsh</t>
  </si>
  <si>
    <t>Victor Dodig</t>
  </si>
  <si>
    <t>David Ian McKay</t>
  </si>
  <si>
    <t>David L. Goodin</t>
  </si>
  <si>
    <t>William F. Gifford</t>
  </si>
  <si>
    <t>Brian D. Goldner</t>
  </si>
  <si>
    <t>Stephen J. Squeri</t>
  </si>
  <si>
    <t>Daniel Hajj Aboumrad</t>
  </si>
  <si>
    <t>Richard M. Olson</t>
  </si>
  <si>
    <t>Randall L. Stephenson</t>
  </si>
  <si>
    <t>Gary E. Dickerson</t>
  </si>
  <si>
    <t>Marc Parent</t>
  </si>
  <si>
    <t>Leonard A. Comma</t>
  </si>
  <si>
    <t>Louis Vachon</t>
  </si>
  <si>
    <t>David E. Zalman</t>
  </si>
  <si>
    <t>Lachlan Keith Murdoch</t>
  </si>
  <si>
    <t>Phillip D. Green</t>
  </si>
  <si>
    <t>Juan C. Andrade</t>
  </si>
  <si>
    <t>Werner Baumann</t>
  </si>
  <si>
    <t>John P. Barnes</t>
  </si>
  <si>
    <t>Frederick Wallace Smith</t>
  </si>
  <si>
    <t>Marillyn A. Hewson</t>
  </si>
  <si>
    <t>Larry J. Merlo</t>
  </si>
  <si>
    <t>Giovanni Caforio</t>
  </si>
  <si>
    <t>Charles H. Robbins</t>
  </si>
  <si>
    <t>Arvind Krishna</t>
  </si>
  <si>
    <t>Noel W. White</t>
  </si>
  <si>
    <t>Roberto Garcia Merino</t>
  </si>
  <si>
    <t>C. Michael Petters</t>
  </si>
  <si>
    <t>Christian Klein</t>
  </si>
  <si>
    <t>Brian J. Humphries</t>
  </si>
  <si>
    <t>Pedro J. Pizarro</t>
  </si>
  <si>
    <t>Dirk van de Put</t>
  </si>
  <si>
    <t>Alan D. Schnitzer</t>
  </si>
  <si>
    <t>Brian A. Napack</t>
  </si>
  <si>
    <t>Hans Erik Vestberg</t>
  </si>
  <si>
    <t>Jeffrey Craig Sprecher</t>
  </si>
  <si>
    <t>David L. Hoffmann</t>
  </si>
  <si>
    <t>John O. Larsen</t>
  </si>
  <si>
    <t>Barry V. Perry</t>
  </si>
  <si>
    <t>Darius Adamczyk</t>
  </si>
  <si>
    <t>James A. Squires</t>
  </si>
  <si>
    <t>David Scott Wichmann</t>
  </si>
  <si>
    <t>Keith Edward Creel</t>
  </si>
  <si>
    <t>Liam K. Griffin</t>
  </si>
  <si>
    <t>Kenneth C. Frazier</t>
  </si>
  <si>
    <t>Patrick K. Decker</t>
  </si>
  <si>
    <t>George C. Freeman</t>
  </si>
  <si>
    <t>James L. Robo</t>
  </si>
  <si>
    <t>Robert Holmes Swan</t>
  </si>
  <si>
    <t>Nicholas T. Pinchuk</t>
  </si>
  <si>
    <t>James Quincey</t>
  </si>
  <si>
    <t>Robert A. Bradway</t>
  </si>
  <si>
    <t>Richard E. Allison</t>
  </si>
  <si>
    <t>Hikmet Ersek</t>
  </si>
  <si>
    <t>John C. May</t>
  </si>
  <si>
    <t>Craig A. Menear</t>
  </si>
  <si>
    <t>Patrick J. Gallagher</t>
  </si>
  <si>
    <t>Mark T. Smucker</t>
  </si>
  <si>
    <t>Daniel P. O'Day</t>
  </si>
  <si>
    <t>Thomas J. Murphy</t>
  </si>
  <si>
    <t>Lance M. Fritz</t>
  </si>
  <si>
    <t>John J. McAvoy</t>
  </si>
  <si>
    <t>Dian C. Taylor</t>
  </si>
  <si>
    <t>Jamie Iannone</t>
  </si>
  <si>
    <t>Richard M. Adams</t>
  </si>
  <si>
    <t>Leo P. Denault</t>
  </si>
  <si>
    <t>Michele G. Buck</t>
  </si>
  <si>
    <t>Laurence Douglas Fink</t>
  </si>
  <si>
    <t>Stephen F. Angel</t>
  </si>
  <si>
    <t>Blake D. Moret</t>
  </si>
  <si>
    <t>Robert C. Biesterfeld</t>
  </si>
  <si>
    <t>Corie Sue Barry</t>
  </si>
  <si>
    <t>Ramon Luis Laguarta</t>
  </si>
  <si>
    <t>Jean-Jacques Ruest</t>
  </si>
  <si>
    <t>Ulf Mark Schneider</t>
  </si>
  <si>
    <t>Lars Fruergaard Jørgensen</t>
  </si>
  <si>
    <t>James C. Fish</t>
  </si>
  <si>
    <t>Mark E. Tryniski</t>
  </si>
  <si>
    <t>John W. Kemper</t>
  </si>
  <si>
    <t>Andreas Fibig</t>
  </si>
  <si>
    <t>Stephen S. Romaine</t>
  </si>
  <si>
    <t>Michael J. Farrell</t>
  </si>
  <si>
    <t>David L. Payne</t>
  </si>
  <si>
    <t>Thomas A. Bartlett</t>
  </si>
  <si>
    <t>Christopher H. Franklin</t>
  </si>
  <si>
    <t>Horacio D. Rozanski</t>
  </si>
  <si>
    <t>Gregory A. Sandfort / Harry A. Lawton</t>
  </si>
  <si>
    <t>Kunal Kapoor</t>
  </si>
  <si>
    <t>Satya Nadella</t>
  </si>
  <si>
    <t>Benjamin G. S. Fowke</t>
  </si>
  <si>
    <t>Seifollah Ghasemi</t>
  </si>
  <si>
    <t>John J. Donahoe</t>
  </si>
  <si>
    <t>David Hugo Anderson</t>
  </si>
  <si>
    <t>Laura Jean Alber</t>
  </si>
  <si>
    <t>Benno O. Dorer</t>
  </si>
  <si>
    <t>Timothy G. NeCastro</t>
  </si>
  <si>
    <t>David A. Ricks</t>
  </si>
  <si>
    <t>David John Schulte</t>
  </si>
  <si>
    <t>William Douglas Parker</t>
  </si>
  <si>
    <t>Richard D. Fain</t>
  </si>
  <si>
    <t>Robert Marc Bakish</t>
  </si>
  <si>
    <t>Steven B. Tanger</t>
  </si>
  <si>
    <t>Terry K. Spencer</t>
  </si>
  <si>
    <t>Bradley D. Tilden</t>
  </si>
  <si>
    <t>Thomas H. Harty</t>
  </si>
  <si>
    <t>Stephen Murdoch</t>
  </si>
  <si>
    <t>Daniel L. Knotts</t>
  </si>
  <si>
    <t>Christian P. Bayle</t>
  </si>
  <si>
    <t>Roberto da Cunha Castello Branco</t>
  </si>
  <si>
    <t>Jeffrey Jonathan Brown</t>
  </si>
  <si>
    <t>Peter R. Ingram</t>
  </si>
  <si>
    <t>Roger C. Hochschild</t>
  </si>
  <si>
    <t>Sonia Syngal</t>
  </si>
  <si>
    <t>Bernardus Cornelis Adriana Margriet van Beurden</t>
  </si>
  <si>
    <t>Debra A. Cafaro</t>
  </si>
  <si>
    <t>Ian C. Dundas</t>
  </si>
  <si>
    <t>Charlie F. Lowrey</t>
  </si>
  <si>
    <t>Vivian Prem Watsa</t>
  </si>
  <si>
    <t>Patrick Pouyanné</t>
  </si>
  <si>
    <t>Scott H. Baxter</t>
  </si>
  <si>
    <t>Gavin D. K. Hattersley</t>
  </si>
  <si>
    <t>Michael N. Mears</t>
  </si>
  <si>
    <t>Donald J. Walker</t>
  </si>
  <si>
    <t>Christopher H. Volk</t>
  </si>
  <si>
    <t>Mary Teresa Barra</t>
  </si>
  <si>
    <t>Timothy M. Archer</t>
  </si>
  <si>
    <t>Samuel J. B. Pollock</t>
  </si>
  <si>
    <t>Enrique Lores</t>
  </si>
  <si>
    <t>Albert Monaco</t>
  </si>
  <si>
    <t>Jeffrey D. Lorenger</t>
  </si>
  <si>
    <t>Steven C. Voorhees</t>
  </si>
  <si>
    <t>René F. Jones</t>
  </si>
  <si>
    <t>Arne M. Sorenson</t>
  </si>
  <si>
    <t>Scott Wellington Wine</t>
  </si>
  <si>
    <t>David Michael Solomon</t>
  </si>
  <si>
    <t>Peter G. Watson</t>
  </si>
  <si>
    <t>Lakshmi Niwas Mittal</t>
  </si>
  <si>
    <t>Erik David Gershwind</t>
  </si>
  <si>
    <t>David P. Abney</t>
  </si>
  <si>
    <t>Christian Bruch</t>
  </si>
  <si>
    <t>Mark Steven Walchirk</t>
  </si>
  <si>
    <t>Thomas P. Gibbons</t>
  </si>
  <si>
    <t>Craig R. Smiddy</t>
  </si>
  <si>
    <t>William Thomas Dillard</t>
  </si>
  <si>
    <t>H. Lawrence Culp</t>
  </si>
  <si>
    <t>Sumit Roy</t>
  </si>
  <si>
    <t>Mariner Kemper</t>
  </si>
  <si>
    <t>Erik B. Nordstrom</t>
  </si>
  <si>
    <t>Patrick J. Ottensmeyer</t>
  </si>
  <si>
    <t>John C. Butler</t>
  </si>
  <si>
    <t>Donald James Umpleby</t>
  </si>
  <si>
    <t>Gerardo Norcia</t>
  </si>
  <si>
    <t>Gregory J. Hayes</t>
  </si>
  <si>
    <t>Jack Marie Henry David Bowles</t>
  </si>
  <si>
    <t>Wilson R. Jones</t>
  </si>
  <si>
    <t>David W. Gibbs</t>
  </si>
  <si>
    <t>Eduardo Bartolomeo</t>
  </si>
  <si>
    <t>Thomas Joseph Wilson</t>
  </si>
  <si>
    <t>Julian E. Whitehurst</t>
  </si>
  <si>
    <t>Jeffrey Walker Martin</t>
  </si>
  <si>
    <t>Gregory C. Case</t>
  </si>
  <si>
    <t>Robert James Gamgort</t>
  </si>
  <si>
    <t>Paul Hudson</t>
  </si>
  <si>
    <t>Takahiro Hachigo</t>
  </si>
  <si>
    <t>Joseph D. Russell</t>
  </si>
  <si>
    <t>Akio Toyoda</t>
  </si>
  <si>
    <t>Kevin P. Clark</t>
  </si>
  <si>
    <t>Jason E. Fox</t>
  </si>
  <si>
    <t>Thomas F. Farrell</t>
  </si>
  <si>
    <t>Charles S. MacFarlane</t>
  </si>
  <si>
    <t>Erik Börje Ekholm</t>
  </si>
  <si>
    <t>Peter T. F. M. Wennink</t>
  </si>
  <si>
    <t>Norman Thomas Linebarger</t>
  </si>
  <si>
    <t>Ivan M. Menezes</t>
  </si>
  <si>
    <t>Timothy J. Naughton</t>
  </si>
  <si>
    <t>William Harold Spence</t>
  </si>
  <si>
    <t>Jung-Ho Park</t>
  </si>
  <si>
    <t>Martin Mucci</t>
  </si>
  <si>
    <t>Lynn J. Good</t>
  </si>
  <si>
    <t>Richard P. Wallace</t>
  </si>
  <si>
    <t>John W. Somerhalder</t>
  </si>
  <si>
    <t>Robert S. Taubman</t>
  </si>
  <si>
    <t>Richard K. Templeton</t>
  </si>
  <si>
    <t>Salil S. Parekh</t>
  </si>
  <si>
    <t>Thomas A. Fanning</t>
  </si>
  <si>
    <t>Alan Jope</t>
  </si>
  <si>
    <t>Alfred F. Kelly</t>
  </si>
  <si>
    <t>Jeffrey L. Harmening</t>
  </si>
  <si>
    <t>Steven A. Cahillane</t>
  </si>
  <si>
    <t>Nicholas K. Akins</t>
  </si>
  <si>
    <t>Ajaypal S. Banga / Michael E. Miebach</t>
  </si>
  <si>
    <t>David V. Goeckeler</t>
  </si>
  <si>
    <t>Steven M. Mollenkopf</t>
  </si>
  <si>
    <t>Amos Ryals McMullian</t>
  </si>
  <si>
    <t>Sachin G. Shah</t>
  </si>
  <si>
    <t>Jay A. Brown</t>
  </si>
  <si>
    <t>Mark A. Clouse</t>
  </si>
  <si>
    <t>Robert Chapek</t>
  </si>
  <si>
    <t>Jen-Hsun Huang</t>
  </si>
  <si>
    <t>Daniel Lars Florness</t>
  </si>
  <si>
    <t>Joseph Kevin Fletcher</t>
  </si>
  <si>
    <t>Arthur William Stein</t>
  </si>
  <si>
    <t>Matthew J. Murphy</t>
  </si>
  <si>
    <t>Alessandro Bogliolo</t>
  </si>
  <si>
    <t>Kenichiro Yoshida</t>
  </si>
  <si>
    <t>Louis C. Camilleri</t>
  </si>
  <si>
    <t>Thomas R. Palmer</t>
  </si>
  <si>
    <t>Edward A. Pesicka</t>
  </si>
  <si>
    <t>Stephen John Hasker</t>
  </si>
  <si>
    <t>Alan B. Miller</t>
  </si>
  <si>
    <t>Daniel Racine</t>
  </si>
  <si>
    <t>Dennis Mark Bristow</t>
  </si>
  <si>
    <t>Joseph D. Randell</t>
  </si>
  <si>
    <t>John G. Murray</t>
  </si>
  <si>
    <t>Michael Nierenberg</t>
  </si>
  <si>
    <t>Frédéric Oudéa</t>
  </si>
  <si>
    <t>Martin L. Flanagan</t>
  </si>
  <si>
    <t>David E. Simon</t>
  </si>
  <si>
    <t>Stephen P. Joyce</t>
  </si>
  <si>
    <t>Alexander Rijn Wynaendts</t>
  </si>
  <si>
    <t>Jean-Laurent Bonnafé</t>
  </si>
  <si>
    <t>Michael Louis Corbat</t>
  </si>
  <si>
    <t>Richard K. Matros</t>
  </si>
  <si>
    <t>Michael A. Stivala</t>
  </si>
  <si>
    <t>Arnold W. Donald</t>
  </si>
  <si>
    <t>Michael Mark Manley</t>
  </si>
  <si>
    <t>Margaret M. Keane</t>
  </si>
  <si>
    <t>James M. Taylor</t>
  </si>
  <si>
    <t>Michelle D. Gass</t>
  </si>
  <si>
    <t>Kelly S. King</t>
  </si>
  <si>
    <t>Leslie Herbert Wexner</t>
  </si>
  <si>
    <t>Jeremy John Male</t>
  </si>
  <si>
    <t>Bhavesh Vaghjibhai Patel</t>
  </si>
  <si>
    <t>Daniel Joseph Houston</t>
  </si>
  <si>
    <t>Jeffrey K. Storey</t>
  </si>
  <si>
    <t>Torbjörn Magnusson</t>
  </si>
  <si>
    <t>Lorenzo Simonelli</t>
  </si>
  <si>
    <t>Kelcy L. Warren</t>
  </si>
  <si>
    <t>Olajide James Zeitlin</t>
  </si>
  <si>
    <t>Owen D. Thomas</t>
  </si>
  <si>
    <t>Dominic James Brisby / Joerg Biebernick</t>
  </si>
  <si>
    <t>James F. Risoleo</t>
  </si>
  <si>
    <t>Steven J. Kean</t>
  </si>
  <si>
    <t>John F. Remondi</t>
  </si>
  <si>
    <t>Andrew J. Cecere</t>
  </si>
  <si>
    <t>Clay C. Williams</t>
  </si>
  <si>
    <t>José María Álvarez-Pallete López</t>
  </si>
  <si>
    <t>Ravichandra K. Saligram</t>
  </si>
  <si>
    <t>Dino E. Robusto</t>
  </si>
  <si>
    <t>William Leo Meaney</t>
  </si>
  <si>
    <t>Brian T. Moynihan</t>
  </si>
  <si>
    <t>George R. Oliver</t>
  </si>
  <si>
    <t>George Kurian</t>
  </si>
  <si>
    <t>Charles Taylor Pickett</t>
  </si>
  <si>
    <t>Jereissati Jean Neto</t>
  </si>
  <si>
    <t>Sergio P. Ermotti</t>
  </si>
  <si>
    <t>Mark Julian Read</t>
  </si>
  <si>
    <t>Michael C. Jennings</t>
  </si>
  <si>
    <t>John David Williams</t>
  </si>
  <si>
    <t>Luc Desjardins</t>
  </si>
  <si>
    <t>Rajeev Suri</t>
  </si>
  <si>
    <t>James Dimon</t>
  </si>
  <si>
    <t>Gabriel Tirador</t>
  </si>
  <si>
    <t>David W. Kenny</t>
  </si>
  <si>
    <t>David M. Blackman / Adam David Portnoy</t>
  </si>
  <si>
    <t>Carlos Alves de Brito</t>
  </si>
  <si>
    <t>John Joseph Fallon</t>
  </si>
  <si>
    <t>W. Anthony Will</t>
  </si>
  <si>
    <t>Frederick W. McTaggart</t>
  </si>
  <si>
    <t>Albert Bourla</t>
  </si>
  <si>
    <t>Matthew O. Maddox</t>
  </si>
  <si>
    <t>Albert A. Benchimol</t>
  </si>
  <si>
    <t>Timotheus Höttges</t>
  </si>
  <si>
    <t>Benjamin S. Butcher</t>
  </si>
  <si>
    <t>John Visentin</t>
  </si>
  <si>
    <t>Willing L. Biddle</t>
  </si>
  <si>
    <t>Scott D. Peters</t>
  </si>
  <si>
    <t>Wendell P. Weeks</t>
  </si>
  <si>
    <t>Ronald Stephen Delia</t>
  </si>
  <si>
    <t>Edward K. Aldag</t>
  </si>
  <si>
    <t>Mike Henry</t>
  </si>
  <si>
    <t>Ryan M. Lance</t>
  </si>
  <si>
    <t>Edward D. Breen</t>
  </si>
  <si>
    <t>Russell K. Girling</t>
  </si>
  <si>
    <t>José Antonio Álvarez Álvarez</t>
  </si>
  <si>
    <t>André Calantzopoulos</t>
  </si>
  <si>
    <t>Christopher M. Crane</t>
  </si>
  <si>
    <t>Hock E. Tan</t>
  </si>
  <si>
    <t>Philip James Sanders</t>
  </si>
  <si>
    <t>Nathan A. Brown</t>
  </si>
  <si>
    <t>William David Mosley</t>
  </si>
  <si>
    <t>Ola Kaellenius</t>
  </si>
  <si>
    <t>In-Hwa Chang / Jeong-Woo Choi</t>
  </si>
  <si>
    <t>Emma N. Walmsley</t>
  </si>
  <si>
    <t>Michael W. Lamach</t>
  </si>
  <si>
    <t>Kevin R. Johnson</t>
  </si>
  <si>
    <t>Miguel Patricio</t>
  </si>
  <si>
    <t>Paolo Rocca</t>
  </si>
  <si>
    <t>Jeffrey J. Jones</t>
  </si>
  <si>
    <t>Sandra B. Cochran</t>
  </si>
  <si>
    <t>John T. Thomas</t>
  </si>
  <si>
    <t>Sean Eugene Reilly</t>
  </si>
  <si>
    <t>Joseph M. Natale</t>
  </si>
  <si>
    <t>Alexei Borisovich Miller</t>
  </si>
  <si>
    <t>Mark S. Sutton</t>
  </si>
  <si>
    <t>Michael J. Cooper / P. Jane Gavan</t>
  </si>
  <si>
    <t>Che Chia Wei</t>
  </si>
  <si>
    <t>Clifton Albert Pemble</t>
  </si>
  <si>
    <t>Todd A. Penegor</t>
  </si>
  <si>
    <t>Paul E. Szurek</t>
  </si>
  <si>
    <t>Jean-Sébastien Jacques</t>
  </si>
  <si>
    <t>William A. Newlands</t>
  </si>
  <si>
    <t>Michael J. Schall</t>
  </si>
  <si>
    <t>Sean M. Connolly</t>
  </si>
  <si>
    <t>Preston R. Feight</t>
  </si>
  <si>
    <t>Richard Robinson</t>
  </si>
  <si>
    <t>Mark J. Parrell</t>
  </si>
  <si>
    <t>Carlos Manuel Hernandez</t>
  </si>
  <si>
    <t>Julie Spellman Sweet</t>
  </si>
  <si>
    <t>Bracken P. Darrell</t>
  </si>
  <si>
    <t>William Cattell Trimble</t>
  </si>
  <si>
    <t>David J. Gladstone</t>
  </si>
  <si>
    <t>Terrence A. Duffy</t>
  </si>
  <si>
    <t>Joseph Andrew Sullivan</t>
  </si>
  <si>
    <t>Vicente Reynal</t>
  </si>
  <si>
    <t>Craig Arnold</t>
  </si>
  <si>
    <t>Pascal Soriot</t>
  </si>
  <si>
    <t>Randy Vernon Joseph Smallwood</t>
  </si>
  <si>
    <t>Fusen Ernie Chen</t>
  </si>
  <si>
    <t>Thomas E. O'Hern</t>
  </si>
  <si>
    <t>Grant E. Sims</t>
  </si>
  <si>
    <t>Matthew J. Meloy</t>
  </si>
  <si>
    <t>Brian William Kingston</t>
  </si>
  <si>
    <t>Gregory K. Silvers</t>
  </si>
  <si>
    <t>Jeffrey H. Fisher</t>
  </si>
  <si>
    <t>Matthew John Lambiase</t>
  </si>
  <si>
    <t>Vicki A. Hollub</t>
  </si>
  <si>
    <t>Eric Dee Long</t>
  </si>
  <si>
    <t>John J. Christmann</t>
  </si>
  <si>
    <t>Stephen Walter King</t>
  </si>
  <si>
    <t>Adam David Portnoy</t>
  </si>
  <si>
    <t>Gary C. Kelly</t>
  </si>
  <si>
    <t>Richard A. Zimmerman</t>
  </si>
  <si>
    <t>Jeffrey Gennette</t>
  </si>
  <si>
    <t>John W. Lindsay</t>
  </si>
  <si>
    <t>David L. Calhoun</t>
  </si>
  <si>
    <t>Rob Thomsen Ladd</t>
  </si>
  <si>
    <t>William Joseph Hornbuckle</t>
  </si>
  <si>
    <t>Joe B. Alala</t>
  </si>
  <si>
    <t>Thomas Edwin Siering</t>
  </si>
  <si>
    <t>James C. Mastandrea</t>
  </si>
  <si>
    <t>Christian Mumenthaler</t>
  </si>
  <si>
    <t>Charles William Scharf</t>
  </si>
  <si>
    <t>Brian Richard Harris</t>
  </si>
  <si>
    <t>John E. Fischer</t>
  </si>
  <si>
    <t>Matthew P. Wagner</t>
  </si>
  <si>
    <t>Michael Spanos</t>
  </si>
  <si>
    <t>Christopher Timothy Frost</t>
  </si>
  <si>
    <t>Thomas J. DeRosa</t>
  </si>
  <si>
    <t>Christopher M. Gorman</t>
  </si>
  <si>
    <t>Ole Bjarte Bjarte Hjertaker</t>
  </si>
  <si>
    <t>Noel Paul Quinn</t>
  </si>
  <si>
    <t>David M. Overton</t>
  </si>
  <si>
    <t>George G. Gleason</t>
  </si>
  <si>
    <t>John Francis Barry</t>
  </si>
  <si>
    <t>Yong Sheng Ma</t>
  </si>
  <si>
    <t>Bernard Looney</t>
  </si>
  <si>
    <t>Jeffrey Allen Miller</t>
  </si>
  <si>
    <t>Stephen D. Steinour</t>
  </si>
  <si>
    <t>Douglas J. Pferdehirt</t>
  </si>
  <si>
    <t>James P. Hackett</t>
  </si>
  <si>
    <t>Wendy L. Simpson</t>
  </si>
  <si>
    <t>Robert E. Sanchez</t>
  </si>
  <si>
    <t>Glenn J. Rufrano</t>
  </si>
  <si>
    <t>Ke Qiang Xu</t>
  </si>
  <si>
    <t>Charles V. Magro</t>
  </si>
  <si>
    <t>William Keith Maxwell</t>
  </si>
  <si>
    <t>Paul M. Rady</t>
  </si>
  <si>
    <t>Darren W. Woods</t>
  </si>
  <si>
    <t>Alan S. Armstrong</t>
  </si>
  <si>
    <t>Arthur P. Brazy</t>
  </si>
  <si>
    <t>Oliver Zipse</t>
  </si>
  <si>
    <t>James R. Fitterling</t>
  </si>
  <si>
    <t>Justin G. Knight</t>
  </si>
  <si>
    <t>José Eduardo Cil</t>
  </si>
  <si>
    <t>Sheldon Gary Adelson</t>
  </si>
  <si>
    <t>Daniel P. Hansen</t>
  </si>
  <si>
    <t>James Larry Nelson</t>
  </si>
  <si>
    <t>Dwayne Louis Hyzak</t>
  </si>
  <si>
    <t>Greg C. Garland</t>
  </si>
  <si>
    <t>Howard Mark Lorber</t>
  </si>
  <si>
    <t>Stuart A. Rothstein</t>
  </si>
  <si>
    <t>Olivier Le Peuch</t>
  </si>
  <si>
    <t>Frans van Houten</t>
  </si>
  <si>
    <t>Thomas M. Herzog</t>
  </si>
  <si>
    <t>Michael K. Wirth</t>
  </si>
  <si>
    <t>Seth Perry Bernstein</t>
  </si>
  <si>
    <t>Ivan Kaufman</t>
  </si>
  <si>
    <t>Joseph R. Ficalora</t>
  </si>
  <si>
    <t>Elias J. Sabo</t>
  </si>
  <si>
    <t>Eric Richard Colson</t>
  </si>
  <si>
    <t>Scott J. Ulm / Jeffrey J. Zimmer</t>
  </si>
  <si>
    <t>James C. Stewart</t>
  </si>
  <si>
    <t>Joseph W. Gorder</t>
  </si>
  <si>
    <t>Björn Klas Otto Rosengren</t>
  </si>
  <si>
    <t>Edward Herman Bastian</t>
  </si>
  <si>
    <t>Conor C. Flynn</t>
  </si>
  <si>
    <t>Mirko Bibic</t>
  </si>
  <si>
    <t>Ian Edward Robertson</t>
  </si>
  <si>
    <t>Bradley S. Shaw</t>
  </si>
  <si>
    <t>Jochen Zeitz</t>
  </si>
  <si>
    <t>Devin W. Stockfish</t>
  </si>
  <si>
    <t>R. Kipp deVeer</t>
  </si>
  <si>
    <t>Mikael Bratt</t>
  </si>
  <si>
    <t>Peter M. Carlino</t>
  </si>
  <si>
    <t>Brian Pauls</t>
  </si>
  <si>
    <t>Kenneth G. Romanzi</t>
  </si>
  <si>
    <t>Richard C. Adkerson</t>
  </si>
  <si>
    <t>Michael H. Dilger</t>
  </si>
  <si>
    <t>Claudio Descalzi</t>
  </si>
  <si>
    <t>Mark J. Tritton</t>
  </si>
  <si>
    <t>William Andrew Hendricks</t>
  </si>
  <si>
    <t>Nicholas Jonathan Read</t>
  </si>
  <si>
    <t>Gary D. Kain</t>
  </si>
  <si>
    <t>Byron L. Boston</t>
  </si>
  <si>
    <t>Thomas F. Karam</t>
  </si>
  <si>
    <t>Scott Bluestein</t>
  </si>
  <si>
    <t>Anthony W. Marino</t>
  </si>
  <si>
    <t>Stephen D. Plavin</t>
  </si>
  <si>
    <t>Rael L. Diamond</t>
  </si>
  <si>
    <t>Stephen Allen Schwarzman</t>
  </si>
  <si>
    <t>Fujio Mitarai</t>
  </si>
  <si>
    <t>Leon David Black</t>
  </si>
  <si>
    <t>Barry Stuart Sternlicht</t>
  </si>
  <si>
    <t>Fran Horowitz-Bonadies</t>
  </si>
  <si>
    <t>Eugene I. Lee</t>
  </si>
  <si>
    <t>David L. Finkelstein</t>
  </si>
  <si>
    <t>Anthony G. Petrello</t>
  </si>
  <si>
    <t>Oscar Munoz</t>
  </si>
  <si>
    <t>Frank Jose Del Rio</t>
  </si>
  <si>
    <t>Curtis Chatman Farmer</t>
  </si>
  <si>
    <t>Warren Edward Buffett</t>
  </si>
  <si>
    <t>Makoto Uchida</t>
  </si>
  <si>
    <t>Yong Zhang</t>
  </si>
  <si>
    <t>David L. Gitlin</t>
  </si>
  <si>
    <t>Recep Bastug</t>
  </si>
  <si>
    <t>Robert E. Cauley</t>
  </si>
  <si>
    <t>Mark Elliot Zuckerberg</t>
  </si>
  <si>
    <t>Jeffrey P. Bezos</t>
  </si>
  <si>
    <t>Sundar Pichai</t>
  </si>
  <si>
    <t>Judith F. Marks</t>
  </si>
  <si>
    <t>Elon Reeve Musk</t>
  </si>
  <si>
    <t>Wilmot Reed Hastings</t>
  </si>
  <si>
    <t>Financial Services</t>
  </si>
  <si>
    <t>Industrials</t>
  </si>
  <si>
    <t>Communication Services</t>
  </si>
  <si>
    <t>Consumer Cyclical</t>
  </si>
  <si>
    <t>Basic Materials</t>
  </si>
  <si>
    <t>Real Estate</t>
  </si>
  <si>
    <t>Healthcare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</si>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</sst>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0.08028169014084501</v>
      </c>
      <c r="E2">
        <v>0.2144947727199029</v>
      </c>
      <c r="F2">
        <v>0.02</v>
      </c>
      <c r="G2">
        <v>0.2718163546270413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613</v>
      </c>
      <c r="D3">
        <v>0.003191065017949</v>
      </c>
      <c r="E3">
        <v>0.1769732565884465</v>
      </c>
      <c r="F3">
        <v>0.06</v>
      </c>
      <c r="G3">
        <v>0.2488749032802342</v>
      </c>
      <c r="H3" t="s">
        <v>617</v>
      </c>
      <c r="I3" t="s">
        <v>317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0.035514541387024</v>
      </c>
      <c r="E4">
        <v>0.1109484814760395</v>
      </c>
      <c r="F4">
        <v>0.08</v>
      </c>
      <c r="G4">
        <v>0.2187080170122904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0.019831663676168</v>
      </c>
      <c r="E5">
        <v>0.1020437257425666</v>
      </c>
      <c r="F5">
        <v>0.08</v>
      </c>
      <c r="G5">
        <v>0.2010071109470739</v>
      </c>
      <c r="H5" t="s">
        <v>617</v>
      </c>
      <c r="I5" t="s">
        <v>371</v>
      </c>
    </row>
    <row r="6" spans="1:9">
      <c r="A6" s="1" t="s">
        <v>13</v>
      </c>
      <c r="B6">
        <f>HYPERLINK("https://www.suredividend.com/sure-analysis-CMCSA/","Comcast Corp.")</f>
        <v>0</v>
      </c>
      <c r="C6" t="s">
        <v>613</v>
      </c>
      <c r="D6">
        <v>0.024473534433693</v>
      </c>
      <c r="E6">
        <v>0.07068751105090554</v>
      </c>
      <c r="F6">
        <v>0.08</v>
      </c>
      <c r="G6">
        <v>0.1746816234803801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613</v>
      </c>
      <c r="D7">
        <v>0.05975197294250201</v>
      </c>
      <c r="E7">
        <v>0.1058514568062134</v>
      </c>
      <c r="F7">
        <v>0.02</v>
      </c>
      <c r="G7">
        <v>0.1650429007580845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0.052032520325203</v>
      </c>
      <c r="E8">
        <v>0.1172163140549189</v>
      </c>
      <c r="F8">
        <v>0.01</v>
      </c>
      <c r="G8">
        <v>0.1625775982719897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HYPERLINK("https://www.suredividend.com/sure-analysis-TYCB/","Calvin B. Taylor Bankshares, Inc.")</f>
        <v>0</v>
      </c>
      <c r="C9" t="s">
        <v>613</v>
      </c>
      <c r="D9">
        <v>0.036115843270868</v>
      </c>
      <c r="E9">
        <v>0.06914140816607572</v>
      </c>
      <c r="F9">
        <v>0.06</v>
      </c>
      <c r="G9">
        <v>0.1615363182638272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HYPERLINK("https://www.suredividend.com/sure-analysis-BANF/","BancFirst Corp. (Oklahoma)")</f>
        <v>0</v>
      </c>
      <c r="C10" t="s">
        <v>613</v>
      </c>
      <c r="D10">
        <v>0.036458333333333</v>
      </c>
      <c r="E10">
        <v>0.120343555270638</v>
      </c>
      <c r="F10">
        <v>0.01</v>
      </c>
      <c r="G10">
        <v>0.1588547568566312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613</v>
      </c>
      <c r="D11">
        <v>0.018825080574274</v>
      </c>
      <c r="E11">
        <v>0.07526080600546448</v>
      </c>
      <c r="F11">
        <v>0.065</v>
      </c>
      <c r="G11">
        <v>0.1580899429805545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613</v>
      </c>
      <c r="D12">
        <v>0.03075117370892</v>
      </c>
      <c r="E12">
        <v>0.04107499986923102</v>
      </c>
      <c r="F12">
        <v>0.09</v>
      </c>
      <c r="G12">
        <v>0.1568800758207733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HYPERLINK("https://www.suredividend.com/sure-analysis-GD/","General Dynamics Corp.")</f>
        <v>0</v>
      </c>
      <c r="C13" t="s">
        <v>613</v>
      </c>
      <c r="D13">
        <v>0.0341739916208</v>
      </c>
      <c r="E13">
        <v>0.06721746576310172</v>
      </c>
      <c r="F13">
        <v>0.06</v>
      </c>
      <c r="G13">
        <v>0.156406164360757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613</v>
      </c>
      <c r="D14">
        <v>0.039015151515151</v>
      </c>
      <c r="E14">
        <v>0.0698417929634616</v>
      </c>
      <c r="F14">
        <v>0.055</v>
      </c>
      <c r="G14">
        <v>0.1552131003727308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HYPERLINK("https://www.suredividend.com/sure-analysis-CTBI/","Community Trust Bancorp, Inc. (Kentucky)")</f>
        <v>0</v>
      </c>
      <c r="C15" t="s">
        <v>613</v>
      </c>
      <c r="D15">
        <v>0.04926108374384201</v>
      </c>
      <c r="E15">
        <v>0.07696496877304226</v>
      </c>
      <c r="F15">
        <v>0.04</v>
      </c>
      <c r="G15">
        <v>0.1540515986595012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613</v>
      </c>
      <c r="D16">
        <v>0.015230183454482</v>
      </c>
      <c r="E16">
        <v>0.05745287571154956</v>
      </c>
      <c r="F16">
        <v>0.08</v>
      </c>
      <c r="G16">
        <v>0.1527021746327604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HYPERLINK("https://www.suredividend.com/sure-analysis-FRT/","Federal Realty Investment Trust")</f>
        <v>0</v>
      </c>
      <c r="C17" t="s">
        <v>614</v>
      </c>
      <c r="D17">
        <v>0.05647251398172101</v>
      </c>
      <c r="E17">
        <v>0.05281890829892832</v>
      </c>
      <c r="F17">
        <v>0.055</v>
      </c>
      <c r="G17">
        <v>0.1510280774586528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HYPERLINK("https://www.suredividend.com/sure-analysis-WBA/","Walgreens Boots Alliance, Inc.")</f>
        <v>0</v>
      </c>
      <c r="C18" t="s">
        <v>613</v>
      </c>
      <c r="D18">
        <v>0.04399271844660101</v>
      </c>
      <c r="E18">
        <v>0.06241082003116905</v>
      </c>
      <c r="F18">
        <v>0.05</v>
      </c>
      <c r="G18">
        <v>0.148311472110958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613</v>
      </c>
      <c r="D19">
        <v>0.040988372093023</v>
      </c>
      <c r="E19">
        <v>0.07541984734909857</v>
      </c>
      <c r="F19">
        <v>0.04</v>
      </c>
      <c r="G19">
        <v>0.1471482921507818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HYPERLINK("https://www.suredividend.com/sure-analysis-PNR/","Pentair Plc")</f>
        <v>0</v>
      </c>
      <c r="C20" t="s">
        <v>613</v>
      </c>
      <c r="D20">
        <v>0.021765056648777</v>
      </c>
      <c r="E20">
        <v>0.06088958658167343</v>
      </c>
      <c r="F20">
        <v>0.065</v>
      </c>
      <c r="G20">
        <v>0.1457076550465048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HYPERLINK("https://www.suredividend.com/sure-analysis-CB/","Chubb Ltd.")</f>
        <v>0</v>
      </c>
      <c r="C21" t="s">
        <v>613</v>
      </c>
      <c r="D21">
        <v>0.03149606299212501</v>
      </c>
      <c r="E21">
        <v>0.06715093340646416</v>
      </c>
      <c r="F21">
        <v>0.05</v>
      </c>
      <c r="G21">
        <v>0.1422822155679557</v>
      </c>
      <c r="H21" t="s">
        <v>617</v>
      </c>
      <c r="I21" t="s">
        <v>618</v>
      </c>
    </row>
    <row r="22" spans="1:9">
      <c r="A22" s="1" t="s">
        <v>29</v>
      </c>
      <c r="B22">
        <f>HYPERLINK("https://www.suredividend.com/sure-analysis-TDS/","Telephone &amp; Data Systems, Inc.")</f>
        <v>0</v>
      </c>
      <c r="C22" t="s">
        <v>613</v>
      </c>
      <c r="D22">
        <v>0.038820782253356</v>
      </c>
      <c r="E22">
        <v>0.09971577335160187</v>
      </c>
      <c r="F22">
        <v>0.015</v>
      </c>
      <c r="G22">
        <v>0.1416334104642012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HYPERLINK("https://www.suredividend.com/sure-analysis-AIZ/","Assurant, Inc.")</f>
        <v>0</v>
      </c>
      <c r="C23" t="s">
        <v>613</v>
      </c>
      <c r="D23">
        <v>0.025122549019607</v>
      </c>
      <c r="E23">
        <v>0.06801546187925056</v>
      </c>
      <c r="F23">
        <v>0.05</v>
      </c>
      <c r="G23">
        <v>0.1402446586813737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613</v>
      </c>
      <c r="D24">
        <v>0.0526808709904</v>
      </c>
      <c r="E24">
        <v>0.03700590010513172</v>
      </c>
      <c r="F24">
        <v>0.055</v>
      </c>
      <c r="G24">
        <v>0.1378465086833782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613</v>
      </c>
      <c r="D25">
        <v>0.012134081601698</v>
      </c>
      <c r="E25">
        <v>0.05632740829395044</v>
      </c>
      <c r="F25">
        <v>0.06</v>
      </c>
      <c r="G25">
        <v>0.1290887975499828</v>
      </c>
      <c r="H25" t="s">
        <v>617</v>
      </c>
      <c r="I25" t="s">
        <v>371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613</v>
      </c>
      <c r="D26">
        <v>0.016345231093087</v>
      </c>
      <c r="E26">
        <v>0.01372316162398057</v>
      </c>
      <c r="F26">
        <v>0.1</v>
      </c>
      <c r="G26">
        <v>0.1288319712606243</v>
      </c>
      <c r="H26" t="s">
        <v>617</v>
      </c>
      <c r="I26" t="s">
        <v>371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613</v>
      </c>
      <c r="D27">
        <v>0.04492641363284201</v>
      </c>
      <c r="E27">
        <v>0.05381828452452053</v>
      </c>
      <c r="F27">
        <v>0.04</v>
      </c>
      <c r="G27">
        <v>0.1261827554473531</v>
      </c>
      <c r="H27" t="s">
        <v>617</v>
      </c>
      <c r="I27" t="s">
        <v>617</v>
      </c>
    </row>
    <row r="28" spans="1:9">
      <c r="A28" s="1" t="s">
        <v>35</v>
      </c>
      <c r="B28">
        <f>HYPERLINK("https://www.suredividend.com/sure-analysis-PNGAY/","Ping An Insurance (Group) Co. of China Ltd.")</f>
        <v>0</v>
      </c>
      <c r="C28" t="s">
        <v>613</v>
      </c>
      <c r="D28">
        <v>0.023917565561603</v>
      </c>
      <c r="E28">
        <v>0.02620069512450929</v>
      </c>
      <c r="F28">
        <v>0.07000000000000001</v>
      </c>
      <c r="G28">
        <v>0.1210173690193761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613</v>
      </c>
      <c r="D29">
        <v>0.042022792022792</v>
      </c>
      <c r="E29">
        <v>0.0162503065432904</v>
      </c>
      <c r="F29">
        <v>0.065</v>
      </c>
      <c r="G29">
        <v>0.1182898020750949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HYPERLINK("https://www.suredividend.com/sure-analysis-FMCB/","Farmers &amp; Merchants Bancorp (California)")</f>
        <v>0</v>
      </c>
      <c r="C30" t="s">
        <v>613</v>
      </c>
      <c r="D30">
        <v>0.021194029850746</v>
      </c>
      <c r="E30">
        <v>0.04923545713620436</v>
      </c>
      <c r="F30">
        <v>0.05</v>
      </c>
      <c r="G30">
        <v>0.1182634230359245</v>
      </c>
      <c r="H30" t="s">
        <v>617</v>
      </c>
      <c r="I30" t="s">
        <v>618</v>
      </c>
    </row>
    <row r="31" spans="1:9">
      <c r="A31" s="1" t="s">
        <v>38</v>
      </c>
      <c r="B31">
        <f>HYPERLINK("https://www.suredividend.com/sure-analysis-LHX/","L3Harris Technologies, Inc.")</f>
        <v>0</v>
      </c>
      <c r="C31" t="s">
        <v>613</v>
      </c>
      <c r="D31">
        <v>0.015725165744342</v>
      </c>
      <c r="E31">
        <v>0.002735825173538986</v>
      </c>
      <c r="F31">
        <v>0.1</v>
      </c>
      <c r="G31">
        <v>0.1175356846711106</v>
      </c>
      <c r="H31" t="s">
        <v>617</v>
      </c>
      <c r="I31" t="s">
        <v>371</v>
      </c>
    </row>
    <row r="32" spans="1:9">
      <c r="A32" s="1" t="s">
        <v>39</v>
      </c>
      <c r="B32">
        <f>HYPERLINK("https://www.suredividend.com/sure-analysis-GPC/","Genuine Parts Co.")</f>
        <v>0</v>
      </c>
      <c r="C32" t="s">
        <v>613</v>
      </c>
      <c r="D32">
        <v>0.04200523343892</v>
      </c>
      <c r="E32">
        <v>0.04980468217892442</v>
      </c>
      <c r="F32">
        <v>0.03</v>
      </c>
      <c r="G32">
        <v>0.1164208131382742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HYPERLINK("https://www.suredividend.com/sure-analysis-PSBQ/","PSB Holdings, Inc. (Wisconsin)")</f>
        <v>0</v>
      </c>
      <c r="C33" t="s">
        <v>613</v>
      </c>
      <c r="D33">
        <v>0.010141987829614</v>
      </c>
      <c r="E33">
        <v>0.05684984360807754</v>
      </c>
      <c r="F33">
        <v>0.04</v>
      </c>
      <c r="G33">
        <v>0.1164144266469398</v>
      </c>
      <c r="H33" t="s">
        <v>617</v>
      </c>
      <c r="I33" t="s">
        <v>371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613</v>
      </c>
      <c r="D34">
        <v>0.036277024551117</v>
      </c>
      <c r="E34">
        <v>0.03615949480907532</v>
      </c>
      <c r="F34">
        <v>0.05</v>
      </c>
      <c r="G34">
        <v>0.1148666951729906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HYPERLINK("https://www.suredividend.com/sure-analysis-VFC/","VF Corp.")</f>
        <v>0</v>
      </c>
      <c r="C35" t="s">
        <v>613</v>
      </c>
      <c r="D35">
        <v>0.034451981435201</v>
      </c>
      <c r="E35">
        <v>0.00593472536633155</v>
      </c>
      <c r="F35">
        <v>0.08</v>
      </c>
      <c r="G35">
        <v>0.1129796163561558</v>
      </c>
      <c r="H35" t="s">
        <v>617</v>
      </c>
      <c r="I35" t="s">
        <v>618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613</v>
      </c>
      <c r="D36">
        <v>0.031796966161026</v>
      </c>
      <c r="E36">
        <v>0.04170382769883529</v>
      </c>
      <c r="F36">
        <v>0.04</v>
      </c>
      <c r="G36">
        <v>0.1092105032810033</v>
      </c>
      <c r="H36" t="s">
        <v>617</v>
      </c>
      <c r="I36" t="s">
        <v>617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613</v>
      </c>
      <c r="D37">
        <v>0.01696731559207</v>
      </c>
      <c r="E37">
        <v>0.02159737884965862</v>
      </c>
      <c r="F37">
        <v>0.07000000000000001</v>
      </c>
      <c r="G37">
        <v>0.1085628601557187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613</v>
      </c>
      <c r="D38">
        <v>0.036886124812352</v>
      </c>
      <c r="E38">
        <v>0.02737067376423874</v>
      </c>
      <c r="F38">
        <v>0.05</v>
      </c>
      <c r="G38">
        <v>0.1083502378658876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613</v>
      </c>
      <c r="D39">
        <v>0.036105738233397</v>
      </c>
      <c r="E39">
        <v>0.05839905995011185</v>
      </c>
      <c r="F39">
        <v>0.02</v>
      </c>
      <c r="G39">
        <v>0.1068009440920297</v>
      </c>
      <c r="H39" t="s">
        <v>617</v>
      </c>
      <c r="I39" t="s">
        <v>618</v>
      </c>
    </row>
    <row r="40" spans="1:9">
      <c r="A40" s="1" t="s">
        <v>47</v>
      </c>
      <c r="B40">
        <f>HYPERLINK("https://www.suredividend.com/sure-analysis-TJX/","The TJX Cos., Inc.")</f>
        <v>0</v>
      </c>
      <c r="C40" t="s">
        <v>613</v>
      </c>
      <c r="D40">
        <v>0.019295302013422</v>
      </c>
      <c r="E40">
        <v>0.006110434499387196</v>
      </c>
      <c r="F40">
        <v>0.08</v>
      </c>
      <c r="G40">
        <v>0.1064795303285206</v>
      </c>
      <c r="H40" t="s">
        <v>617</v>
      </c>
      <c r="I40" t="s">
        <v>371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613</v>
      </c>
      <c r="D41">
        <v>0.022635135135135</v>
      </c>
      <c r="E41">
        <v>0.005776178467283177</v>
      </c>
      <c r="F41">
        <v>0.08</v>
      </c>
      <c r="G41">
        <v>0.1060616731349417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HYPERLINK("https://www.suredividend.com/sure-analysis-CINF/","Cincinnati Financial Corp.")</f>
        <v>0</v>
      </c>
      <c r="C42" t="s">
        <v>613</v>
      </c>
      <c r="D42">
        <v>0.042921686746987</v>
      </c>
      <c r="E42">
        <v>0.07518815475805951</v>
      </c>
      <c r="F42">
        <v>0.01</v>
      </c>
      <c r="G42">
        <v>0.1043126652905622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HYPERLINK("https://www.suredividend.com/sure-analysis-SYY/","Sysco Corp.")</f>
        <v>0</v>
      </c>
      <c r="C43" t="s">
        <v>613</v>
      </c>
      <c r="D43">
        <v>0.032382420971472</v>
      </c>
      <c r="E43">
        <v>0.002739350140800401</v>
      </c>
      <c r="F43">
        <v>0.07000000000000001</v>
      </c>
      <c r="G43">
        <v>0.1031205130060759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HYPERLINK("https://www.suredividend.com/sure-analysis-ORCL/","Oracle Corp.")</f>
        <v>0</v>
      </c>
      <c r="C44" t="s">
        <v>613</v>
      </c>
      <c r="D44">
        <v>0.018511376783648</v>
      </c>
      <c r="E44">
        <v>0.005267409642116805</v>
      </c>
      <c r="F44">
        <v>0.08</v>
      </c>
      <c r="G44">
        <v>0.1014190082658011</v>
      </c>
      <c r="H44" t="s">
        <v>617</v>
      </c>
      <c r="I44" t="s">
        <v>371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613</v>
      </c>
      <c r="D45">
        <v>0.030223004694835</v>
      </c>
      <c r="E45">
        <v>0.043761751522015</v>
      </c>
      <c r="F45">
        <v>0.03</v>
      </c>
      <c r="G45">
        <v>0.1008734571922685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HYPERLINK("https://www.suredividend.com/sure-analysis-THFF/","First Financial Corp. (Indiana)")</f>
        <v>0</v>
      </c>
      <c r="C46" t="s">
        <v>613</v>
      </c>
      <c r="D46">
        <v>0.032797224850204</v>
      </c>
      <c r="E46">
        <v>0.05503705446947205</v>
      </c>
      <c r="F46">
        <v>0.02</v>
      </c>
      <c r="G46">
        <v>0.1006424441401881</v>
      </c>
      <c r="H46" t="s">
        <v>617</v>
      </c>
      <c r="I46" t="s">
        <v>617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613</v>
      </c>
      <c r="D47">
        <v>0.035689773507206</v>
      </c>
      <c r="E47">
        <v>0.02231127699376212</v>
      </c>
      <c r="F47">
        <v>0.045</v>
      </c>
      <c r="G47">
        <v>0.1000718843689379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HYPERLINK("https://www.suredividend.com/sure-analysis-PRGO/","Perrigo Co. Plc")</f>
        <v>0</v>
      </c>
      <c r="C48" t="s">
        <v>613</v>
      </c>
      <c r="D48">
        <v>0.016341743119266</v>
      </c>
      <c r="E48">
        <v>0.03367654189265212</v>
      </c>
      <c r="F48">
        <v>0.05</v>
      </c>
      <c r="G48">
        <v>0.09955414496449655</v>
      </c>
      <c r="H48" t="s">
        <v>617</v>
      </c>
      <c r="I48" t="s">
        <v>371</v>
      </c>
    </row>
    <row r="49" spans="1:9">
      <c r="A49" s="1" t="s">
        <v>56</v>
      </c>
      <c r="B49">
        <f>HYPERLINK("https://www.suredividend.com/sure-analysis-ALB/","Albemarle Corp.")</f>
        <v>0</v>
      </c>
      <c r="C49" t="s">
        <v>613</v>
      </c>
      <c r="D49">
        <v>0.025375453133091</v>
      </c>
      <c r="E49">
        <v>-0.002489769146968523</v>
      </c>
      <c r="F49">
        <v>0.08</v>
      </c>
      <c r="G49">
        <v>0.09952521587827023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613</v>
      </c>
      <c r="D50">
        <v>0.022952529994783</v>
      </c>
      <c r="E50">
        <v>0.002563907282243649</v>
      </c>
      <c r="F50">
        <v>0.075</v>
      </c>
      <c r="G50">
        <v>0.09726067993082732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HYPERLINK("https://www.suredividend.com/sure-analysis-SEIC/","SEI Investments Co.")</f>
        <v>0</v>
      </c>
      <c r="C51" t="s">
        <v>613</v>
      </c>
      <c r="D51">
        <v>0.013821138211382</v>
      </c>
      <c r="E51">
        <v>-0.01394985040031249</v>
      </c>
      <c r="F51">
        <v>0.1</v>
      </c>
      <c r="G51">
        <v>0.09708894943898461</v>
      </c>
      <c r="H51" t="s">
        <v>617</v>
      </c>
      <c r="I51" t="s">
        <v>371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613</v>
      </c>
      <c r="D52">
        <v>0.016761757902852</v>
      </c>
      <c r="E52">
        <v>0.01866828423184286</v>
      </c>
      <c r="F52">
        <v>0.06</v>
      </c>
      <c r="G52">
        <v>0.09431704162585475</v>
      </c>
      <c r="H52" t="s">
        <v>617</v>
      </c>
      <c r="I52" t="s">
        <v>371</v>
      </c>
    </row>
    <row r="53" spans="1:9">
      <c r="A53" s="1" t="s">
        <v>60</v>
      </c>
      <c r="B53">
        <f>HYPERLINK("https://www.suredividend.com/sure-analysis-ROST/","Ross Stores, Inc.")</f>
        <v>0</v>
      </c>
      <c r="C53" t="s">
        <v>613</v>
      </c>
      <c r="D53">
        <v>0.01147873058744</v>
      </c>
      <c r="E53">
        <v>-0.01816203259159777</v>
      </c>
      <c r="F53">
        <v>0.1</v>
      </c>
      <c r="G53">
        <v>0.09297822773954967</v>
      </c>
      <c r="H53" t="s">
        <v>617</v>
      </c>
      <c r="I53" t="s">
        <v>371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613</v>
      </c>
      <c r="D54">
        <v>0.040497890295358</v>
      </c>
      <c r="E54">
        <v>0.0178200821276393</v>
      </c>
      <c r="F54">
        <v>0.04</v>
      </c>
      <c r="G54">
        <v>0.09140921808708868</v>
      </c>
      <c r="H54" t="s">
        <v>617</v>
      </c>
      <c r="I54" t="s">
        <v>617</v>
      </c>
    </row>
    <row r="55" spans="1:9">
      <c r="A55" s="1" t="s">
        <v>62</v>
      </c>
      <c r="B55">
        <f>HYPERLINK("https://www.suredividend.com/sure-analysis-ABM/","ABM Industries, Inc.")</f>
        <v>0</v>
      </c>
      <c r="C55" t="s">
        <v>613</v>
      </c>
      <c r="D55">
        <v>0.023341918866709</v>
      </c>
      <c r="E55">
        <v>0.02077772324708871</v>
      </c>
      <c r="F55">
        <v>0.05</v>
      </c>
      <c r="G55">
        <v>0.09059560796848376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HYPERLINK("https://www.suredividend.com/sure-analysis-GRC/","The Gorman-Rupp Co.")</f>
        <v>0</v>
      </c>
      <c r="C56" t="s">
        <v>613</v>
      </c>
      <c r="D56">
        <v>0.019753086419753</v>
      </c>
      <c r="E56">
        <v>0.02765399021467529</v>
      </c>
      <c r="F56">
        <v>0.045</v>
      </c>
      <c r="G56">
        <v>0.09028052392026575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613</v>
      </c>
      <c r="D57">
        <v>0.020316560359083</v>
      </c>
      <c r="E57">
        <v>0.02324537461906373</v>
      </c>
      <c r="F57">
        <v>0.05</v>
      </c>
      <c r="G57">
        <v>0.08974385460908252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HYPERLINK("https://www.suredividend.com/sure-analysis-SWK/","Stanley Black &amp; Decker, Inc.")</f>
        <v>0</v>
      </c>
      <c r="C58" t="s">
        <v>613</v>
      </c>
      <c r="D58">
        <v>0.02572801809443</v>
      </c>
      <c r="E58">
        <v>-0.01495223200456863</v>
      </c>
      <c r="F58">
        <v>0.08</v>
      </c>
      <c r="G58">
        <v>0.08761063854161533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HYPERLINK("https://www.suredividend.com/sure-analysis-TGT/","Target Corp.")</f>
        <v>0</v>
      </c>
      <c r="C59" t="s">
        <v>613</v>
      </c>
      <c r="D59">
        <v>0.023067441450959</v>
      </c>
      <c r="E59">
        <v>0.006341087993253058</v>
      </c>
      <c r="F59">
        <v>0.06</v>
      </c>
      <c r="G59">
        <v>0.08738867648732729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HYPERLINK("https://www.suredividend.com/sure-analysis-NVS/","Novartis AG")</f>
        <v>0</v>
      </c>
      <c r="C60" t="s">
        <v>613</v>
      </c>
      <c r="D60">
        <v>0.023512478031634</v>
      </c>
      <c r="E60">
        <v>0.01452409617154693</v>
      </c>
      <c r="F60">
        <v>0.04</v>
      </c>
      <c r="G60">
        <v>0.08637411567960096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HYPERLINK("https://www.suredividend.com/sure-analysis-AOS/","A. O. Smith Corp.")</f>
        <v>0</v>
      </c>
      <c r="C61" t="s">
        <v>613</v>
      </c>
      <c r="D61">
        <v>0.021076746849942</v>
      </c>
      <c r="E61">
        <v>0.003166217650135916</v>
      </c>
      <c r="F61">
        <v>0.06</v>
      </c>
      <c r="G61">
        <v>0.08633313335549153</v>
      </c>
      <c r="H61" t="s">
        <v>617</v>
      </c>
      <c r="I61" t="s">
        <v>371</v>
      </c>
    </row>
    <row r="62" spans="1:9">
      <c r="A62" s="1" t="s">
        <v>69</v>
      </c>
      <c r="B62">
        <f>HYPERLINK("https://www.suredividend.com/sure-analysis-AAP/","Advance Auto Parts, Inc.")</f>
        <v>0</v>
      </c>
      <c r="C62" t="s">
        <v>613</v>
      </c>
      <c r="D62">
        <v>0.001980851766259</v>
      </c>
      <c r="E62">
        <v>0.02601635496675514</v>
      </c>
      <c r="F62">
        <v>0.05</v>
      </c>
      <c r="G62">
        <v>0.08443752499719892</v>
      </c>
      <c r="H62" t="s">
        <v>617</v>
      </c>
      <c r="I62" t="s">
        <v>317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613</v>
      </c>
      <c r="D63">
        <v>0.011963107320649</v>
      </c>
      <c r="E63">
        <v>-0.02916442987446066</v>
      </c>
      <c r="F63">
        <v>0.1</v>
      </c>
      <c r="G63">
        <v>0.08005190328295231</v>
      </c>
      <c r="H63" t="s">
        <v>617</v>
      </c>
      <c r="I63" t="s">
        <v>371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0.018713450292397</v>
      </c>
      <c r="E64">
        <v>0.007241661143049027</v>
      </c>
      <c r="F64">
        <v>0.05</v>
      </c>
      <c r="G64">
        <v>0.07617178718160211</v>
      </c>
      <c r="H64" t="s">
        <v>617</v>
      </c>
      <c r="I64" t="s">
        <v>371</v>
      </c>
    </row>
    <row r="65" spans="1:9">
      <c r="A65" s="1" t="s">
        <v>72</v>
      </c>
      <c r="B65">
        <f>HYPERLINK("https://www.suredividend.com/sure-analysis-CPKF/","Chesapeake Financial Shares, Inc. (Maryland)")</f>
        <v>0</v>
      </c>
      <c r="C65" t="s">
        <v>613</v>
      </c>
      <c r="D65">
        <v>0.026013932820767</v>
      </c>
      <c r="E65">
        <v>0.0308421672439656</v>
      </c>
      <c r="F65">
        <v>0.02</v>
      </c>
      <c r="G65">
        <v>0.07482276473756699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HYPERLINK("https://www.suredividend.com/sure-analysis-MMM/","3M Co.")</f>
        <v>0</v>
      </c>
      <c r="C66" t="s">
        <v>613</v>
      </c>
      <c r="D66">
        <v>0.039603283173734</v>
      </c>
      <c r="E66">
        <v>-0.009425356058021972</v>
      </c>
      <c r="F66">
        <v>0.05</v>
      </c>
      <c r="G66">
        <v>0.07436259358741037</v>
      </c>
      <c r="H66" t="s">
        <v>617</v>
      </c>
      <c r="I66" t="s">
        <v>617</v>
      </c>
    </row>
    <row r="67" spans="1:9">
      <c r="A67" s="1" t="s">
        <v>74</v>
      </c>
      <c r="B67">
        <f>HYPERLINK("https://www.suredividend.com/sure-analysis-SYK/","Stryker Corp.")</f>
        <v>0</v>
      </c>
      <c r="C67" t="s">
        <v>613</v>
      </c>
      <c r="D67">
        <v>0.011784330606973</v>
      </c>
      <c r="E67">
        <v>-0.05349172806007607</v>
      </c>
      <c r="F67">
        <v>0.12</v>
      </c>
      <c r="G67">
        <v>0.07323659525125326</v>
      </c>
      <c r="H67" t="s">
        <v>617</v>
      </c>
      <c r="I67" t="s">
        <v>371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613</v>
      </c>
      <c r="D68">
        <v>0.029390018484288</v>
      </c>
      <c r="E68">
        <v>-0.004257015406908593</v>
      </c>
      <c r="F68">
        <v>0.05</v>
      </c>
      <c r="G68">
        <v>0.07281516324017767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613</v>
      </c>
      <c r="D69">
        <v>0.019453450671607</v>
      </c>
      <c r="E69">
        <v>-0.006032141771013966</v>
      </c>
      <c r="F69">
        <v>0.06</v>
      </c>
      <c r="G69">
        <v>0.07280375409921658</v>
      </c>
      <c r="H69" t="s">
        <v>617</v>
      </c>
      <c r="I69" t="s">
        <v>371</v>
      </c>
    </row>
    <row r="70" spans="1:9">
      <c r="A70" s="1" t="s">
        <v>77</v>
      </c>
      <c r="B70">
        <f>HYPERLINK("https://www.suredividend.com/sure-analysis-ADP/","Automatic Data Processing, Inc.")</f>
        <v>0</v>
      </c>
      <c r="C70" t="s">
        <v>613</v>
      </c>
      <c r="D70">
        <v>0.023519645821804</v>
      </c>
      <c r="E70">
        <v>-0.02976091756576416</v>
      </c>
      <c r="F70">
        <v>0.08</v>
      </c>
      <c r="G70">
        <v>0.07257106365526678</v>
      </c>
      <c r="H70" t="s">
        <v>617</v>
      </c>
      <c r="I70" t="s">
        <v>371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613</v>
      </c>
      <c r="D71">
        <v>0.02157795728671</v>
      </c>
      <c r="E71">
        <v>-0.02803561663585996</v>
      </c>
      <c r="F71">
        <v>0.08</v>
      </c>
      <c r="G71">
        <v>0.06952044338501895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HYPERLINK("https://www.suredividend.com/sure-analysis-LOW/","Lowe's Cos., Inc.")</f>
        <v>0</v>
      </c>
      <c r="C72" t="s">
        <v>613</v>
      </c>
      <c r="D72">
        <v>0.019430760810071</v>
      </c>
      <c r="E72">
        <v>-0.0108101925793711</v>
      </c>
      <c r="F72">
        <v>0.06</v>
      </c>
      <c r="G72">
        <v>0.06796767168334483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613</v>
      </c>
      <c r="D73">
        <v>0.015647453297141</v>
      </c>
      <c r="E73">
        <v>-0.03682003561785907</v>
      </c>
      <c r="F73">
        <v>0.09</v>
      </c>
      <c r="G73">
        <v>0.0677420089104035</v>
      </c>
      <c r="H73" t="s">
        <v>617</v>
      </c>
      <c r="I73" t="s">
        <v>371</v>
      </c>
    </row>
    <row r="74" spans="1:9">
      <c r="A74" s="1" t="s">
        <v>81</v>
      </c>
      <c r="B74">
        <f>HYPERLINK("https://www.suredividend.com/sure-analysis-GWW/","W.W. Grainger, Inc.")</f>
        <v>0</v>
      </c>
      <c r="C74" t="s">
        <v>613</v>
      </c>
      <c r="D74">
        <v>0.020534759358288</v>
      </c>
      <c r="E74">
        <v>-0.03112669680171609</v>
      </c>
      <c r="F74">
        <v>0.08</v>
      </c>
      <c r="G74">
        <v>0.06500191720640358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HYPERLINK("https://www.suredividend.com/sure-analysis-KMB/","Kimberly-Clark Corp.")</f>
        <v>0</v>
      </c>
      <c r="C75" t="s">
        <v>613</v>
      </c>
      <c r="D75">
        <v>0.030867403724864</v>
      </c>
      <c r="E75">
        <v>-0.003981840123275848</v>
      </c>
      <c r="F75">
        <v>0.04</v>
      </c>
      <c r="G75">
        <v>0.06477303528480038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613</v>
      </c>
      <c r="D76">
        <v>0.009259259259259</v>
      </c>
      <c r="E76">
        <v>-0.02330762293384014</v>
      </c>
      <c r="F76">
        <v>0.08</v>
      </c>
      <c r="G76">
        <v>0.06427050931093636</v>
      </c>
      <c r="H76" t="s">
        <v>617</v>
      </c>
      <c r="I76" t="s">
        <v>371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613</v>
      </c>
      <c r="D77">
        <v>0.02190988011575</v>
      </c>
      <c r="E77">
        <v>-0.01876253755558654</v>
      </c>
      <c r="F77">
        <v>0.06</v>
      </c>
      <c r="G77">
        <v>0.06251052576290861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HYPERLINK("https://www.suredividend.com/sure-analysis-SPGI/","S&amp;P Global, Inc.")</f>
        <v>0</v>
      </c>
      <c r="C78" t="s">
        <v>613</v>
      </c>
      <c r="D78">
        <v>0.008225048382637001</v>
      </c>
      <c r="E78">
        <v>-0.04080426422927763</v>
      </c>
      <c r="F78">
        <v>0.09</v>
      </c>
      <c r="G78">
        <v>0.05610057500431154</v>
      </c>
      <c r="H78" t="s">
        <v>617</v>
      </c>
      <c r="I78" t="s">
        <v>371</v>
      </c>
    </row>
    <row r="79" spans="1:9">
      <c r="A79" s="1" t="s">
        <v>86</v>
      </c>
      <c r="B79">
        <f>HYPERLINK("https://www.suredividend.com/sure-analysis-ATO/","Atmos Energy Corp.")</f>
        <v>0</v>
      </c>
      <c r="C79" t="s">
        <v>613</v>
      </c>
      <c r="D79">
        <v>0.022268254790264</v>
      </c>
      <c r="E79">
        <v>-0.02712179804050208</v>
      </c>
      <c r="F79">
        <v>0.06</v>
      </c>
      <c r="G79">
        <v>0.05532671635956121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HYPERLINK("https://www.suredividend.com/sure-analysis-DG/","Dollar General Corp.")</f>
        <v>0</v>
      </c>
      <c r="C80" t="s">
        <v>613</v>
      </c>
      <c r="D80">
        <v>0.007360552041403</v>
      </c>
      <c r="E80">
        <v>-0.0504649169650202</v>
      </c>
      <c r="F80">
        <v>0.1</v>
      </c>
      <c r="G80">
        <v>0.05317260027753123</v>
      </c>
      <c r="H80" t="s">
        <v>617</v>
      </c>
      <c r="I80" t="s">
        <v>317</v>
      </c>
    </row>
    <row r="81" spans="1:9">
      <c r="A81" s="1" t="s">
        <v>88</v>
      </c>
      <c r="B81">
        <f>HYPERLINK("https://www.suredividend.com/sure-analysis-ITW/","Illinois Tool Works, Inc.")</f>
        <v>0</v>
      </c>
      <c r="C81" t="s">
        <v>613</v>
      </c>
      <c r="D81">
        <v>0.02651467439224</v>
      </c>
      <c r="E81">
        <v>-0.03257331140696074</v>
      </c>
      <c r="F81">
        <v>0.06</v>
      </c>
      <c r="G81">
        <v>0.05201646902235946</v>
      </c>
      <c r="H81" t="s">
        <v>617</v>
      </c>
      <c r="I81" t="s">
        <v>618</v>
      </c>
    </row>
    <row r="82" spans="1:9">
      <c r="A82" s="1" t="s">
        <v>89</v>
      </c>
      <c r="B82">
        <f>HYPERLINK("https://www.suredividend.com/sure-analysis-JNJ/","Johnson &amp; Johnson")</f>
        <v>0</v>
      </c>
      <c r="C82" t="s">
        <v>613</v>
      </c>
      <c r="D82">
        <v>0.025661804430037</v>
      </c>
      <c r="E82">
        <v>-0.03736736805672891</v>
      </c>
      <c r="F82">
        <v>0.06</v>
      </c>
      <c r="G82">
        <v>0.04893577582643283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613</v>
      </c>
      <c r="D83">
        <v>0.012539851222104</v>
      </c>
      <c r="E83">
        <v>-0.07605616804439963</v>
      </c>
      <c r="F83">
        <v>0.12</v>
      </c>
      <c r="G83">
        <v>0.04836177599105684</v>
      </c>
      <c r="H83" t="s">
        <v>617</v>
      </c>
      <c r="I83" t="s">
        <v>371</v>
      </c>
    </row>
    <row r="84" spans="1:9">
      <c r="A84" s="1" t="s">
        <v>91</v>
      </c>
      <c r="B84">
        <f>HYPERLINK("https://www.suredividend.com/sure-analysis-MCD/","McDonald's Corp.")</f>
        <v>0</v>
      </c>
      <c r="C84" t="s">
        <v>613</v>
      </c>
      <c r="D84">
        <v>0.02723625473244</v>
      </c>
      <c r="E84">
        <v>-0.03829035462973052</v>
      </c>
      <c r="F84">
        <v>0.06</v>
      </c>
      <c r="G84">
        <v>0.04748158885700771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613</v>
      </c>
      <c r="D85">
        <v>0.014621409921671</v>
      </c>
      <c r="E85">
        <v>-0.02764821551374241</v>
      </c>
      <c r="F85">
        <v>0.06</v>
      </c>
      <c r="G85">
        <v>0.04671736006361393</v>
      </c>
      <c r="H85" t="s">
        <v>617</v>
      </c>
      <c r="I85" t="s">
        <v>371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613</v>
      </c>
      <c r="D86">
        <v>0.026380194518125</v>
      </c>
      <c r="E86">
        <v>-0.03065382120985216</v>
      </c>
      <c r="F86">
        <v>0.05</v>
      </c>
      <c r="G86">
        <v>0.04468588512988325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HYPERLINK("https://www.suredividend.com/sure-analysis-NUE/","Nucor Corp.")</f>
        <v>0</v>
      </c>
      <c r="C87" t="s">
        <v>613</v>
      </c>
      <c r="D87">
        <v>0.039629629629629</v>
      </c>
      <c r="E87">
        <v>-0.0252469466664923</v>
      </c>
      <c r="F87">
        <v>0.03</v>
      </c>
      <c r="G87">
        <v>0.04404450047763686</v>
      </c>
      <c r="H87" t="s">
        <v>617</v>
      </c>
      <c r="I87" t="s">
        <v>617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613</v>
      </c>
      <c r="D88">
        <v>0.012839248434237</v>
      </c>
      <c r="E88">
        <v>-0.0400542579793377</v>
      </c>
      <c r="F88">
        <v>0.07000000000000001</v>
      </c>
      <c r="G88">
        <v>0.04142776475399446</v>
      </c>
      <c r="H88" t="s">
        <v>617</v>
      </c>
      <c r="I88" t="s">
        <v>371</v>
      </c>
    </row>
    <row r="89" spans="1:9">
      <c r="A89" s="1" t="s">
        <v>96</v>
      </c>
      <c r="B89">
        <f>HYPERLINK("https://www.suredividend.com/sure-analysis-KR/","The Kroger Co.")</f>
        <v>0</v>
      </c>
      <c r="C89" t="s">
        <v>613</v>
      </c>
      <c r="D89">
        <v>0.018913971934106</v>
      </c>
      <c r="E89">
        <v>-0.03043886883292923</v>
      </c>
      <c r="F89">
        <v>0.05</v>
      </c>
      <c r="G89">
        <v>0.03841447399448317</v>
      </c>
      <c r="H89" t="s">
        <v>617</v>
      </c>
      <c r="I89" t="s">
        <v>371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613</v>
      </c>
      <c r="D90">
        <v>0.021392249693143</v>
      </c>
      <c r="E90">
        <v>-0.05463061989866025</v>
      </c>
      <c r="F90">
        <v>0.076</v>
      </c>
      <c r="G90">
        <v>0.03826622060175366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613</v>
      </c>
      <c r="D91">
        <v>0.01374759417102</v>
      </c>
      <c r="E91">
        <v>-0.02965260301857053</v>
      </c>
      <c r="F91">
        <v>0.05</v>
      </c>
      <c r="G91">
        <v>0.03489821976609053</v>
      </c>
      <c r="H91" t="s">
        <v>617</v>
      </c>
      <c r="I91" t="s">
        <v>371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0.018013856812933</v>
      </c>
      <c r="E92">
        <v>-0.05869055496044517</v>
      </c>
      <c r="F92">
        <v>0.07000000000000001</v>
      </c>
      <c r="G92">
        <v>0.02873666363624383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613</v>
      </c>
      <c r="D93">
        <v>0.008530373928527001</v>
      </c>
      <c r="E93">
        <v>-0.06184886917757881</v>
      </c>
      <c r="F93">
        <v>0.08</v>
      </c>
      <c r="G93">
        <v>0.02479028553007279</v>
      </c>
      <c r="H93" t="s">
        <v>617</v>
      </c>
      <c r="I93" t="s">
        <v>317</v>
      </c>
    </row>
    <row r="94" spans="1:9">
      <c r="A94" s="1" t="s">
        <v>101</v>
      </c>
      <c r="B94">
        <f>HYPERLINK("https://www.suredividend.com/sure-analysis-SHW/","The Sherwin-Williams Co.")</f>
        <v>0</v>
      </c>
      <c r="C94" t="s">
        <v>613</v>
      </c>
      <c r="D94">
        <v>0.009026373039196001</v>
      </c>
      <c r="E94">
        <v>-0.05421343721652416</v>
      </c>
      <c r="F94">
        <v>0.07000000000000001</v>
      </c>
      <c r="G94">
        <v>0.02466370880937596</v>
      </c>
      <c r="H94" t="s">
        <v>617</v>
      </c>
      <c r="I94" t="s">
        <v>371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613</v>
      </c>
      <c r="D95">
        <v>0.014931927975406</v>
      </c>
      <c r="E95">
        <v>-0.0519086825320566</v>
      </c>
      <c r="F95">
        <v>0.06</v>
      </c>
      <c r="G95">
        <v>0.02238745269669895</v>
      </c>
      <c r="H95" t="s">
        <v>617</v>
      </c>
      <c r="I95" t="s">
        <v>371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0.021369450714823</v>
      </c>
      <c r="E96">
        <v>-0.05083893675116136</v>
      </c>
      <c r="F96">
        <v>0.05</v>
      </c>
      <c r="G96">
        <v>0.02055236255167503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613</v>
      </c>
      <c r="D97">
        <v>0.014542504056921</v>
      </c>
      <c r="E97">
        <v>-0.07319381332316066</v>
      </c>
      <c r="F97">
        <v>0.08</v>
      </c>
      <c r="G97">
        <v>0.02024436763986959</v>
      </c>
      <c r="H97" t="s">
        <v>617</v>
      </c>
      <c r="I97" t="s">
        <v>371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613</v>
      </c>
      <c r="D98">
        <v>0.025501179245283</v>
      </c>
      <c r="E98">
        <v>-0.04728925291709973</v>
      </c>
      <c r="F98">
        <v>0.04</v>
      </c>
      <c r="G98">
        <v>0.01989364676296423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613</v>
      </c>
      <c r="D99">
        <v>0.01904090267983</v>
      </c>
      <c r="E99">
        <v>-0.04266077651241351</v>
      </c>
      <c r="F99">
        <v>0.04</v>
      </c>
      <c r="G99">
        <v>0.01830160945804571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HYPERLINK("https://www.suredividend.com/sure-analysis-TR/","Tootsie Roll Industries, Inc.")</f>
        <v>0</v>
      </c>
      <c r="C100" t="s">
        <v>613</v>
      </c>
      <c r="D100">
        <v>0.009446609826715</v>
      </c>
      <c r="E100">
        <v>-0.0259203841600899</v>
      </c>
      <c r="F100">
        <v>0.03</v>
      </c>
      <c r="G100">
        <v>0.01315696200290661</v>
      </c>
      <c r="H100" t="s">
        <v>617</v>
      </c>
      <c r="I100" t="s">
        <v>371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613</v>
      </c>
      <c r="D101">
        <v>0.010245151847786</v>
      </c>
      <c r="E101">
        <v>-0.06588189021307045</v>
      </c>
      <c r="F101">
        <v>0.07000000000000001</v>
      </c>
      <c r="G101">
        <v>0.01242735569829079</v>
      </c>
      <c r="H101" t="s">
        <v>617</v>
      </c>
      <c r="I101" t="s">
        <v>317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613</v>
      </c>
      <c r="D102">
        <v>0.013732595842075</v>
      </c>
      <c r="E102">
        <v>-0.06098537619412192</v>
      </c>
      <c r="F102">
        <v>0.06</v>
      </c>
      <c r="G102">
        <v>0.01100782365881425</v>
      </c>
      <c r="H102" t="s">
        <v>617</v>
      </c>
      <c r="I102" t="s">
        <v>371</v>
      </c>
    </row>
    <row r="103" spans="1:9">
      <c r="A103" s="1" t="s">
        <v>110</v>
      </c>
      <c r="B103">
        <f>HYPERLINK("https://www.suredividend.com/sure-analysis-ROP/","Roper Technologies, Inc.")</f>
        <v>0</v>
      </c>
      <c r="C103" t="s">
        <v>613</v>
      </c>
      <c r="D103">
        <v>0.005553024262444001</v>
      </c>
      <c r="E103">
        <v>-0.07059919106132662</v>
      </c>
      <c r="F103">
        <v>0.08</v>
      </c>
      <c r="G103">
        <v>0.01053369538959337</v>
      </c>
      <c r="H103" t="s">
        <v>617</v>
      </c>
      <c r="I103" t="s">
        <v>371</v>
      </c>
    </row>
    <row r="104" spans="1:9">
      <c r="A104" s="1" t="s">
        <v>111</v>
      </c>
      <c r="B104">
        <f>HYPERLINK("https://www.suredividend.com/sure-analysis-COST/","Costco Wholesale Corp.")</f>
        <v>0</v>
      </c>
      <c r="C104" t="s">
        <v>613</v>
      </c>
      <c r="D104">
        <v>0.008417235909223001</v>
      </c>
      <c r="E104">
        <v>-0.07191412510094508</v>
      </c>
      <c r="F104">
        <v>0.075</v>
      </c>
      <c r="G104">
        <v>0.008994471104616819</v>
      </c>
      <c r="H104" t="s">
        <v>617</v>
      </c>
      <c r="I104" t="s">
        <v>317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613</v>
      </c>
      <c r="D105">
        <v>0.017193836171938</v>
      </c>
      <c r="E105">
        <v>-0.05471242378162089</v>
      </c>
      <c r="F105">
        <v>0.045</v>
      </c>
      <c r="G105">
        <v>0.008548894335398183</v>
      </c>
      <c r="H105" t="s">
        <v>617</v>
      </c>
      <c r="I105" t="s">
        <v>371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613</v>
      </c>
      <c r="D106">
        <v>0.009754008659656001</v>
      </c>
      <c r="E106">
        <v>-0.06527331453242291</v>
      </c>
      <c r="F106">
        <v>0.06</v>
      </c>
      <c r="G106">
        <v>0.00696602426725379</v>
      </c>
      <c r="H106" t="s">
        <v>617</v>
      </c>
      <c r="I106" t="s">
        <v>371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613</v>
      </c>
      <c r="D107">
        <v>0.023107836570663</v>
      </c>
      <c r="E107">
        <v>-0.05660330050240758</v>
      </c>
      <c r="F107">
        <v>0.038</v>
      </c>
      <c r="G107">
        <v>0.005444634026746886</v>
      </c>
      <c r="H107" t="s">
        <v>617</v>
      </c>
      <c r="I107" t="s">
        <v>618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0.009114176914913001</v>
      </c>
      <c r="E108">
        <v>-0.06283029683891261</v>
      </c>
      <c r="F108">
        <v>0.06</v>
      </c>
      <c r="G108">
        <v>0.00478149756345414</v>
      </c>
      <c r="H108" t="s">
        <v>617</v>
      </c>
      <c r="I108" t="s">
        <v>371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0.009635807905506001</v>
      </c>
      <c r="E109">
        <v>-0.1424993747959287</v>
      </c>
      <c r="F109">
        <v>0.15</v>
      </c>
      <c r="G109">
        <v>-0.0008401938062693182</v>
      </c>
      <c r="H109" t="s">
        <v>617</v>
      </c>
      <c r="I109" t="s">
        <v>317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0.016042059854408</v>
      </c>
      <c r="E110">
        <v>-0.05096618045564139</v>
      </c>
      <c r="F110">
        <v>0.027</v>
      </c>
      <c r="G110">
        <v>-0.00459921793027418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0.011292751129275</v>
      </c>
      <c r="E111">
        <v>-0.06741002104091265</v>
      </c>
      <c r="F111">
        <v>0.04</v>
      </c>
      <c r="G111">
        <v>-0.01380296926214664</v>
      </c>
      <c r="H111" t="s">
        <v>617</v>
      </c>
      <c r="I111" t="s">
        <v>371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0.018552376855237</v>
      </c>
      <c r="E112">
        <v>-0.07237711675801861</v>
      </c>
      <c r="F112">
        <v>0.03</v>
      </c>
      <c r="G112">
        <v>-0.01781464925168741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0.010408732001857</v>
      </c>
      <c r="E113">
        <v>-0.09614406191771452</v>
      </c>
      <c r="F113">
        <v>0.07000000000000001</v>
      </c>
      <c r="G113">
        <v>-0.01848608193274759</v>
      </c>
      <c r="H113" t="s">
        <v>617</v>
      </c>
      <c r="I113" t="s">
        <v>317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0.016241204385534</v>
      </c>
      <c r="E114">
        <v>-0.0611732186797016</v>
      </c>
      <c r="F114">
        <v>0.019</v>
      </c>
      <c r="G114">
        <v>-0.02240761687999326</v>
      </c>
      <c r="H114" t="s">
        <v>617</v>
      </c>
      <c r="I114" t="s">
        <v>371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0.011520335137022</v>
      </c>
      <c r="E115">
        <v>-0.0799489508583211</v>
      </c>
      <c r="F115">
        <v>0.034</v>
      </c>
      <c r="G115">
        <v>-0.03043232703601195</v>
      </c>
      <c r="H115" t="s">
        <v>617</v>
      </c>
      <c r="I115" t="s">
        <v>317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0.018037194712077</v>
      </c>
      <c r="E116">
        <v>-0.09760031583881879</v>
      </c>
      <c r="F116">
        <v>0.04</v>
      </c>
      <c r="G116">
        <v>-0.03596861091151116</v>
      </c>
      <c r="H116" t="s">
        <v>617</v>
      </c>
      <c r="I116" t="s">
        <v>371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0.009131652661064001</v>
      </c>
      <c r="E117">
        <v>-0.1410007369693039</v>
      </c>
      <c r="F117">
        <v>0.095</v>
      </c>
      <c r="G117">
        <v>-0.04428513129574252</v>
      </c>
      <c r="H117" t="s">
        <v>617</v>
      </c>
      <c r="I117" t="s">
        <v>317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0.013090495162208</v>
      </c>
      <c r="E118">
        <v>-0.1014171159835768</v>
      </c>
      <c r="F118">
        <v>0.03</v>
      </c>
      <c r="G118">
        <v>-0.05504319126204626</v>
      </c>
      <c r="H118" t="s">
        <v>617</v>
      </c>
      <c r="I118" t="s">
        <v>371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0.003197644909146</v>
      </c>
      <c r="E119">
        <v>-0.1854236569736541</v>
      </c>
      <c r="F119">
        <v>0.08</v>
      </c>
      <c r="G119">
        <v>-0.1138841327620561</v>
      </c>
      <c r="H119" t="s">
        <v>617</v>
      </c>
      <c r="I119" t="s">
        <v>371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0.052655523941738</v>
      </c>
      <c r="E120">
        <v>0.1727266544851624</v>
      </c>
      <c r="F120">
        <v>0.04</v>
      </c>
      <c r="G120">
        <v>0.2758410625246899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0.10480997624703</v>
      </c>
      <c r="E121">
        <v>0.158652085991726</v>
      </c>
      <c r="F121">
        <v>0.04</v>
      </c>
      <c r="G121">
        <v>0.256241148183836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0.081295099432035</v>
      </c>
      <c r="E122">
        <v>0.1551575280047155</v>
      </c>
      <c r="F122">
        <v>0.04</v>
      </c>
      <c r="G122">
        <v>0.2448851606221532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613</v>
      </c>
      <c r="D123">
        <v>0.07348459194039901</v>
      </c>
      <c r="E123">
        <v>0.1917704718855873</v>
      </c>
      <c r="F123">
        <v>0.01</v>
      </c>
      <c r="G123">
        <v>0.2437942645278266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0.081637177648384</v>
      </c>
      <c r="E124">
        <v>0.1371706203534313</v>
      </c>
      <c r="F124">
        <v>0.04</v>
      </c>
      <c r="G124">
        <v>0.2281735787761403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613</v>
      </c>
      <c r="D125">
        <v>0.045013664601737</v>
      </c>
      <c r="E125">
        <v>0.1430779247685816</v>
      </c>
      <c r="F125">
        <v>0.05</v>
      </c>
      <c r="G125">
        <v>0.2266967739086221</v>
      </c>
      <c r="H125" t="s">
        <v>618</v>
      </c>
      <c r="I125" t="s">
        <v>618</v>
      </c>
    </row>
    <row r="126" spans="1:9">
      <c r="A126" s="1" t="s">
        <v>133</v>
      </c>
      <c r="B126">
        <f>HYPERLINK("https://www.suredividend.com/sure-analysis-FL/","Foot Locker, Inc.")</f>
        <v>0</v>
      </c>
      <c r="C126" t="s">
        <v>613</v>
      </c>
      <c r="D126">
        <v>0.066230936819172</v>
      </c>
      <c r="E126">
        <v>0.1402107356215854</v>
      </c>
      <c r="F126">
        <v>0.04</v>
      </c>
      <c r="G126">
        <v>0.2251268105656641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613</v>
      </c>
      <c r="D127">
        <v>0.07398023174776201</v>
      </c>
      <c r="E127">
        <v>0.118696360274877</v>
      </c>
      <c r="F127">
        <v>0.05</v>
      </c>
      <c r="G127">
        <v>0.2214915540178948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HYPERLINK("https://www.suredividend.com/sure-analysis-LAZ/","Lazard Ltd.")</f>
        <v>0</v>
      </c>
      <c r="C128" t="s">
        <v>613</v>
      </c>
      <c r="D128">
        <v>0.07645384302562</v>
      </c>
      <c r="E128">
        <v>0.1168183728367627</v>
      </c>
      <c r="F128">
        <v>0.05</v>
      </c>
      <c r="G128">
        <v>0.2130552260037564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HYPERLINK("https://www.suredividend.com/sure-analysis-BMO/","Bank of Montreal")</f>
        <v>0</v>
      </c>
      <c r="C129" t="s">
        <v>613</v>
      </c>
      <c r="D129">
        <v>0.064860825793355</v>
      </c>
      <c r="E129">
        <v>0.1157512215801131</v>
      </c>
      <c r="F129">
        <v>0.05</v>
      </c>
      <c r="G129">
        <v>0.211406240522942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HYPERLINK("https://www.suredividend.com/sure-analysis-BNS/","The Bank of Nova Scotia")</f>
        <v>0</v>
      </c>
      <c r="C130" t="s">
        <v>613</v>
      </c>
      <c r="D130">
        <v>0.071434147999894</v>
      </c>
      <c r="E130">
        <v>0.113129340770193</v>
      </c>
      <c r="F130">
        <v>0.05</v>
      </c>
      <c r="G130">
        <v>0.2113733524376173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613</v>
      </c>
      <c r="D131">
        <v>0.0625</v>
      </c>
      <c r="E131">
        <v>0.1409446199897666</v>
      </c>
      <c r="F131">
        <v>0.03</v>
      </c>
      <c r="G131">
        <v>0.2101305292110931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HYPERLINK("https://www.suredividend.com/sure-analysis-SUN/","Sunoco LP")</f>
        <v>0</v>
      </c>
      <c r="C132" t="s">
        <v>615</v>
      </c>
      <c r="D132">
        <v>0.140750213128729</v>
      </c>
      <c r="E132">
        <v>0.09652130256147129</v>
      </c>
      <c r="F132">
        <v>0.015</v>
      </c>
      <c r="G132">
        <v>0.1947407441236186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613</v>
      </c>
      <c r="D133">
        <v>0.044805376645197</v>
      </c>
      <c r="E133">
        <v>0.1122918025942283</v>
      </c>
      <c r="F133">
        <v>0.05</v>
      </c>
      <c r="G133">
        <v>0.1939117763451492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HYPERLINK("https://www.suredividend.com/sure-analysis-TD/","The Toronto-Dominion Bank")</f>
        <v>0</v>
      </c>
      <c r="C134" t="s">
        <v>613</v>
      </c>
      <c r="D134">
        <v>0.055635514277409</v>
      </c>
      <c r="E134">
        <v>0.08708619471068402</v>
      </c>
      <c r="F134">
        <v>0.06</v>
      </c>
      <c r="G134">
        <v>0.1899068095747567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HYPERLINK("https://www.suredividend.com/sure-analysis-LEG/","Leggett &amp; Platt, Inc.")</f>
        <v>0</v>
      </c>
      <c r="C135" t="s">
        <v>613</v>
      </c>
      <c r="D135">
        <v>0.057636887608069</v>
      </c>
      <c r="E135">
        <v>0.08282547591924372</v>
      </c>
      <c r="F135">
        <v>0.06</v>
      </c>
      <c r="G135">
        <v>0.1850785024185302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613</v>
      </c>
      <c r="D136">
        <v>0.052775250227479</v>
      </c>
      <c r="E136">
        <v>0.1021100859360833</v>
      </c>
      <c r="F136">
        <v>0.04</v>
      </c>
      <c r="G136">
        <v>0.1777524462831008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HYPERLINK("https://www.suredividend.com/sure-analysis-OMC/","Omnicom Group, Inc.")</f>
        <v>0</v>
      </c>
      <c r="C137" t="s">
        <v>613</v>
      </c>
      <c r="D137">
        <v>0.04784688995215301</v>
      </c>
      <c r="E137">
        <v>0.1066147177291323</v>
      </c>
      <c r="F137">
        <v>0.035</v>
      </c>
      <c r="G137">
        <v>0.1767621240781341</v>
      </c>
      <c r="H137" t="s">
        <v>618</v>
      </c>
      <c r="I137" t="s">
        <v>618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613</v>
      </c>
      <c r="D138">
        <v>0.047824466843236</v>
      </c>
      <c r="E138">
        <v>0.0659612808062644</v>
      </c>
      <c r="F138">
        <v>0.07000000000000001</v>
      </c>
      <c r="G138">
        <v>0.1746206264314751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613</v>
      </c>
      <c r="D139">
        <v>0.043478260869565</v>
      </c>
      <c r="E139">
        <v>0.04467129719516016</v>
      </c>
      <c r="F139">
        <v>0.09</v>
      </c>
      <c r="G139">
        <v>0.1680831475819353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HYPERLINK("https://www.suredividend.com/sure-analysis-CM/","Canadian Imperial Bank of Commerce")</f>
        <v>0</v>
      </c>
      <c r="C140" t="s">
        <v>613</v>
      </c>
      <c r="D140">
        <v>0.07364108336321601</v>
      </c>
      <c r="E140">
        <v>0.08029604754201491</v>
      </c>
      <c r="F140">
        <v>0.035</v>
      </c>
      <c r="G140">
        <v>0.1677167891777696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HYPERLINK("https://www.suredividend.com/sure-analysis-RY/","Royal Bank of Canada")</f>
        <v>0</v>
      </c>
      <c r="C141" t="s">
        <v>613</v>
      </c>
      <c r="D141">
        <v>0.052256690416023</v>
      </c>
      <c r="E141">
        <v>0.07153850774473725</v>
      </c>
      <c r="F141">
        <v>0.055</v>
      </c>
      <c r="G141">
        <v>0.1674051060393125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HYPERLINK("https://www.suredividend.com/sure-analysis-MDU/","MDU Resources Group, Inc.")</f>
        <v>0</v>
      </c>
      <c r="C142" t="s">
        <v>613</v>
      </c>
      <c r="D142">
        <v>0.039486434108527</v>
      </c>
      <c r="E142">
        <v>0.08841167136690742</v>
      </c>
      <c r="F142">
        <v>0.05</v>
      </c>
      <c r="G142">
        <v>0.1662414321039203</v>
      </c>
      <c r="H142" t="s">
        <v>618</v>
      </c>
      <c r="I142" t="s">
        <v>618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613</v>
      </c>
      <c r="D143">
        <v>0.09291911558914001</v>
      </c>
      <c r="E143">
        <v>0.06012761697259439</v>
      </c>
      <c r="F143">
        <v>0.033</v>
      </c>
      <c r="G143">
        <v>0.1610147597775438</v>
      </c>
      <c r="H143" t="s">
        <v>618</v>
      </c>
      <c r="I143" t="s">
        <v>617</v>
      </c>
    </row>
    <row r="144" spans="1:9">
      <c r="A144" s="1" t="s">
        <v>151</v>
      </c>
      <c r="B144">
        <f>HYPERLINK("https://www.suredividend.com/sure-analysis-HAS/","Hasbro, Inc.")</f>
        <v>0</v>
      </c>
      <c r="C144" t="s">
        <v>613</v>
      </c>
      <c r="D144">
        <v>0.041280922750037</v>
      </c>
      <c r="E144">
        <v>0.04949788178981085</v>
      </c>
      <c r="F144">
        <v>0.08</v>
      </c>
      <c r="G144">
        <v>0.1593694829396195</v>
      </c>
      <c r="H144" t="s">
        <v>618</v>
      </c>
      <c r="I144" t="s">
        <v>618</v>
      </c>
    </row>
    <row r="145" spans="1:9">
      <c r="A145" s="1" t="s">
        <v>152</v>
      </c>
      <c r="B145">
        <f>HYPERLINK("https://www.suredividend.com/sure-analysis-AXP/","American Express Co.")</f>
        <v>0</v>
      </c>
      <c r="C145" t="s">
        <v>613</v>
      </c>
      <c r="D145">
        <v>0.02</v>
      </c>
      <c r="E145">
        <v>0.06530882077167188</v>
      </c>
      <c r="F145">
        <v>0.07000000000000001</v>
      </c>
      <c r="G145">
        <v>0.1544014218594809</v>
      </c>
      <c r="H145" t="s">
        <v>618</v>
      </c>
      <c r="I145" t="s">
        <v>371</v>
      </c>
    </row>
    <row r="146" spans="1:9">
      <c r="A146" s="1" t="s">
        <v>153</v>
      </c>
      <c r="B146">
        <f>HYPERLINK("https://www.suredividend.com/sure-analysis-AMX/","America Movil SAB de CV")</f>
        <v>0</v>
      </c>
      <c r="C146" t="s">
        <v>613</v>
      </c>
      <c r="D146">
        <v>0.030172413793103</v>
      </c>
      <c r="E146">
        <v>0.05729253990636529</v>
      </c>
      <c r="F146">
        <v>0.07000000000000001</v>
      </c>
      <c r="G146">
        <v>0.1543875303811113</v>
      </c>
      <c r="H146" t="s">
        <v>618</v>
      </c>
      <c r="I146" t="s">
        <v>371</v>
      </c>
    </row>
    <row r="147" spans="1:9">
      <c r="A147" s="1" t="s">
        <v>154</v>
      </c>
      <c r="B147">
        <f>HYPERLINK("https://www.suredividend.com/sure-analysis-TTC/","The Toro Co.")</f>
        <v>0</v>
      </c>
      <c r="C147" t="s">
        <v>613</v>
      </c>
      <c r="D147">
        <v>0.014873773918636</v>
      </c>
      <c r="E147">
        <v>0.01937435374112439</v>
      </c>
      <c r="F147">
        <v>0.12</v>
      </c>
      <c r="G147">
        <v>0.1539852412675562</v>
      </c>
      <c r="H147" t="s">
        <v>618</v>
      </c>
      <c r="I147" t="s">
        <v>317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613</v>
      </c>
      <c r="D148">
        <v>0.07155262243834601</v>
      </c>
      <c r="E148">
        <v>0.06185059083912647</v>
      </c>
      <c r="F148">
        <v>0.04</v>
      </c>
      <c r="G148">
        <v>0.1513190309174828</v>
      </c>
      <c r="H148" t="s">
        <v>618</v>
      </c>
      <c r="I148" t="s">
        <v>617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613</v>
      </c>
      <c r="D149">
        <v>0.016633663366336</v>
      </c>
      <c r="E149">
        <v>0.04206652839282898</v>
      </c>
      <c r="F149">
        <v>0.09</v>
      </c>
      <c r="G149">
        <v>0.1480343254062482</v>
      </c>
      <c r="H149" t="s">
        <v>618</v>
      </c>
      <c r="I149" t="s">
        <v>317</v>
      </c>
    </row>
    <row r="150" spans="1:9">
      <c r="A150" s="1" t="s">
        <v>157</v>
      </c>
      <c r="B150">
        <f>HYPERLINK("https://www.suredividend.com/sure-analysis-CAE/","CAE, Inc.")</f>
        <v>0</v>
      </c>
      <c r="C150" t="s">
        <v>613</v>
      </c>
      <c r="D150">
        <v>0.020598092770188</v>
      </c>
      <c r="E150">
        <v>0.0433161898791159</v>
      </c>
      <c r="F150">
        <v>0.08</v>
      </c>
      <c r="G150">
        <v>0.1434874756627575</v>
      </c>
      <c r="H150" t="s">
        <v>618</v>
      </c>
      <c r="I150" t="s">
        <v>371</v>
      </c>
    </row>
    <row r="151" spans="1:9">
      <c r="A151" s="1" t="s">
        <v>158</v>
      </c>
      <c r="B151">
        <f>HYPERLINK("https://www.suredividend.com/sure-analysis-JACK/","Jack in the Box, Inc.")</f>
        <v>0</v>
      </c>
      <c r="C151" t="s">
        <v>613</v>
      </c>
      <c r="D151">
        <v>0.024996094360256</v>
      </c>
      <c r="E151">
        <v>0.05265619291920554</v>
      </c>
      <c r="F151">
        <v>0.07000000000000001</v>
      </c>
      <c r="G151">
        <v>0.14334382237929</v>
      </c>
      <c r="H151" t="s">
        <v>618</v>
      </c>
      <c r="I151" t="s">
        <v>371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613</v>
      </c>
      <c r="D152">
        <v>0.051906879664177</v>
      </c>
      <c r="E152">
        <v>0.04800825444106782</v>
      </c>
      <c r="F152">
        <v>0.05</v>
      </c>
      <c r="G152">
        <v>0.141315937743322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HYPERLINK("https://www.suredividend.com/sure-analysis-PB/","Prosperity Bancshares, Inc.")</f>
        <v>0</v>
      </c>
      <c r="C153" t="s">
        <v>613</v>
      </c>
      <c r="D153">
        <v>0.030313588850174</v>
      </c>
      <c r="E153">
        <v>0.05355238782263783</v>
      </c>
      <c r="F153">
        <v>0.06</v>
      </c>
      <c r="G153">
        <v>0.1407468143332302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0.018540910923014</v>
      </c>
      <c r="E154">
        <v>0.09088217739467375</v>
      </c>
      <c r="F154">
        <v>0.031</v>
      </c>
      <c r="G154">
        <v>0.1377850923876074</v>
      </c>
      <c r="H154" t="s">
        <v>618</v>
      </c>
      <c r="I154" t="s">
        <v>371</v>
      </c>
    </row>
    <row r="155" spans="1:9">
      <c r="A155" s="1" t="s">
        <v>162</v>
      </c>
      <c r="B155">
        <f>HYPERLINK("https://www.suredividend.com/sure-analysis-CFR/","Cullen/Frost Bankers, Inc.")</f>
        <v>0</v>
      </c>
      <c r="C155" t="s">
        <v>613</v>
      </c>
      <c r="D155">
        <v>0.04370575561711201</v>
      </c>
      <c r="E155">
        <v>0.05308470298745882</v>
      </c>
      <c r="F155">
        <v>0.05</v>
      </c>
      <c r="G155">
        <v>0.1374323798370893</v>
      </c>
      <c r="H155" t="s">
        <v>618</v>
      </c>
      <c r="I155" t="s">
        <v>617</v>
      </c>
    </row>
    <row r="156" spans="1:9">
      <c r="A156" s="1" t="s">
        <v>163</v>
      </c>
      <c r="B156">
        <f>HYPERLINK("https://www.suredividend.com/sure-analysis-RE/","Everest Re Group Ltd.")</f>
        <v>0</v>
      </c>
      <c r="C156" t="s">
        <v>613</v>
      </c>
      <c r="D156">
        <v>0.034960783121541</v>
      </c>
      <c r="E156">
        <v>0.04632439908629093</v>
      </c>
      <c r="F156">
        <v>0.058</v>
      </c>
      <c r="G156">
        <v>0.1348156051624065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HYPERLINK("https://www.suredividend.com/sure-analysis-BAYRY/","Bayer AG")</f>
        <v>0</v>
      </c>
      <c r="C157" t="s">
        <v>613</v>
      </c>
      <c r="D157">
        <v>0.048542329726288</v>
      </c>
      <c r="E157">
        <v>0.0597626808754117</v>
      </c>
      <c r="F157">
        <v>0.035</v>
      </c>
      <c r="G157">
        <v>0.1341460782028829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HYPERLINK("https://www.suredividend.com/sure-analysis-PBCT/","People's United Financial, Inc.")</f>
        <v>0</v>
      </c>
      <c r="C158" t="s">
        <v>613</v>
      </c>
      <c r="D158">
        <v>0.0625</v>
      </c>
      <c r="E158">
        <v>0.03949424043957195</v>
      </c>
      <c r="F158">
        <v>0.05</v>
      </c>
      <c r="G158">
        <v>0.1338456918339477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HYPERLINK("https://www.suredividend.com/sure-analysis-FDX/","FedEx Corp.")</f>
        <v>0</v>
      </c>
      <c r="C159" t="s">
        <v>613</v>
      </c>
      <c r="D159">
        <v>0.022585128561501</v>
      </c>
      <c r="E159">
        <v>0.05281351574253645</v>
      </c>
      <c r="F159">
        <v>0.06</v>
      </c>
      <c r="G159">
        <v>0.1326394169712359</v>
      </c>
      <c r="H159" t="s">
        <v>618</v>
      </c>
      <c r="I159" t="s">
        <v>371</v>
      </c>
    </row>
    <row r="160" spans="1:9">
      <c r="A160" s="1" t="s">
        <v>167</v>
      </c>
      <c r="B160">
        <f>HYPERLINK("https://www.suredividend.com/sure-analysis-LMT/","Lockheed Martin Corp.")</f>
        <v>0</v>
      </c>
      <c r="C160" t="s">
        <v>613</v>
      </c>
      <c r="D160">
        <v>0.024301336573511</v>
      </c>
      <c r="E160">
        <v>0.005495125062329409</v>
      </c>
      <c r="F160">
        <v>0.1</v>
      </c>
      <c r="G160">
        <v>0.1268399925684149</v>
      </c>
      <c r="H160" t="s">
        <v>618</v>
      </c>
      <c r="I160" t="s">
        <v>371</v>
      </c>
    </row>
    <row r="161" spans="1:9">
      <c r="A161" s="1" t="s">
        <v>168</v>
      </c>
      <c r="B161">
        <f>HYPERLINK("https://www.suredividend.com/sure-analysis-CVS/","CVS Health Corp.")</f>
        <v>0</v>
      </c>
      <c r="C161" t="s">
        <v>613</v>
      </c>
      <c r="D161">
        <v>0.033107101473266</v>
      </c>
      <c r="E161">
        <v>0.04885280281712157</v>
      </c>
      <c r="F161">
        <v>0.05</v>
      </c>
      <c r="G161">
        <v>0.1258352289419606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613</v>
      </c>
      <c r="D162">
        <v>0.027482414526419</v>
      </c>
      <c r="E162">
        <v>0.06081552132347556</v>
      </c>
      <c r="F162">
        <v>0.04</v>
      </c>
      <c r="G162">
        <v>0.1254506827056903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613</v>
      </c>
      <c r="D163">
        <v>0.03402187120291601</v>
      </c>
      <c r="E163">
        <v>0.03445739901913236</v>
      </c>
      <c r="F163">
        <v>0.06</v>
      </c>
      <c r="G163">
        <v>0.1239253701602141</v>
      </c>
      <c r="H163" t="s">
        <v>618</v>
      </c>
      <c r="I163" t="s">
        <v>371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613</v>
      </c>
      <c r="D164">
        <v>0.05261021352602</v>
      </c>
      <c r="E164">
        <v>0.03930124112428901</v>
      </c>
      <c r="F164">
        <v>0.04</v>
      </c>
      <c r="G164">
        <v>0.1229150284725644</v>
      </c>
      <c r="H164" t="s">
        <v>618</v>
      </c>
      <c r="I164" t="s">
        <v>617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613</v>
      </c>
      <c r="D165">
        <v>0.029846659364731</v>
      </c>
      <c r="E165">
        <v>0.04687837914827941</v>
      </c>
      <c r="F165">
        <v>0.05</v>
      </c>
      <c r="G165">
        <v>0.1222640404326496</v>
      </c>
      <c r="H165" t="s">
        <v>618</v>
      </c>
      <c r="I165" t="s">
        <v>618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613</v>
      </c>
      <c r="D166">
        <v>0.06708232445520501</v>
      </c>
      <c r="E166">
        <v>0.01730807652233701</v>
      </c>
      <c r="F166">
        <v>0.05</v>
      </c>
      <c r="G166">
        <v>0.121766125625586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HYPERLINK("https://www.suredividend.com/sure-analysis-HII/","Huntington Ingalls Industries, Inc.")</f>
        <v>0</v>
      </c>
      <c r="C167" t="s">
        <v>613</v>
      </c>
      <c r="D167">
        <v>0.020207108872096</v>
      </c>
      <c r="E167">
        <v>0.03716521451920474</v>
      </c>
      <c r="F167">
        <v>0.05</v>
      </c>
      <c r="G167">
        <v>0.1093223272725128</v>
      </c>
      <c r="H167" t="s">
        <v>618</v>
      </c>
      <c r="I167" t="s">
        <v>371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613</v>
      </c>
      <c r="D168">
        <v>0.010874060980998</v>
      </c>
      <c r="E168">
        <v>0.004779642255362537</v>
      </c>
      <c r="F168">
        <v>0.09</v>
      </c>
      <c r="G168">
        <v>0.1081592434156198</v>
      </c>
      <c r="H168" t="s">
        <v>618</v>
      </c>
      <c r="I168" t="s">
        <v>317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613</v>
      </c>
      <c r="D169">
        <v>0.013891300573016</v>
      </c>
      <c r="E169">
        <v>0.02330190607151805</v>
      </c>
      <c r="F169">
        <v>0.07000000000000001</v>
      </c>
      <c r="G169">
        <v>0.1074890489015246</v>
      </c>
      <c r="H169" t="s">
        <v>618</v>
      </c>
      <c r="I169" t="s">
        <v>317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613</v>
      </c>
      <c r="D170">
        <v>0.046262028127313</v>
      </c>
      <c r="E170">
        <v>0.0260091606540358</v>
      </c>
      <c r="F170">
        <v>0.04</v>
      </c>
      <c r="G170">
        <v>0.1048874743431625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613</v>
      </c>
      <c r="D171">
        <v>0.022237734343837</v>
      </c>
      <c r="E171">
        <v>0.01133793481939582</v>
      </c>
      <c r="F171">
        <v>0.07000000000000001</v>
      </c>
      <c r="G171">
        <v>0.1034930197214077</v>
      </c>
      <c r="H171" t="s">
        <v>618</v>
      </c>
      <c r="I171" t="s">
        <v>317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613</v>
      </c>
      <c r="D172">
        <v>0.035159181048343</v>
      </c>
      <c r="E172">
        <v>0.01062764281173645</v>
      </c>
      <c r="F172">
        <v>0.06</v>
      </c>
      <c r="G172">
        <v>0.1034401601945907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613</v>
      </c>
      <c r="D173">
        <v>0.036615134255492</v>
      </c>
      <c r="E173">
        <v>0.03219197508300375</v>
      </c>
      <c r="F173">
        <v>0.04</v>
      </c>
      <c r="G173">
        <v>0.1024352681379637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HYPERLINK("https://www.suredividend.com/sure-analysis-VZ/","Verizon Communications, Inc.")</f>
        <v>0</v>
      </c>
      <c r="C174" t="s">
        <v>613</v>
      </c>
      <c r="D174">
        <v>0.043988138030194</v>
      </c>
      <c r="E174">
        <v>0.02537895905707055</v>
      </c>
      <c r="F174">
        <v>0.04</v>
      </c>
      <c r="G174">
        <v>0.1005071591916278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613</v>
      </c>
      <c r="D175">
        <v>0.012262916939175</v>
      </c>
      <c r="E175">
        <v>-0.02985334335043932</v>
      </c>
      <c r="F175">
        <v>0.12</v>
      </c>
      <c r="G175">
        <v>0.09939865934585068</v>
      </c>
      <c r="H175" t="s">
        <v>618</v>
      </c>
      <c r="I175" t="s">
        <v>317</v>
      </c>
    </row>
    <row r="176" spans="1:9">
      <c r="A176" s="1" t="s">
        <v>183</v>
      </c>
      <c r="B176">
        <f>HYPERLINK("https://www.suredividend.com/sure-analysis-DNKN/","Dunkin' Brands Group, Inc.")</f>
        <v>0</v>
      </c>
      <c r="C176" t="s">
        <v>613</v>
      </c>
      <c r="D176">
        <v>0.024051330499133</v>
      </c>
      <c r="E176">
        <v>-0.005199162035890104</v>
      </c>
      <c r="F176">
        <v>0.08</v>
      </c>
      <c r="G176">
        <v>0.096768977942993</v>
      </c>
      <c r="H176" t="s">
        <v>618</v>
      </c>
      <c r="I176" t="s">
        <v>317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613</v>
      </c>
      <c r="D177">
        <v>0.030755902100931</v>
      </c>
      <c r="E177">
        <v>0.007760801506511594</v>
      </c>
      <c r="F177">
        <v>0.055</v>
      </c>
      <c r="G177">
        <v>0.09152816580830625</v>
      </c>
      <c r="H177" t="s">
        <v>618</v>
      </c>
      <c r="I177" t="s">
        <v>371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613</v>
      </c>
      <c r="D178">
        <v>0.035942966761674</v>
      </c>
      <c r="E178">
        <v>0.005844689498092803</v>
      </c>
      <c r="F178">
        <v>0.05</v>
      </c>
      <c r="G178">
        <v>0.0907666930844917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HYPERLINK("https://www.suredividend.com/sure-analysis-HON/","Honeywell International, Inc.")</f>
        <v>0</v>
      </c>
      <c r="C179" t="s">
        <v>613</v>
      </c>
      <c r="D179">
        <v>0.025856885147324</v>
      </c>
      <c r="E179">
        <v>-0.02500116186449863</v>
      </c>
      <c r="F179">
        <v>0.09</v>
      </c>
      <c r="G179">
        <v>0.08913618444860849</v>
      </c>
      <c r="H179" t="s">
        <v>618</v>
      </c>
      <c r="I179" t="s">
        <v>371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0.021880016647838</v>
      </c>
      <c r="E180">
        <v>0.002837956382951479</v>
      </c>
      <c r="F180">
        <v>0.065</v>
      </c>
      <c r="G180">
        <v>0.08878198542505045</v>
      </c>
      <c r="H180" t="s">
        <v>618</v>
      </c>
      <c r="I180" t="s">
        <v>317</v>
      </c>
    </row>
    <row r="181" spans="1:9">
      <c r="A181" s="1" t="s">
        <v>188</v>
      </c>
      <c r="B181">
        <f>HYPERLINK("https://www.suredividend.com/sure-analysis-UNH/","UnitedHealth Group, Inc.")</f>
        <v>0</v>
      </c>
      <c r="C181" t="s">
        <v>613</v>
      </c>
      <c r="D181">
        <v>0.01496000277037</v>
      </c>
      <c r="E181">
        <v>-0.01519144334344946</v>
      </c>
      <c r="F181">
        <v>0.09</v>
      </c>
      <c r="G181">
        <v>0.08841127142462346</v>
      </c>
      <c r="H181" t="s">
        <v>618</v>
      </c>
      <c r="I181" t="s">
        <v>317</v>
      </c>
    </row>
    <row r="182" spans="1:9">
      <c r="A182" s="1" t="s">
        <v>189</v>
      </c>
      <c r="B182">
        <f>HYPERLINK("https://www.suredividend.com/sure-analysis-CP/","Canadian Pacific Railway Ltd.")</f>
        <v>0</v>
      </c>
      <c r="C182" t="s">
        <v>613</v>
      </c>
      <c r="D182">
        <v>0.01128372461214</v>
      </c>
      <c r="E182">
        <v>-0.001259798681611413</v>
      </c>
      <c r="F182">
        <v>0.075</v>
      </c>
      <c r="G182">
        <v>0.08803168945934248</v>
      </c>
      <c r="H182" t="s">
        <v>618</v>
      </c>
      <c r="I182" t="s">
        <v>317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0.016052880075542</v>
      </c>
      <c r="E183">
        <v>-0.03675428402789171</v>
      </c>
      <c r="F183">
        <v>0.112</v>
      </c>
      <c r="G183">
        <v>0.08752488397566949</v>
      </c>
      <c r="H183" t="s">
        <v>618</v>
      </c>
      <c r="I183" t="s">
        <v>317</v>
      </c>
    </row>
    <row r="184" spans="1:9">
      <c r="A184" s="1" t="s">
        <v>191</v>
      </c>
      <c r="B184">
        <f>HYPERLINK("https://www.suredividend.com/sure-analysis-MRK/","Merck &amp; Co., Inc.")</f>
        <v>0</v>
      </c>
      <c r="C184" t="s">
        <v>613</v>
      </c>
      <c r="D184">
        <v>0.030082987551867</v>
      </c>
      <c r="E184">
        <v>0.008837132783177104</v>
      </c>
      <c r="F184">
        <v>0.05</v>
      </c>
      <c r="G184">
        <v>0.08746057003913399</v>
      </c>
      <c r="H184" t="s">
        <v>618</v>
      </c>
      <c r="I184" t="s">
        <v>371</v>
      </c>
    </row>
    <row r="185" spans="1:9">
      <c r="A185" s="1" t="s">
        <v>192</v>
      </c>
      <c r="B185">
        <f>HYPERLINK("https://www.suredividend.com/sure-analysis-XYL/","Xylem, Inc.")</f>
        <v>0</v>
      </c>
      <c r="C185" t="s">
        <v>613</v>
      </c>
      <c r="D185">
        <v>0.015540754836663</v>
      </c>
      <c r="E185">
        <v>-0.01811078965777679</v>
      </c>
      <c r="F185">
        <v>0.09</v>
      </c>
      <c r="G185">
        <v>0.08695882976367275</v>
      </c>
      <c r="H185" t="s">
        <v>618</v>
      </c>
      <c r="I185" t="s">
        <v>317</v>
      </c>
    </row>
    <row r="186" spans="1:9">
      <c r="A186" s="1" t="s">
        <v>193</v>
      </c>
      <c r="B186">
        <f>HYPERLINK("https://www.suredividend.com/sure-analysis-UVV/","Universal Corp.")</f>
        <v>0</v>
      </c>
      <c r="C186" t="s">
        <v>613</v>
      </c>
      <c r="D186">
        <v>0.069304666056724</v>
      </c>
      <c r="E186">
        <v>-0.0004180797671246017</v>
      </c>
      <c r="F186">
        <v>0.025</v>
      </c>
      <c r="G186">
        <v>0.08501734105945058</v>
      </c>
      <c r="H186" t="s">
        <v>618</v>
      </c>
      <c r="I186" t="s">
        <v>617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615</v>
      </c>
      <c r="D187">
        <v>0.041581632653061</v>
      </c>
      <c r="E187">
        <v>0.005825946934035819</v>
      </c>
      <c r="F187">
        <v>0.04</v>
      </c>
      <c r="G187">
        <v>0.08272631894500115</v>
      </c>
      <c r="H187" t="s">
        <v>618</v>
      </c>
      <c r="I187" t="s">
        <v>618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613</v>
      </c>
      <c r="D188">
        <v>0.021544440689422</v>
      </c>
      <c r="E188">
        <v>0.01253747281928841</v>
      </c>
      <c r="F188">
        <v>0.05</v>
      </c>
      <c r="G188">
        <v>0.08265453397357958</v>
      </c>
      <c r="H188" t="s">
        <v>618</v>
      </c>
      <c r="I188" t="s">
        <v>371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613</v>
      </c>
      <c r="D189">
        <v>0.03391812865497</v>
      </c>
      <c r="E189">
        <v>0.04732819515732634</v>
      </c>
      <c r="F189">
        <v>0</v>
      </c>
      <c r="G189">
        <v>0.08217022959251041</v>
      </c>
      <c r="H189" t="s">
        <v>618</v>
      </c>
      <c r="I189" t="s">
        <v>371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613</v>
      </c>
      <c r="D190">
        <v>0.035977653631284</v>
      </c>
      <c r="E190">
        <v>-0.02153560582859626</v>
      </c>
      <c r="F190">
        <v>0.07000000000000001</v>
      </c>
      <c r="G190">
        <v>0.08117252305813505</v>
      </c>
      <c r="H190" t="s">
        <v>618</v>
      </c>
      <c r="I190" t="s">
        <v>618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613</v>
      </c>
      <c r="D191">
        <v>0.025148991926962</v>
      </c>
      <c r="E191">
        <v>-0.03437451767286992</v>
      </c>
      <c r="F191">
        <v>0.09</v>
      </c>
      <c r="G191">
        <v>0.08018748741524173</v>
      </c>
      <c r="H191" t="s">
        <v>618</v>
      </c>
      <c r="I191" t="s">
        <v>371</v>
      </c>
    </row>
    <row r="192" spans="1:9">
      <c r="A192" s="1" t="s">
        <v>199</v>
      </c>
      <c r="B192">
        <f>HYPERLINK("https://www.suredividend.com/sure-analysis-DPZ/","Domino's Pizza, Inc.")</f>
        <v>0</v>
      </c>
      <c r="C192" t="s">
        <v>613</v>
      </c>
      <c r="D192">
        <v>0.007332796132151</v>
      </c>
      <c r="E192">
        <v>-0.05074291079758664</v>
      </c>
      <c r="F192">
        <v>0.12</v>
      </c>
      <c r="G192">
        <v>0.07273641720050383</v>
      </c>
      <c r="H192" t="s">
        <v>618</v>
      </c>
      <c r="I192" t="s">
        <v>317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613</v>
      </c>
      <c r="D193">
        <v>0.042372881355932</v>
      </c>
      <c r="E193">
        <v>0.01545325912735485</v>
      </c>
      <c r="F193">
        <v>0.01</v>
      </c>
      <c r="G193">
        <v>0.07013405660541006</v>
      </c>
      <c r="H193" t="s">
        <v>618</v>
      </c>
      <c r="I193" t="s">
        <v>618</v>
      </c>
    </row>
    <row r="194" spans="1:9">
      <c r="A194" s="1" t="s">
        <v>201</v>
      </c>
      <c r="B194">
        <f>HYPERLINK("https://www.suredividend.com/sure-analysis-DE/","Deere &amp; Co.")</f>
        <v>0</v>
      </c>
      <c r="C194" t="s">
        <v>613</v>
      </c>
      <c r="D194">
        <v>0.023007643986982</v>
      </c>
      <c r="E194">
        <v>-0.01205171365803037</v>
      </c>
      <c r="F194">
        <v>0.06</v>
      </c>
      <c r="G194">
        <v>0.06846108650751814</v>
      </c>
      <c r="H194" t="s">
        <v>618</v>
      </c>
      <c r="I194" t="s">
        <v>371</v>
      </c>
    </row>
    <row r="195" spans="1:9">
      <c r="A195" s="1" t="s">
        <v>202</v>
      </c>
      <c r="B195">
        <f>HYPERLINK("https://www.suredividend.com/sure-analysis-HD/","The Home Depot, Inc.")</f>
        <v>0</v>
      </c>
      <c r="C195" t="s">
        <v>613</v>
      </c>
      <c r="D195">
        <v>0.024294390853876</v>
      </c>
      <c r="E195">
        <v>-0.02807444136720783</v>
      </c>
      <c r="F195">
        <v>0.07000000000000001</v>
      </c>
      <c r="G195">
        <v>0.06613185211772454</v>
      </c>
      <c r="H195" t="s">
        <v>618</v>
      </c>
      <c r="I195" t="s">
        <v>317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613</v>
      </c>
      <c r="D196">
        <v>0.021628340584213</v>
      </c>
      <c r="E196">
        <v>-0.01293269396057783</v>
      </c>
      <c r="F196">
        <v>0.06</v>
      </c>
      <c r="G196">
        <v>0.065554493026039</v>
      </c>
      <c r="H196" t="s">
        <v>618</v>
      </c>
      <c r="I196" t="s">
        <v>317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613</v>
      </c>
      <c r="D197">
        <v>0.030573806395094</v>
      </c>
      <c r="E197">
        <v>-0.01363183838785209</v>
      </c>
      <c r="F197">
        <v>0.05</v>
      </c>
      <c r="G197">
        <v>0.0640835355121776</v>
      </c>
      <c r="H197" t="s">
        <v>618</v>
      </c>
      <c r="I197" t="s">
        <v>371</v>
      </c>
    </row>
    <row r="198" spans="1:9">
      <c r="A198" s="1" t="s">
        <v>205</v>
      </c>
      <c r="B198">
        <f>HYPERLINK("https://www.suredividend.com/sure-analysis-GILD/","Gilead Sciences, Inc.")</f>
        <v>0</v>
      </c>
      <c r="C198" t="s">
        <v>613</v>
      </c>
      <c r="D198">
        <v>0.033174131922034</v>
      </c>
      <c r="E198">
        <v>-0.02324356417968965</v>
      </c>
      <c r="F198">
        <v>0.05</v>
      </c>
      <c r="G198">
        <v>0.06188568648757631</v>
      </c>
      <c r="H198" t="s">
        <v>618</v>
      </c>
      <c r="I198" t="s">
        <v>371</v>
      </c>
    </row>
    <row r="199" spans="1:9">
      <c r="A199" s="1" t="s">
        <v>206</v>
      </c>
      <c r="B199">
        <f>HYPERLINK("https://www.suredividend.com/sure-analysis-AROW/","Arrow Financial Corp.")</f>
        <v>0</v>
      </c>
      <c r="C199" t="s">
        <v>613</v>
      </c>
      <c r="D199">
        <v>0.038908883826879</v>
      </c>
      <c r="E199">
        <v>0.01245196889366262</v>
      </c>
      <c r="F199">
        <v>0.01</v>
      </c>
      <c r="G199">
        <v>0.06046795510249803</v>
      </c>
      <c r="H199" t="s">
        <v>618</v>
      </c>
      <c r="I199" t="s">
        <v>618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613</v>
      </c>
      <c r="D200">
        <v>0.024562540505508</v>
      </c>
      <c r="E200">
        <v>-0.03167085956788496</v>
      </c>
      <c r="F200">
        <v>0.07000000000000001</v>
      </c>
      <c r="G200">
        <v>0.05998747288047102</v>
      </c>
      <c r="H200" t="s">
        <v>618</v>
      </c>
      <c r="I200" t="s">
        <v>317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613</v>
      </c>
      <c r="D201">
        <v>0.03979564399031901</v>
      </c>
      <c r="E201">
        <v>-0.01695519239856502</v>
      </c>
      <c r="F201">
        <v>0.035</v>
      </c>
      <c r="G201">
        <v>0.05701326259457429</v>
      </c>
      <c r="H201" t="s">
        <v>618</v>
      </c>
      <c r="I201" t="s">
        <v>618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613</v>
      </c>
      <c r="D202">
        <v>0.028097686375321</v>
      </c>
      <c r="E202">
        <v>-0.005837537050733421</v>
      </c>
      <c r="F202">
        <v>0.036</v>
      </c>
      <c r="G202">
        <v>0.05633678405383491</v>
      </c>
      <c r="H202" t="s">
        <v>618</v>
      </c>
      <c r="I202" t="s">
        <v>371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0.014163614163614</v>
      </c>
      <c r="E203">
        <v>-0.02737731611282146</v>
      </c>
      <c r="F203">
        <v>0.07000000000000001</v>
      </c>
      <c r="G203">
        <v>0.05526745535675159</v>
      </c>
      <c r="H203" t="s">
        <v>618</v>
      </c>
      <c r="I203" t="s">
        <v>317</v>
      </c>
    </row>
    <row r="204" spans="1:9">
      <c r="A204" s="1" t="s">
        <v>211</v>
      </c>
      <c r="B204">
        <f>HYPERLINK("https://www.suredividend.com/sure-analysis-UBSI/","United Bankshares, Inc. (West Virginia)")</f>
        <v>0</v>
      </c>
      <c r="C204" t="s">
        <v>613</v>
      </c>
      <c r="D204">
        <v>0.051957831325301</v>
      </c>
      <c r="E204">
        <v>-0.0172005375389892</v>
      </c>
      <c r="F204">
        <v>0.02</v>
      </c>
      <c r="G204">
        <v>0.0533427767475203</v>
      </c>
      <c r="H204" t="s">
        <v>618</v>
      </c>
      <c r="I204" t="s">
        <v>617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613</v>
      </c>
      <c r="D205">
        <v>0.039494982194885</v>
      </c>
      <c r="E205">
        <v>-0.01966536622238602</v>
      </c>
      <c r="F205">
        <v>0.035</v>
      </c>
      <c r="G205">
        <v>0.05249034282973475</v>
      </c>
      <c r="H205" t="s">
        <v>618</v>
      </c>
      <c r="I205" t="s">
        <v>618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613</v>
      </c>
      <c r="D206">
        <v>0.023085098307143</v>
      </c>
      <c r="E206">
        <v>-0.0301567736059013</v>
      </c>
      <c r="F206">
        <v>0.06</v>
      </c>
      <c r="G206">
        <v>0.0522162059567941</v>
      </c>
      <c r="H206" t="s">
        <v>618</v>
      </c>
      <c r="I206" t="s">
        <v>317</v>
      </c>
    </row>
    <row r="207" spans="1:9">
      <c r="A207" s="1" t="s">
        <v>214</v>
      </c>
      <c r="B207">
        <f>HYPERLINK("https://www.suredividend.com/sure-analysis-BLK/","BlackRock, Inc.")</f>
        <v>0</v>
      </c>
      <c r="C207" t="s">
        <v>613</v>
      </c>
      <c r="D207">
        <v>0.027989242863053</v>
      </c>
      <c r="E207">
        <v>-0.04602037285029414</v>
      </c>
      <c r="F207">
        <v>0.07000000000000001</v>
      </c>
      <c r="G207">
        <v>0.05189612407390465</v>
      </c>
      <c r="H207" t="s">
        <v>618</v>
      </c>
      <c r="I207" t="s">
        <v>371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613</v>
      </c>
      <c r="D208">
        <v>0.019558535903883</v>
      </c>
      <c r="E208">
        <v>-0.0259812665386886</v>
      </c>
      <c r="F208">
        <v>0.06</v>
      </c>
      <c r="G208">
        <v>0.05112278044892427</v>
      </c>
      <c r="H208" t="s">
        <v>618</v>
      </c>
      <c r="I208" t="s">
        <v>371</v>
      </c>
    </row>
    <row r="209" spans="1:9">
      <c r="A209" s="1" t="s">
        <v>216</v>
      </c>
      <c r="B209">
        <f>HYPERLINK("https://www.suredividend.com/sure-analysis-ROK/","Rockwell Automation, Inc.")</f>
        <v>0</v>
      </c>
      <c r="C209" t="s">
        <v>613</v>
      </c>
      <c r="D209">
        <v>0.02103482902595</v>
      </c>
      <c r="E209">
        <v>-0.03482019046332663</v>
      </c>
      <c r="F209">
        <v>0.065</v>
      </c>
      <c r="G209">
        <v>0.05044526108203207</v>
      </c>
      <c r="H209" t="s">
        <v>618</v>
      </c>
      <c r="I209" t="s">
        <v>317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613</v>
      </c>
      <c r="D210">
        <v>0.028680959818259</v>
      </c>
      <c r="E210">
        <v>-0.0199210588854285</v>
      </c>
      <c r="F210">
        <v>0.04</v>
      </c>
      <c r="G210">
        <v>0.04922407221164016</v>
      </c>
      <c r="H210" t="s">
        <v>618</v>
      </c>
      <c r="I210" t="s">
        <v>371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613</v>
      </c>
      <c r="D211">
        <v>0.027030679821597</v>
      </c>
      <c r="E211">
        <v>-0.043647500209963</v>
      </c>
      <c r="F211">
        <v>0.06</v>
      </c>
      <c r="G211">
        <v>0.04619067418239053</v>
      </c>
      <c r="H211" t="s">
        <v>618</v>
      </c>
      <c r="I211" t="s">
        <v>371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613</v>
      </c>
      <c r="D212">
        <v>0.029209359229239</v>
      </c>
      <c r="E212">
        <v>-0.04044076062692481</v>
      </c>
      <c r="F212">
        <v>0.055</v>
      </c>
      <c r="G212">
        <v>0.04503726730020929</v>
      </c>
      <c r="H212" t="s">
        <v>618</v>
      </c>
      <c r="I212" t="s">
        <v>618</v>
      </c>
    </row>
    <row r="213" spans="1:9">
      <c r="A213" s="1" t="s">
        <v>220</v>
      </c>
      <c r="B213">
        <f>HYPERLINK("https://www.suredividend.com/sure-analysis-CNI/","Canadian National Railway Co.")</f>
        <v>0</v>
      </c>
      <c r="C213" t="s">
        <v>613</v>
      </c>
      <c r="D213">
        <v>0.020415352419214</v>
      </c>
      <c r="E213">
        <v>-0.04533604498913246</v>
      </c>
      <c r="F213">
        <v>0.07000000000000001</v>
      </c>
      <c r="G213">
        <v>0.04348881211478828</v>
      </c>
      <c r="H213" t="s">
        <v>618</v>
      </c>
      <c r="I213" t="s">
        <v>371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0.022033254156769</v>
      </c>
      <c r="E214">
        <v>-0.03082080889476457</v>
      </c>
      <c r="F214">
        <v>0.05</v>
      </c>
      <c r="G214">
        <v>0.04271046755930352</v>
      </c>
      <c r="H214" t="s">
        <v>618</v>
      </c>
      <c r="I214" t="s">
        <v>371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613</v>
      </c>
      <c r="D215">
        <v>0.014138867376573</v>
      </c>
      <c r="E215">
        <v>-0.0392674943576522</v>
      </c>
      <c r="F215">
        <v>0.06</v>
      </c>
      <c r="G215">
        <v>0.04174028172934308</v>
      </c>
      <c r="H215" t="s">
        <v>618</v>
      </c>
      <c r="I215" t="s">
        <v>317</v>
      </c>
    </row>
    <row r="216" spans="1:9">
      <c r="A216" s="1" t="s">
        <v>223</v>
      </c>
      <c r="B216">
        <f>HYPERLINK("https://www.suredividend.com/sure-analysis-WM/","Waste Management, Inc.")</f>
        <v>0</v>
      </c>
      <c r="C216" t="s">
        <v>613</v>
      </c>
      <c r="D216">
        <v>0.021177685950413</v>
      </c>
      <c r="E216">
        <v>-0.03026417459773623</v>
      </c>
      <c r="F216">
        <v>0.05</v>
      </c>
      <c r="G216">
        <v>0.03999023874326779</v>
      </c>
      <c r="H216" t="s">
        <v>618</v>
      </c>
      <c r="I216" t="s">
        <v>317</v>
      </c>
    </row>
    <row r="217" spans="1:9">
      <c r="A217" s="1" t="s">
        <v>224</v>
      </c>
      <c r="B217">
        <f>HYPERLINK("https://www.suredividend.com/sure-analysis-CBU/","Community Bank System, Inc.")</f>
        <v>0</v>
      </c>
      <c r="C217" t="s">
        <v>613</v>
      </c>
      <c r="D217">
        <v>0.02755905511811</v>
      </c>
      <c r="E217">
        <v>-0.03148657049553261</v>
      </c>
      <c r="F217">
        <v>0.04</v>
      </c>
      <c r="G217">
        <v>0.03925365531028757</v>
      </c>
      <c r="H217" t="s">
        <v>618</v>
      </c>
      <c r="I217" t="s">
        <v>371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613</v>
      </c>
      <c r="D218">
        <v>0.01768257856066</v>
      </c>
      <c r="E218">
        <v>-0.0394248834544344</v>
      </c>
      <c r="F218">
        <v>0.06</v>
      </c>
      <c r="G218">
        <v>0.03883133912907843</v>
      </c>
      <c r="H218" t="s">
        <v>618</v>
      </c>
      <c r="I218" t="s">
        <v>317</v>
      </c>
    </row>
    <row r="219" spans="1:9">
      <c r="A219" s="1" t="s">
        <v>226</v>
      </c>
      <c r="B219">
        <f>HYPERLINK("https://www.suredividend.com/sure-analysis-IFF/","International Flavors &amp; Fragrances, Inc.")</f>
        <v>0</v>
      </c>
      <c r="C219" t="s">
        <v>613</v>
      </c>
      <c r="D219">
        <v>0.02254207600335</v>
      </c>
      <c r="E219">
        <v>-0.02634427839532549</v>
      </c>
      <c r="F219">
        <v>0.04</v>
      </c>
      <c r="G219">
        <v>0.03615555346340127</v>
      </c>
      <c r="H219" t="s">
        <v>618</v>
      </c>
      <c r="I219" t="s">
        <v>371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613</v>
      </c>
      <c r="D220">
        <v>0.023129435013024</v>
      </c>
      <c r="E220">
        <v>-0.06431504927885756</v>
      </c>
      <c r="F220">
        <v>0.07000000000000001</v>
      </c>
      <c r="G220">
        <v>0.03001869016869296</v>
      </c>
      <c r="H220" t="s">
        <v>618</v>
      </c>
      <c r="I220" t="s">
        <v>371</v>
      </c>
    </row>
    <row r="221" spans="1:9">
      <c r="A221" s="1" t="s">
        <v>228</v>
      </c>
      <c r="B221">
        <f>HYPERLINK("https://www.suredividend.com/sure-analysis-TMP/","Tompkins Financial Corp.")</f>
        <v>0</v>
      </c>
      <c r="C221" t="s">
        <v>613</v>
      </c>
      <c r="D221">
        <v>0.03187998124706901</v>
      </c>
      <c r="E221">
        <v>-0.009269861284801784</v>
      </c>
      <c r="F221">
        <v>0</v>
      </c>
      <c r="G221">
        <v>0.02670776555721344</v>
      </c>
      <c r="H221" t="s">
        <v>618</v>
      </c>
      <c r="I221" t="s">
        <v>618</v>
      </c>
    </row>
    <row r="222" spans="1:9">
      <c r="A222" s="1" t="s">
        <v>229</v>
      </c>
      <c r="B222">
        <f>HYPERLINK("https://www.suredividend.com/sure-analysis-RMD/","ResMed, Inc.")</f>
        <v>0</v>
      </c>
      <c r="C222" t="s">
        <v>613</v>
      </c>
      <c r="D222">
        <v>0.009629212780591001</v>
      </c>
      <c r="E222">
        <v>-0.09417971977560968</v>
      </c>
      <c r="F222">
        <v>0.12</v>
      </c>
      <c r="G222">
        <v>0.02653126431869413</v>
      </c>
      <c r="H222" t="s">
        <v>618</v>
      </c>
      <c r="I222" t="s">
        <v>317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613</v>
      </c>
      <c r="D223">
        <v>0.028125535928657</v>
      </c>
      <c r="E223">
        <v>-0.02177169736480045</v>
      </c>
      <c r="F223">
        <v>0.02</v>
      </c>
      <c r="G223">
        <v>0.02636115612659284</v>
      </c>
      <c r="H223" t="s">
        <v>618</v>
      </c>
      <c r="I223" t="s">
        <v>371</v>
      </c>
    </row>
    <row r="224" spans="1:9">
      <c r="A224" s="1" t="s">
        <v>231</v>
      </c>
      <c r="B224">
        <f>HYPERLINK("https://www.suredividend.com/sure-analysis-AMT/","American Tower Corp.")</f>
        <v>0</v>
      </c>
      <c r="C224" t="s">
        <v>614</v>
      </c>
      <c r="D224">
        <v>0.016690550450982</v>
      </c>
      <c r="E224">
        <v>-0.0531859808015327</v>
      </c>
      <c r="F224">
        <v>0.06</v>
      </c>
      <c r="G224">
        <v>0.02366836212409429</v>
      </c>
      <c r="H224" t="s">
        <v>618</v>
      </c>
      <c r="I224" t="s">
        <v>317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613</v>
      </c>
      <c r="D225">
        <v>0.022291615441357</v>
      </c>
      <c r="E225">
        <v>-0.07129820379293261</v>
      </c>
      <c r="F225">
        <v>0.07000000000000001</v>
      </c>
      <c r="G225">
        <v>0.02147487575068618</v>
      </c>
      <c r="H225" t="s">
        <v>618</v>
      </c>
      <c r="I225" t="s">
        <v>371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613</v>
      </c>
      <c r="D226">
        <v>0.013018714401952</v>
      </c>
      <c r="E226">
        <v>-0.07136737943095339</v>
      </c>
      <c r="F226">
        <v>0.08</v>
      </c>
      <c r="G226">
        <v>0.02056264932867435</v>
      </c>
      <c r="H226" t="s">
        <v>618</v>
      </c>
      <c r="I226" t="s">
        <v>317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613</v>
      </c>
      <c r="D227">
        <v>0.013326987148976</v>
      </c>
      <c r="E227">
        <v>-0.06283214120249248</v>
      </c>
      <c r="F227">
        <v>0.065</v>
      </c>
      <c r="G227">
        <v>0.01425740057849811</v>
      </c>
      <c r="H227" t="s">
        <v>618</v>
      </c>
      <c r="I227" t="s">
        <v>317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0.007986230636833</v>
      </c>
      <c r="E228">
        <v>-0.05365416467794837</v>
      </c>
      <c r="F228">
        <v>0.06</v>
      </c>
      <c r="G228">
        <v>0.01345385784261088</v>
      </c>
      <c r="H228" t="s">
        <v>618</v>
      </c>
      <c r="I228" t="s">
        <v>317</v>
      </c>
    </row>
    <row r="229" spans="1:9">
      <c r="A229" s="1" t="s">
        <v>236</v>
      </c>
      <c r="B229">
        <f>HYPERLINK("https://www.suredividend.com/sure-analysis-MSFT/","Microsoft Corp.")</f>
        <v>0</v>
      </c>
      <c r="C229" t="s">
        <v>613</v>
      </c>
      <c r="D229">
        <v>0.010901720170921</v>
      </c>
      <c r="E229">
        <v>-0.07697977365541031</v>
      </c>
      <c r="F229">
        <v>0.08</v>
      </c>
      <c r="G229">
        <v>0.01196173002566847</v>
      </c>
      <c r="H229" t="s">
        <v>618</v>
      </c>
      <c r="I229" t="s">
        <v>317</v>
      </c>
    </row>
    <row r="230" spans="1:9">
      <c r="A230" s="1" t="s">
        <v>237</v>
      </c>
      <c r="B230">
        <f>HYPERLINK("https://www.suredividend.com/sure-analysis-XEL/","Xcel Energy, Inc.")</f>
        <v>0</v>
      </c>
      <c r="C230" t="s">
        <v>613</v>
      </c>
      <c r="D230">
        <v>0.026461940542306</v>
      </c>
      <c r="E230">
        <v>-0.06013057063734617</v>
      </c>
      <c r="F230">
        <v>0.04</v>
      </c>
      <c r="G230">
        <v>0.008807082869092042</v>
      </c>
      <c r="H230" t="s">
        <v>618</v>
      </c>
      <c r="I230" t="s">
        <v>317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613</v>
      </c>
      <c r="D231">
        <v>0.021577580804011</v>
      </c>
      <c r="E231">
        <v>-0.07570697416918715</v>
      </c>
      <c r="F231">
        <v>0.06</v>
      </c>
      <c r="G231">
        <v>0.007803168142960226</v>
      </c>
      <c r="H231" t="s">
        <v>618</v>
      </c>
      <c r="I231" t="s">
        <v>371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613</v>
      </c>
      <c r="D232">
        <v>0.010515603799185</v>
      </c>
      <c r="E232">
        <v>-0.09087203636235541</v>
      </c>
      <c r="F232">
        <v>0.09</v>
      </c>
      <c r="G232">
        <v>0.005441927971314042</v>
      </c>
      <c r="H232" t="s">
        <v>618</v>
      </c>
      <c r="I232" t="s">
        <v>317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613</v>
      </c>
      <c r="D233">
        <v>0.031106932635709</v>
      </c>
      <c r="E233">
        <v>-0.05748146287388012</v>
      </c>
      <c r="F233">
        <v>0.029</v>
      </c>
      <c r="G233">
        <v>0.003961031789964098</v>
      </c>
      <c r="H233" t="s">
        <v>618</v>
      </c>
      <c r="I233" t="s">
        <v>618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0.029020556227327</v>
      </c>
      <c r="E234">
        <v>-0.071952357012805</v>
      </c>
      <c r="F234">
        <v>0.04</v>
      </c>
      <c r="G234">
        <v>-8.136220902965619e-05</v>
      </c>
      <c r="H234" t="s">
        <v>618</v>
      </c>
      <c r="I234" t="s">
        <v>371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0.021222283397567</v>
      </c>
      <c r="E235">
        <v>-0.07336256016895104</v>
      </c>
      <c r="F235">
        <v>0.04</v>
      </c>
      <c r="G235">
        <v>-0.01031416679104769</v>
      </c>
      <c r="H235" t="s">
        <v>618</v>
      </c>
      <c r="I235" t="s">
        <v>371</v>
      </c>
    </row>
    <row r="236" spans="1:9">
      <c r="A236" s="1" t="s">
        <v>243</v>
      </c>
      <c r="B236">
        <f>HYPERLINK("https://www.suredividend.com/sure-analysis-ERIE/","Erie Indemnity Co.")</f>
        <v>0</v>
      </c>
      <c r="C236" t="s">
        <v>613</v>
      </c>
      <c r="D236">
        <v>0.020089897494929</v>
      </c>
      <c r="E236">
        <v>-0.09030564692238918</v>
      </c>
      <c r="F236">
        <v>0.055</v>
      </c>
      <c r="G236">
        <v>-0.01300239456023955</v>
      </c>
      <c r="H236" t="s">
        <v>618</v>
      </c>
      <c r="I236" t="s">
        <v>317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0.017073015062547</v>
      </c>
      <c r="E237">
        <v>-0.07249425895662909</v>
      </c>
      <c r="F237">
        <v>0.04</v>
      </c>
      <c r="G237">
        <v>-0.01437816566655548</v>
      </c>
      <c r="H237" t="s">
        <v>618</v>
      </c>
      <c r="I237" t="s">
        <v>317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0.268576544315129</v>
      </c>
      <c r="E238">
        <v>0.2953988557491674</v>
      </c>
      <c r="F238">
        <v>0.02</v>
      </c>
      <c r="G238">
        <v>0.3991462198632931</v>
      </c>
      <c r="H238" t="s">
        <v>371</v>
      </c>
      <c r="I238" t="s">
        <v>617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613</v>
      </c>
      <c r="D239">
        <v>0.043243243243243</v>
      </c>
      <c r="E239">
        <v>0.3321338339540549</v>
      </c>
      <c r="F239">
        <v>0.04</v>
      </c>
      <c r="G239">
        <v>0.3966236221221868</v>
      </c>
      <c r="H239" t="s">
        <v>371</v>
      </c>
      <c r="I239" t="s">
        <v>371</v>
      </c>
    </row>
    <row r="240" spans="1:9">
      <c r="A240" s="1" t="s">
        <v>247</v>
      </c>
      <c r="B240">
        <f>HYPERLINK("https://www.suredividend.com/sure-analysis-RCL/","Royal Caribbean Cruises Ltd.")</f>
        <v>0</v>
      </c>
      <c r="C240" t="s">
        <v>613</v>
      </c>
      <c r="D240">
        <v>0.08197175297701401</v>
      </c>
      <c r="E240">
        <v>0.2666571295496456</v>
      </c>
      <c r="F240">
        <v>0.08</v>
      </c>
      <c r="G240">
        <v>0.3964481939612312</v>
      </c>
      <c r="H240" t="s">
        <v>371</v>
      </c>
      <c r="I240" t="s">
        <v>618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0.05241935483870901</v>
      </c>
      <c r="E241">
        <v>0.2644826935685431</v>
      </c>
      <c r="F241">
        <v>0.05</v>
      </c>
      <c r="G241">
        <v>0.3489349200467242</v>
      </c>
      <c r="H241" t="s">
        <v>371</v>
      </c>
      <c r="I241" t="s">
        <v>618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614</v>
      </c>
      <c r="D242">
        <v>0.236227045075125</v>
      </c>
      <c r="E242">
        <v>0.2243119521886459</v>
      </c>
      <c r="F242">
        <v>0.02</v>
      </c>
      <c r="G242">
        <v>0.3366033790773575</v>
      </c>
      <c r="H242" t="s">
        <v>371</v>
      </c>
      <c r="I242" t="s">
        <v>617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613</v>
      </c>
      <c r="D243">
        <v>0.1282722513089</v>
      </c>
      <c r="E243">
        <v>0.1933534837248507</v>
      </c>
      <c r="F243">
        <v>0.065</v>
      </c>
      <c r="G243">
        <v>0.3260967938531887</v>
      </c>
      <c r="H243" t="s">
        <v>371</v>
      </c>
      <c r="I243" t="s">
        <v>617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613</v>
      </c>
      <c r="D244">
        <v>0.051203736974487</v>
      </c>
      <c r="E244">
        <v>0.2220654179806398</v>
      </c>
      <c r="F244">
        <v>0.06</v>
      </c>
      <c r="G244">
        <v>0.3187411806906875</v>
      </c>
      <c r="H244" t="s">
        <v>371</v>
      </c>
      <c r="I244" t="s">
        <v>618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613</v>
      </c>
      <c r="D245">
        <v>0.182539682539682</v>
      </c>
      <c r="E245">
        <v>0.19769620255607</v>
      </c>
      <c r="F245">
        <v>0.036</v>
      </c>
      <c r="G245">
        <v>0.3088568621305994</v>
      </c>
      <c r="H245" t="s">
        <v>371</v>
      </c>
      <c r="I245" t="s">
        <v>617</v>
      </c>
    </row>
    <row r="246" spans="1:9">
      <c r="A246" s="1" t="s">
        <v>253</v>
      </c>
      <c r="B246">
        <f>HYPERLINK("https://www.suredividend.com/sure-analysis-MFGP/","Micro Focus International Plc")</f>
        <v>0</v>
      </c>
      <c r="C246" t="s">
        <v>613</v>
      </c>
      <c r="D246">
        <v>0.195944912280701</v>
      </c>
      <c r="E246">
        <v>0.1727600065884665</v>
      </c>
      <c r="F246">
        <v>0.04</v>
      </c>
      <c r="G246">
        <v>0.3075520030096042</v>
      </c>
      <c r="H246" t="s">
        <v>371</v>
      </c>
      <c r="I246" t="s">
        <v>617</v>
      </c>
    </row>
    <row r="247" spans="1:9">
      <c r="A247" s="1" t="s">
        <v>254</v>
      </c>
      <c r="B247">
        <f>HYPERLINK("https://www.suredividend.com/sure-analysis-RRD/","R.R. Donnelley &amp; Sons Co.")</f>
        <v>0</v>
      </c>
      <c r="C247" t="s">
        <v>613</v>
      </c>
      <c r="D247">
        <v>0.097560975609756</v>
      </c>
      <c r="E247">
        <v>0.26351475499257</v>
      </c>
      <c r="F247">
        <v>0</v>
      </c>
      <c r="G247">
        <v>0.3011103567478237</v>
      </c>
      <c r="H247" t="s">
        <v>371</v>
      </c>
      <c r="I247" t="s">
        <v>617</v>
      </c>
    </row>
    <row r="248" spans="1:9">
      <c r="A248" s="1" t="s">
        <v>255</v>
      </c>
      <c r="B248">
        <f>HYPERLINK("https://www.suredividend.com/sure-analysis-IPPLF/","Inter Pipeline Ltd.")</f>
        <v>0</v>
      </c>
      <c r="C248" t="s">
        <v>613</v>
      </c>
      <c r="D248">
        <v>0.163330348905022</v>
      </c>
      <c r="E248">
        <v>0.1659351184658946</v>
      </c>
      <c r="F248">
        <v>0.05</v>
      </c>
      <c r="G248">
        <v>0.2952536508626447</v>
      </c>
      <c r="H248" t="s">
        <v>371</v>
      </c>
      <c r="I248" t="s">
        <v>617</v>
      </c>
    </row>
    <row r="249" spans="1:9">
      <c r="A249" s="1" t="s">
        <v>256</v>
      </c>
      <c r="B249">
        <f>HYPERLINK("https://www.suredividend.com/sure-analysis-PBR/","Petróleo Brasileiro SA")</f>
        <v>0</v>
      </c>
      <c r="C249" t="s">
        <v>613</v>
      </c>
      <c r="D249">
        <v>0.044408372827804</v>
      </c>
      <c r="E249">
        <v>0.1548030665228675</v>
      </c>
      <c r="F249">
        <v>0.1</v>
      </c>
      <c r="G249">
        <v>0.2811282611099684</v>
      </c>
      <c r="H249" t="s">
        <v>371</v>
      </c>
      <c r="I249" t="s">
        <v>371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613</v>
      </c>
      <c r="D250">
        <v>0.04940014114326</v>
      </c>
      <c r="E250">
        <v>0.1834048383661915</v>
      </c>
      <c r="F250">
        <v>0.06</v>
      </c>
      <c r="G250">
        <v>0.2805758697171483</v>
      </c>
      <c r="H250" t="s">
        <v>371</v>
      </c>
      <c r="I250" t="s">
        <v>371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613</v>
      </c>
      <c r="D251">
        <v>0.04106073567151401</v>
      </c>
      <c r="E251">
        <v>0.1972279263218883</v>
      </c>
      <c r="F251">
        <v>0.035</v>
      </c>
      <c r="G251">
        <v>0.2569449827961561</v>
      </c>
      <c r="H251" t="s">
        <v>371</v>
      </c>
      <c r="I251" t="s">
        <v>371</v>
      </c>
    </row>
    <row r="252" spans="1:9">
      <c r="A252" s="1" t="s">
        <v>259</v>
      </c>
      <c r="B252">
        <f>HYPERLINK("https://www.suredividend.com/sure-analysis-DFS/","Discover Financial Services")</f>
        <v>0</v>
      </c>
      <c r="C252" t="s">
        <v>613</v>
      </c>
      <c r="D252">
        <v>0.043944813490035</v>
      </c>
      <c r="E252">
        <v>0.1488118403139111</v>
      </c>
      <c r="F252">
        <v>0.075</v>
      </c>
      <c r="G252">
        <v>0.2565694242957199</v>
      </c>
      <c r="H252" t="s">
        <v>371</v>
      </c>
      <c r="I252" t="s">
        <v>371</v>
      </c>
    </row>
    <row r="253" spans="1:9">
      <c r="A253" s="1" t="s">
        <v>260</v>
      </c>
      <c r="B253">
        <f>HYPERLINK("https://www.suredividend.com/sure-analysis-GPS/","Gap, Inc.")</f>
        <v>0</v>
      </c>
      <c r="C253" t="s">
        <v>613</v>
      </c>
      <c r="D253">
        <v>0.135285913528591</v>
      </c>
      <c r="E253">
        <v>0.180345104754535</v>
      </c>
      <c r="F253">
        <v>0.01</v>
      </c>
      <c r="G253">
        <v>0.2508063224447461</v>
      </c>
      <c r="H253" t="s">
        <v>371</v>
      </c>
      <c r="I253" t="s">
        <v>617</v>
      </c>
    </row>
    <row r="254" spans="1:9">
      <c r="A254" s="1" t="s">
        <v>261</v>
      </c>
      <c r="B254">
        <f>HYPERLINK("https://www.suredividend.com/sure-analysis-RDS.B/","Royal Dutch Shell Plc")</f>
        <v>0</v>
      </c>
      <c r="C254" t="s">
        <v>613</v>
      </c>
      <c r="D254">
        <v>0.123928806855636</v>
      </c>
      <c r="E254">
        <v>0.1422234333971786</v>
      </c>
      <c r="F254">
        <v>0.04</v>
      </c>
      <c r="G254">
        <v>0.2436224990132707</v>
      </c>
      <c r="H254" t="s">
        <v>371</v>
      </c>
      <c r="I254" t="s">
        <v>618</v>
      </c>
    </row>
    <row r="255" spans="1:9">
      <c r="A255" s="1" t="s">
        <v>262</v>
      </c>
      <c r="B255">
        <f>HYPERLINK("https://www.suredividend.com/sure-analysis-VTR/","Ventas, Inc.")</f>
        <v>0</v>
      </c>
      <c r="C255" t="s">
        <v>614</v>
      </c>
      <c r="D255">
        <v>0.111501934576151</v>
      </c>
      <c r="E255">
        <v>0.1437350804435895</v>
      </c>
      <c r="F255">
        <v>0.04</v>
      </c>
      <c r="G255">
        <v>0.243552943172288</v>
      </c>
      <c r="H255" t="s">
        <v>371</v>
      </c>
      <c r="I255" t="s">
        <v>617</v>
      </c>
    </row>
    <row r="256" spans="1:9">
      <c r="A256" s="1" t="s">
        <v>263</v>
      </c>
      <c r="B256">
        <f>HYPERLINK("https://www.suredividend.com/sure-analysis-ERF/","Enerplus Corp.")</f>
        <v>0</v>
      </c>
      <c r="C256" t="s">
        <v>613</v>
      </c>
      <c r="D256">
        <v>0.037524247007661</v>
      </c>
      <c r="E256">
        <v>0.1436398389607991</v>
      </c>
      <c r="F256">
        <v>0.066</v>
      </c>
      <c r="G256">
        <v>0.2382698186953198</v>
      </c>
      <c r="H256" t="s">
        <v>371</v>
      </c>
      <c r="I256" t="s">
        <v>317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615</v>
      </c>
      <c r="D257">
        <v>0.156942823803967</v>
      </c>
      <c r="E257">
        <v>0.1104901251905805</v>
      </c>
      <c r="F257">
        <v>0.02</v>
      </c>
      <c r="G257">
        <v>0.2238510725255722</v>
      </c>
      <c r="H257" t="s">
        <v>371</v>
      </c>
      <c r="I257" t="s">
        <v>617</v>
      </c>
    </row>
    <row r="258" spans="1:9">
      <c r="A258" s="1" t="s">
        <v>265</v>
      </c>
      <c r="B258">
        <f>HYPERLINK("https://www.suredividend.com/sure-analysis-PRU/","Prudential Financial, Inc.")</f>
        <v>0</v>
      </c>
      <c r="C258" t="s">
        <v>613</v>
      </c>
      <c r="D258">
        <v>0.07575757575757501</v>
      </c>
      <c r="E258">
        <v>0.1332192117596014</v>
      </c>
      <c r="F258">
        <v>0.04</v>
      </c>
      <c r="G258">
        <v>0.2207048746553377</v>
      </c>
      <c r="H258" t="s">
        <v>371</v>
      </c>
      <c r="I258" t="s">
        <v>618</v>
      </c>
    </row>
    <row r="259" spans="1:9">
      <c r="A259" s="1" t="s">
        <v>266</v>
      </c>
      <c r="B259">
        <f>HYPERLINK("https://www.suredividend.com/sure-analysis-FRFHF/","Fairfax Financial Holdings Ltd.")</f>
        <v>0</v>
      </c>
      <c r="C259" t="s">
        <v>613</v>
      </c>
      <c r="D259">
        <v>0.038298509542354</v>
      </c>
      <c r="E259">
        <v>0.1729047152877599</v>
      </c>
      <c r="F259">
        <v>0.02</v>
      </c>
      <c r="G259">
        <v>0.2147961751277472</v>
      </c>
      <c r="H259" t="s">
        <v>371</v>
      </c>
      <c r="I259" t="s">
        <v>371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613</v>
      </c>
      <c r="D260">
        <v>0.085372698041508</v>
      </c>
      <c r="E260">
        <v>0.13590942154395</v>
      </c>
      <c r="F260">
        <v>0.02</v>
      </c>
      <c r="G260">
        <v>0.2055987184823433</v>
      </c>
      <c r="H260" t="s">
        <v>371</v>
      </c>
      <c r="I260" t="s">
        <v>617</v>
      </c>
    </row>
    <row r="261" spans="1:9">
      <c r="A261" s="1" t="s">
        <v>268</v>
      </c>
      <c r="B261">
        <f>HYPERLINK("https://www.suredividend.com/sure-analysis-KTB/","Kontoor Brands, Inc.")</f>
        <v>0</v>
      </c>
      <c r="C261" t="s">
        <v>613</v>
      </c>
      <c r="D261">
        <v>0.08545269582909401</v>
      </c>
      <c r="E261">
        <v>0.09938264426965393</v>
      </c>
      <c r="F261">
        <v>0.03</v>
      </c>
      <c r="G261">
        <v>0.2009146470994949</v>
      </c>
      <c r="H261" t="s">
        <v>371</v>
      </c>
      <c r="I261" t="s">
        <v>617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613</v>
      </c>
      <c r="D262">
        <v>0.05626326963906501</v>
      </c>
      <c r="E262">
        <v>0.1087421063462102</v>
      </c>
      <c r="F262">
        <v>0.05</v>
      </c>
      <c r="G262">
        <v>0.1982087938004347</v>
      </c>
      <c r="H262" t="s">
        <v>371</v>
      </c>
      <c r="I262" t="s">
        <v>618</v>
      </c>
    </row>
    <row r="263" spans="1:9">
      <c r="A263" s="1" t="s">
        <v>270</v>
      </c>
      <c r="B263">
        <f>HYPERLINK("https://www.suredividend.com/sure-analysis-MMP/","Magellan Midstream Partners LP")</f>
        <v>0</v>
      </c>
      <c r="C263" t="s">
        <v>615</v>
      </c>
      <c r="D263">
        <v>0.09528832630098401</v>
      </c>
      <c r="E263">
        <v>0.06340901313904923</v>
      </c>
      <c r="F263">
        <v>0.05</v>
      </c>
      <c r="G263">
        <v>0.1827933657857501</v>
      </c>
      <c r="H263" t="s">
        <v>371</v>
      </c>
      <c r="I263" t="s">
        <v>618</v>
      </c>
    </row>
    <row r="264" spans="1:9">
      <c r="A264" s="1" t="s">
        <v>271</v>
      </c>
      <c r="B264">
        <f>HYPERLINK("https://www.suredividend.com/sure-analysis-MGA/","Magna International, Inc.")</f>
        <v>0</v>
      </c>
      <c r="C264" t="s">
        <v>613</v>
      </c>
      <c r="D264">
        <v>0.040361286543893</v>
      </c>
      <c r="E264">
        <v>0.09054631459164475</v>
      </c>
      <c r="F264">
        <v>0.06</v>
      </c>
      <c r="G264">
        <v>0.1827003344771911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HYPERLINK("https://www.suredividend.com/sure-analysis-STOR/","STORE Capital Corp.")</f>
        <v>0</v>
      </c>
      <c r="C265" t="s">
        <v>614</v>
      </c>
      <c r="D265">
        <v>0.07309322033898301</v>
      </c>
      <c r="E265">
        <v>0.08793299686428213</v>
      </c>
      <c r="F265">
        <v>0.046</v>
      </c>
      <c r="G265">
        <v>0.1816735555368787</v>
      </c>
      <c r="H265" t="s">
        <v>371</v>
      </c>
      <c r="I265" t="s">
        <v>618</v>
      </c>
    </row>
    <row r="266" spans="1:9">
      <c r="A266" s="1" t="s">
        <v>273</v>
      </c>
      <c r="B266">
        <f>HYPERLINK("https://www.suredividend.com/sure-analysis-GM/","General Motors Co.")</f>
        <v>0</v>
      </c>
      <c r="C266" t="s">
        <v>613</v>
      </c>
      <c r="D266">
        <v>0.06943809958885301</v>
      </c>
      <c r="E266">
        <v>0.1110974447024384</v>
      </c>
      <c r="F266">
        <v>0.03</v>
      </c>
      <c r="G266">
        <v>0.1814451274976485</v>
      </c>
      <c r="H266" t="s">
        <v>371</v>
      </c>
      <c r="I266" t="s">
        <v>618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613</v>
      </c>
      <c r="D267">
        <v>0.018604841347726</v>
      </c>
      <c r="E267">
        <v>-0.0006061835129155257</v>
      </c>
      <c r="F267">
        <v>0.15</v>
      </c>
      <c r="G267">
        <v>0.1628656051254382</v>
      </c>
      <c r="H267" t="s">
        <v>371</v>
      </c>
      <c r="I267" t="s">
        <v>523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615</v>
      </c>
      <c r="D268">
        <v>0.05192456729527201</v>
      </c>
      <c r="E268">
        <v>0.03802222005236078</v>
      </c>
      <c r="F268">
        <v>0.08</v>
      </c>
      <c r="G268">
        <v>0.1610942579805204</v>
      </c>
      <c r="H268" t="s">
        <v>371</v>
      </c>
      <c r="I268" t="s">
        <v>618</v>
      </c>
    </row>
    <row r="269" spans="1:9">
      <c r="A269" s="1" t="s">
        <v>276</v>
      </c>
      <c r="B269">
        <f>HYPERLINK("https://www.suredividend.com/sure-analysis-HPQ/","HP, Inc.")</f>
        <v>0</v>
      </c>
      <c r="C269" t="s">
        <v>613</v>
      </c>
      <c r="D269">
        <v>0.044802182810368</v>
      </c>
      <c r="E269">
        <v>0.07032487895151318</v>
      </c>
      <c r="F269">
        <v>0.05</v>
      </c>
      <c r="G269">
        <v>0.1569812457201165</v>
      </c>
      <c r="H269" t="s">
        <v>371</v>
      </c>
      <c r="I269" t="s">
        <v>371</v>
      </c>
    </row>
    <row r="270" spans="1:9">
      <c r="A270" s="1" t="s">
        <v>277</v>
      </c>
      <c r="B270">
        <f>HYPERLINK("https://www.suredividend.com/sure-analysis-ENB/","Enbridge, Inc.")</f>
        <v>0</v>
      </c>
      <c r="C270" t="s">
        <v>613</v>
      </c>
      <c r="D270">
        <v>0.072748937478621</v>
      </c>
      <c r="E270">
        <v>0.041205632284395</v>
      </c>
      <c r="F270">
        <v>0.055</v>
      </c>
      <c r="G270">
        <v>0.1558836019555678</v>
      </c>
      <c r="H270" t="s">
        <v>371</v>
      </c>
      <c r="I270" t="s">
        <v>618</v>
      </c>
    </row>
    <row r="271" spans="1:9">
      <c r="A271" s="1" t="s">
        <v>278</v>
      </c>
      <c r="B271">
        <f>HYPERLINK("https://www.suredividend.com/sure-analysis-HNI/","HNI Corp.")</f>
        <v>0</v>
      </c>
      <c r="C271" t="s">
        <v>613</v>
      </c>
      <c r="D271">
        <v>0.055784179240969</v>
      </c>
      <c r="E271">
        <v>0.05969523591331272</v>
      </c>
      <c r="F271">
        <v>0.055</v>
      </c>
      <c r="G271">
        <v>0.1549023915878727</v>
      </c>
      <c r="H271" t="s">
        <v>371</v>
      </c>
      <c r="I271" t="s">
        <v>618</v>
      </c>
    </row>
    <row r="272" spans="1:9">
      <c r="A272" s="1" t="s">
        <v>279</v>
      </c>
      <c r="B272">
        <f>HYPERLINK("https://www.suredividend.com/sure-analysis-WRK/","WestRock Co.")</f>
        <v>0</v>
      </c>
      <c r="C272" t="s">
        <v>613</v>
      </c>
      <c r="D272">
        <v>0.07449392712550601</v>
      </c>
      <c r="E272">
        <v>0.08078724964991379</v>
      </c>
      <c r="F272">
        <v>0.02</v>
      </c>
      <c r="G272">
        <v>0.1525776069597897</v>
      </c>
      <c r="H272" t="s">
        <v>371</v>
      </c>
      <c r="I272" t="s">
        <v>618</v>
      </c>
    </row>
    <row r="273" spans="1:9">
      <c r="A273" s="1" t="s">
        <v>280</v>
      </c>
      <c r="B273">
        <f>HYPERLINK("https://www.suredividend.com/sure-analysis-MTB/","M&amp;T Bank Corp.")</f>
        <v>0</v>
      </c>
      <c r="C273" t="s">
        <v>613</v>
      </c>
      <c r="D273">
        <v>0.04194966040751</v>
      </c>
      <c r="E273">
        <v>0.06001483564134258</v>
      </c>
      <c r="F273">
        <v>0.057</v>
      </c>
      <c r="G273">
        <v>0.1491507915649521</v>
      </c>
      <c r="H273" t="s">
        <v>371</v>
      </c>
      <c r="I273" t="s">
        <v>618</v>
      </c>
    </row>
    <row r="274" spans="1:9">
      <c r="A274" s="1" t="s">
        <v>281</v>
      </c>
      <c r="B274">
        <f>HYPERLINK("https://www.suredividend.com/sure-analysis-MAR/","Marriott International, Inc.")</f>
        <v>0</v>
      </c>
      <c r="C274" t="s">
        <v>613</v>
      </c>
      <c r="D274">
        <v>0.02280853162372</v>
      </c>
      <c r="E274">
        <v>0.09131839222165961</v>
      </c>
      <c r="F274">
        <v>0.04</v>
      </c>
      <c r="G274">
        <v>0.1488510763903774</v>
      </c>
      <c r="H274" t="s">
        <v>371</v>
      </c>
      <c r="I274" t="s">
        <v>523</v>
      </c>
    </row>
    <row r="275" spans="1:9">
      <c r="A275" s="1" t="s">
        <v>282</v>
      </c>
      <c r="B275">
        <f>HYPERLINK("https://www.suredividend.com/sure-analysis-PII/","Polaris Inc.")</f>
        <v>0</v>
      </c>
      <c r="C275" t="s">
        <v>613</v>
      </c>
      <c r="D275">
        <v>0.035881663737551</v>
      </c>
      <c r="E275">
        <v>0.05691654948851665</v>
      </c>
      <c r="F275">
        <v>0.06</v>
      </c>
      <c r="G275">
        <v>0.1466414454437959</v>
      </c>
      <c r="H275" t="s">
        <v>371</v>
      </c>
      <c r="I275" t="s">
        <v>317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613</v>
      </c>
      <c r="D276">
        <v>0.026000452181777</v>
      </c>
      <c r="E276">
        <v>0.07107470327648002</v>
      </c>
      <c r="F276">
        <v>0.05</v>
      </c>
      <c r="G276">
        <v>0.1449540555453661</v>
      </c>
      <c r="H276" t="s">
        <v>371</v>
      </c>
      <c r="I276" t="s">
        <v>317</v>
      </c>
    </row>
    <row r="277" spans="1:9">
      <c r="A277" s="1" t="s">
        <v>284</v>
      </c>
      <c r="B277">
        <f>HYPERLINK("https://www.suredividend.com/sure-analysis-GEF/","Greif, Inc.")</f>
        <v>0</v>
      </c>
      <c r="C277" t="s">
        <v>613</v>
      </c>
      <c r="D277">
        <v>0.060150375939849</v>
      </c>
      <c r="E277">
        <v>0.08592354583699713</v>
      </c>
      <c r="F277">
        <v>0.02</v>
      </c>
      <c r="G277">
        <v>0.1448303306338974</v>
      </c>
      <c r="H277" t="s">
        <v>371</v>
      </c>
      <c r="I277" t="s">
        <v>618</v>
      </c>
    </row>
    <row r="278" spans="1:9">
      <c r="A278" s="1" t="s">
        <v>285</v>
      </c>
      <c r="B278">
        <f>HYPERLINK("https://www.suredividend.com/sure-analysis-MT/","ArcelorMittal SA")</f>
        <v>0</v>
      </c>
      <c r="C278" t="s">
        <v>613</v>
      </c>
      <c r="D278">
        <v>0.019029495718363</v>
      </c>
      <c r="E278">
        <v>-0.06357028664730313</v>
      </c>
      <c r="F278">
        <v>0.201</v>
      </c>
      <c r="G278">
        <v>0.1441257843141024</v>
      </c>
      <c r="H278" t="s">
        <v>371</v>
      </c>
      <c r="I278" t="s">
        <v>523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613</v>
      </c>
      <c r="D279">
        <v>0.049289748416909</v>
      </c>
      <c r="E279">
        <v>0.04442626201126143</v>
      </c>
      <c r="F279">
        <v>0.06</v>
      </c>
      <c r="G279">
        <v>0.1440048564010039</v>
      </c>
      <c r="H279" t="s">
        <v>371</v>
      </c>
      <c r="I279" t="s">
        <v>618</v>
      </c>
    </row>
    <row r="280" spans="1:9">
      <c r="A280" s="1" t="s">
        <v>287</v>
      </c>
      <c r="B280">
        <f>HYPERLINK("https://www.suredividend.com/sure-analysis-UPS/","United Parcel Service, Inc.")</f>
        <v>0</v>
      </c>
      <c r="C280" t="s">
        <v>613</v>
      </c>
      <c r="D280">
        <v>0.04185946411277301</v>
      </c>
      <c r="E280">
        <v>0.01901919379360639</v>
      </c>
      <c r="F280">
        <v>0.09</v>
      </c>
      <c r="G280">
        <v>0.1418160523676302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HYPERLINK("https://www.suredividend.com/sure-analysis-SIEGY/","Siemens AG")</f>
        <v>0</v>
      </c>
      <c r="C281" t="s">
        <v>613</v>
      </c>
      <c r="D281">
        <v>0.047921754862053</v>
      </c>
      <c r="E281">
        <v>0.05575184987780513</v>
      </c>
      <c r="F281">
        <v>0.045</v>
      </c>
      <c r="G281">
        <v>0.1389256183219998</v>
      </c>
      <c r="H281" t="s">
        <v>371</v>
      </c>
      <c r="I281" t="s">
        <v>618</v>
      </c>
    </row>
    <row r="282" spans="1:9">
      <c r="A282" s="1" t="s">
        <v>289</v>
      </c>
      <c r="B282">
        <f>HYPERLINK("https://www.suredividend.com/sure-analysis-PDCO/","Patterson Cos., Inc.")</f>
        <v>0</v>
      </c>
      <c r="C282" t="s">
        <v>613</v>
      </c>
      <c r="D282">
        <v>0.063764561618638</v>
      </c>
      <c r="E282">
        <v>0.0527534030599619</v>
      </c>
      <c r="F282">
        <v>0.04</v>
      </c>
      <c r="G282">
        <v>0.1361901046008251</v>
      </c>
      <c r="H282" t="s">
        <v>371</v>
      </c>
      <c r="I282" t="s">
        <v>618</v>
      </c>
    </row>
    <row r="283" spans="1:9">
      <c r="A283" s="1" t="s">
        <v>290</v>
      </c>
      <c r="B283">
        <f>HYPERLINK("https://www.suredividend.com/sure-analysis-BK/","The Bank of New York Mellon Corp.")</f>
        <v>0</v>
      </c>
      <c r="C283" t="s">
        <v>613</v>
      </c>
      <c r="D283">
        <v>0.035072463768115</v>
      </c>
      <c r="E283">
        <v>0.06612392863354577</v>
      </c>
      <c r="F283">
        <v>0.04</v>
      </c>
      <c r="G283">
        <v>0.1355816234784091</v>
      </c>
      <c r="H283" t="s">
        <v>371</v>
      </c>
      <c r="I283" t="s">
        <v>317</v>
      </c>
    </row>
    <row r="284" spans="1:9">
      <c r="A284" s="1" t="s">
        <v>291</v>
      </c>
      <c r="B284">
        <f>HYPERLINK("https://www.suredividend.com/sure-analysis-ORI/","Old Republic International Corp.")</f>
        <v>0</v>
      </c>
      <c r="C284" t="s">
        <v>613</v>
      </c>
      <c r="D284">
        <v>0.05680224403927001</v>
      </c>
      <c r="E284">
        <v>0.04646701832197841</v>
      </c>
      <c r="F284">
        <v>0.04</v>
      </c>
      <c r="G284">
        <v>0.1302689271233233</v>
      </c>
      <c r="H284" t="s">
        <v>371</v>
      </c>
      <c r="I284" t="s">
        <v>618</v>
      </c>
    </row>
    <row r="285" spans="1:9">
      <c r="A285" s="1" t="s">
        <v>292</v>
      </c>
      <c r="B285">
        <f>HYPERLINK("https://www.suredividend.com/sure-analysis-DDS/","Dillard's, Inc.")</f>
        <v>0</v>
      </c>
      <c r="C285" t="s">
        <v>613</v>
      </c>
      <c r="D285">
        <v>0.019402405898331</v>
      </c>
      <c r="E285">
        <v>0.07860365022909654</v>
      </c>
      <c r="F285">
        <v>0.03</v>
      </c>
      <c r="G285">
        <v>0.1284446167126312</v>
      </c>
      <c r="H285" t="s">
        <v>371</v>
      </c>
      <c r="I285" t="s">
        <v>317</v>
      </c>
    </row>
    <row r="286" spans="1:9">
      <c r="A286" s="1" t="s">
        <v>293</v>
      </c>
      <c r="B286">
        <f>HYPERLINK("https://www.suredividend.com/sure-analysis-GE/","General Electric Co.")</f>
        <v>0</v>
      </c>
      <c r="C286" t="s">
        <v>613</v>
      </c>
      <c r="D286">
        <v>0.006688963210702</v>
      </c>
      <c r="E286">
        <v>-0.003626867760020192</v>
      </c>
      <c r="F286">
        <v>0.125</v>
      </c>
      <c r="G286">
        <v>0.1250362993070118</v>
      </c>
      <c r="H286" t="s">
        <v>371</v>
      </c>
      <c r="I286" t="s">
        <v>523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614</v>
      </c>
      <c r="D287">
        <v>0.05217225609756</v>
      </c>
      <c r="E287">
        <v>0.03299982897123077</v>
      </c>
      <c r="F287">
        <v>0.05</v>
      </c>
      <c r="G287">
        <v>0.1240632986250618</v>
      </c>
      <c r="H287" t="s">
        <v>371</v>
      </c>
      <c r="I287" t="s">
        <v>618</v>
      </c>
    </row>
    <row r="288" spans="1:9">
      <c r="A288" s="1" t="s">
        <v>295</v>
      </c>
      <c r="B288">
        <f>HYPERLINK("https://www.suredividend.com/sure-analysis-UMBF/","UMB Financial Corp.")</f>
        <v>0</v>
      </c>
      <c r="C288" t="s">
        <v>613</v>
      </c>
      <c r="D288">
        <v>0.027117137141587</v>
      </c>
      <c r="E288">
        <v>0.0824277395800137</v>
      </c>
      <c r="F288">
        <v>0.02</v>
      </c>
      <c r="G288">
        <v>0.1236337640616973</v>
      </c>
      <c r="H288" t="s">
        <v>371</v>
      </c>
      <c r="I288" t="s">
        <v>317</v>
      </c>
    </row>
    <row r="289" spans="1:9">
      <c r="A289" s="1" t="s">
        <v>296</v>
      </c>
      <c r="B289">
        <f>HYPERLINK("https://www.suredividend.com/sure-analysis-JWN/","Nordstrom, Inc.")</f>
        <v>0</v>
      </c>
      <c r="C289" t="s">
        <v>613</v>
      </c>
      <c r="D289">
        <v>0.08634772462077001</v>
      </c>
      <c r="E289">
        <v>0.0850148219312632</v>
      </c>
      <c r="F289">
        <v>-0.02</v>
      </c>
      <c r="G289">
        <v>0.1231510109387812</v>
      </c>
      <c r="H289" t="s">
        <v>371</v>
      </c>
      <c r="I289" t="s">
        <v>617</v>
      </c>
    </row>
    <row r="290" spans="1:9">
      <c r="A290" s="1" t="s">
        <v>297</v>
      </c>
      <c r="B290">
        <f>HYPERLINK("https://www.suredividend.com/sure-analysis-KSU/","Kansas City Southern")</f>
        <v>0</v>
      </c>
      <c r="C290" t="s">
        <v>613</v>
      </c>
      <c r="D290">
        <v>0.011944990176817</v>
      </c>
      <c r="E290">
        <v>0.02966494813539211</v>
      </c>
      <c r="F290">
        <v>0.08</v>
      </c>
      <c r="G290">
        <v>0.1222383417561017</v>
      </c>
      <c r="H290" t="s">
        <v>371</v>
      </c>
      <c r="I290" t="s">
        <v>523</v>
      </c>
    </row>
    <row r="291" spans="1:9">
      <c r="A291" s="1" t="s">
        <v>298</v>
      </c>
      <c r="B291">
        <f>HYPERLINK("https://www.suredividend.com/sure-analysis-NC/","NACCO Industries, Inc.")</f>
        <v>0</v>
      </c>
      <c r="C291" t="s">
        <v>613</v>
      </c>
      <c r="D291">
        <v>0.02341510035043</v>
      </c>
      <c r="E291">
        <v>0.08746054696706396</v>
      </c>
      <c r="F291">
        <v>0.01</v>
      </c>
      <c r="G291">
        <v>0.1221597912258352</v>
      </c>
      <c r="H291" t="s">
        <v>371</v>
      </c>
      <c r="I291" t="s">
        <v>317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613</v>
      </c>
      <c r="D292">
        <v>0.036686170706789</v>
      </c>
      <c r="E292">
        <v>0.008629707609571602</v>
      </c>
      <c r="F292">
        <v>0.08</v>
      </c>
      <c r="G292">
        <v>0.1188083580409112</v>
      </c>
      <c r="H292" t="s">
        <v>371</v>
      </c>
      <c r="I292" t="s">
        <v>371</v>
      </c>
    </row>
    <row r="293" spans="1:9">
      <c r="A293" s="1" t="s">
        <v>300</v>
      </c>
      <c r="B293">
        <f>HYPERLINK("https://www.suredividend.com/sure-analysis-DTE/","DTE Energy Co.")</f>
        <v>0</v>
      </c>
      <c r="C293" t="s">
        <v>613</v>
      </c>
      <c r="D293">
        <v>0.038951348124564</v>
      </c>
      <c r="E293">
        <v>0.02372560642262522</v>
      </c>
      <c r="F293">
        <v>0.06</v>
      </c>
      <c r="G293">
        <v>0.1184056769651667</v>
      </c>
      <c r="H293" t="s">
        <v>371</v>
      </c>
      <c r="I293" t="s">
        <v>371</v>
      </c>
    </row>
    <row r="294" spans="1:9">
      <c r="A294" s="1" t="s">
        <v>301</v>
      </c>
      <c r="B294">
        <f>HYPERLINK("https://www.suredividend.com/sure-analysis-RTX/","Raytheon Technologies Corp.")</f>
        <v>0</v>
      </c>
      <c r="C294" t="s">
        <v>613</v>
      </c>
      <c r="D294">
        <v>0.050759668508287</v>
      </c>
      <c r="E294">
        <v>0.03282026902199942</v>
      </c>
      <c r="F294">
        <v>0.06</v>
      </c>
      <c r="G294">
        <v>0.1179974409255122</v>
      </c>
      <c r="H294" t="s">
        <v>371</v>
      </c>
      <c r="I294" t="s">
        <v>618</v>
      </c>
    </row>
    <row r="295" spans="1:9">
      <c r="A295" s="1" t="s">
        <v>302</v>
      </c>
      <c r="B295">
        <f>HYPERLINK("https://www.suredividend.com/sure-analysis-BTI/","British American Tobacco plc")</f>
        <v>0</v>
      </c>
      <c r="C295" t="s">
        <v>613</v>
      </c>
      <c r="D295">
        <v>0.09050632911392401</v>
      </c>
      <c r="E295">
        <v>0.03056840750085899</v>
      </c>
      <c r="F295">
        <v>0.03</v>
      </c>
      <c r="G295">
        <v>0.1174865665512688</v>
      </c>
      <c r="H295" t="s">
        <v>371</v>
      </c>
      <c r="I295" t="s">
        <v>618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613</v>
      </c>
      <c r="D296">
        <v>0.018205046311082</v>
      </c>
      <c r="E296">
        <v>0.05818449681643578</v>
      </c>
      <c r="F296">
        <v>0.04</v>
      </c>
      <c r="G296">
        <v>0.1159566688443117</v>
      </c>
      <c r="H296" t="s">
        <v>371</v>
      </c>
      <c r="I296" t="s">
        <v>523</v>
      </c>
    </row>
    <row r="297" spans="1:9">
      <c r="A297" s="1" t="s">
        <v>304</v>
      </c>
      <c r="B297">
        <f>HYPERLINK("https://www.suredividend.com/sure-analysis-YUM/","Yum! Brands, Inc.")</f>
        <v>0</v>
      </c>
      <c r="C297" t="s">
        <v>613</v>
      </c>
      <c r="D297">
        <v>0.020800769508236</v>
      </c>
      <c r="E297">
        <v>-0.04557701896032629</v>
      </c>
      <c r="F297">
        <v>0.15</v>
      </c>
      <c r="G297">
        <v>0.1153215426512069</v>
      </c>
      <c r="H297" t="s">
        <v>371</v>
      </c>
      <c r="I297" t="s">
        <v>317</v>
      </c>
    </row>
    <row r="298" spans="1:9">
      <c r="A298" s="1" t="s">
        <v>305</v>
      </c>
      <c r="B298">
        <f>HYPERLINK("https://www.suredividend.com/sure-analysis-VALE/","Vale SA")</f>
        <v>0</v>
      </c>
      <c r="C298" t="s">
        <v>613</v>
      </c>
      <c r="D298">
        <v>0.044640102827763</v>
      </c>
      <c r="E298">
        <v>0.06372683049150885</v>
      </c>
      <c r="F298">
        <v>0.015</v>
      </c>
      <c r="G298">
        <v>0.1151375801313494</v>
      </c>
      <c r="H298" t="s">
        <v>371</v>
      </c>
      <c r="I298" t="s">
        <v>371</v>
      </c>
    </row>
    <row r="299" spans="1:9">
      <c r="A299" s="1" t="s">
        <v>306</v>
      </c>
      <c r="B299">
        <f>HYPERLINK("https://www.suredividend.com/sure-analysis-ALL/","The Allstate Corp.")</f>
        <v>0</v>
      </c>
      <c r="C299" t="s">
        <v>613</v>
      </c>
      <c r="D299">
        <v>0.02010248324793</v>
      </c>
      <c r="E299">
        <v>0.04387097491883174</v>
      </c>
      <c r="F299">
        <v>0.05</v>
      </c>
      <c r="G299">
        <v>0.1142424895230805</v>
      </c>
      <c r="H299" t="s">
        <v>371</v>
      </c>
      <c r="I299" t="s">
        <v>523</v>
      </c>
    </row>
    <row r="300" spans="1:9">
      <c r="A300" s="1" t="s">
        <v>307</v>
      </c>
      <c r="B300">
        <f>HYPERLINK("https://www.suredividend.com/sure-analysis-NNN/","National Retail Properties, Inc.")</f>
        <v>0</v>
      </c>
      <c r="C300" t="s">
        <v>614</v>
      </c>
      <c r="D300">
        <v>0.06791955159907601</v>
      </c>
      <c r="E300">
        <v>0.02338344375610912</v>
      </c>
      <c r="F300">
        <v>0.037</v>
      </c>
      <c r="G300">
        <v>0.1119469749943907</v>
      </c>
      <c r="H300" t="s">
        <v>371</v>
      </c>
      <c r="I300" t="s">
        <v>618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613</v>
      </c>
      <c r="D301">
        <v>0.032351253892804</v>
      </c>
      <c r="E301">
        <v>0.02058483509147946</v>
      </c>
      <c r="F301">
        <v>0.06</v>
      </c>
      <c r="G301">
        <v>0.1097986409857186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HYPERLINK("https://www.suredividend.com/sure-analysis-AON/","Aon Plc")</f>
        <v>0</v>
      </c>
      <c r="C302" t="s">
        <v>613</v>
      </c>
      <c r="D302">
        <v>0.002482509591514</v>
      </c>
      <c r="E302">
        <v>0.000183885181554766</v>
      </c>
      <c r="F302">
        <v>0.1</v>
      </c>
      <c r="G302">
        <v>0.1092957909698453</v>
      </c>
      <c r="H302" t="s">
        <v>371</v>
      </c>
      <c r="I302" t="s">
        <v>523</v>
      </c>
    </row>
    <row r="303" spans="1:9">
      <c r="A303" s="1" t="s">
        <v>310</v>
      </c>
      <c r="B303">
        <f>HYPERLINK("https://www.suredividend.com/sure-analysis-KDP/","Keurig Dr Pepper, Inc.")</f>
        <v>0</v>
      </c>
      <c r="C303" t="s">
        <v>613</v>
      </c>
      <c r="D303">
        <v>0.022455089820359</v>
      </c>
      <c r="E303">
        <v>-0.01053845420483257</v>
      </c>
      <c r="F303">
        <v>0.1</v>
      </c>
      <c r="G303">
        <v>0.104164406388136</v>
      </c>
      <c r="H303" t="s">
        <v>371</v>
      </c>
      <c r="I303" t="s">
        <v>317</v>
      </c>
    </row>
    <row r="304" spans="1:9">
      <c r="A304" s="1" t="s">
        <v>311</v>
      </c>
      <c r="B304">
        <f>HYPERLINK("https://www.suredividend.com/sure-analysis-SNY/","Sanofi")</f>
        <v>0</v>
      </c>
      <c r="C304" t="s">
        <v>613</v>
      </c>
      <c r="D304">
        <v>0.024569402228976</v>
      </c>
      <c r="E304">
        <v>0.03318712094746035</v>
      </c>
      <c r="F304">
        <v>0.04</v>
      </c>
      <c r="G304">
        <v>0.1039651067477265</v>
      </c>
      <c r="H304" t="s">
        <v>371</v>
      </c>
      <c r="I304" t="s">
        <v>317</v>
      </c>
    </row>
    <row r="305" spans="1:9">
      <c r="A305" s="1" t="s">
        <v>312</v>
      </c>
      <c r="B305">
        <f>HYPERLINK("https://www.suredividend.com/sure-analysis-HMC/","Honda Motor Co., Ltd.")</f>
        <v>0</v>
      </c>
      <c r="C305" t="s">
        <v>613</v>
      </c>
      <c r="D305">
        <v>0.034078774617067</v>
      </c>
      <c r="E305">
        <v>0.03448426159453932</v>
      </c>
      <c r="F305">
        <v>0.029</v>
      </c>
      <c r="G305">
        <v>0.1009941256051863</v>
      </c>
      <c r="H305" t="s">
        <v>371</v>
      </c>
      <c r="I305" t="s">
        <v>317</v>
      </c>
    </row>
    <row r="306" spans="1:9">
      <c r="A306" s="1" t="s">
        <v>313</v>
      </c>
      <c r="B306">
        <f>HYPERLINK("https://www.suredividend.com/sure-analysis-PSA/","Public Storage")</f>
        <v>0</v>
      </c>
      <c r="C306" t="s">
        <v>614</v>
      </c>
      <c r="D306">
        <v>0.04543131353285201</v>
      </c>
      <c r="E306">
        <v>0.0321807254020634</v>
      </c>
      <c r="F306">
        <v>0.03</v>
      </c>
      <c r="G306">
        <v>0.09868636603953629</v>
      </c>
      <c r="H306" t="s">
        <v>371</v>
      </c>
      <c r="I306" t="s">
        <v>371</v>
      </c>
    </row>
    <row r="307" spans="1:9">
      <c r="A307" s="1" t="s">
        <v>314</v>
      </c>
      <c r="B307">
        <f>HYPERLINK("https://www.suredividend.com/sure-analysis-TM/","Toyota Motor Corp.")</f>
        <v>0</v>
      </c>
      <c r="C307" t="s">
        <v>613</v>
      </c>
      <c r="D307">
        <v>0.015050995229478</v>
      </c>
      <c r="E307">
        <v>0.02871732726990039</v>
      </c>
      <c r="F307">
        <v>0.04</v>
      </c>
      <c r="G307">
        <v>0.09767913805847228</v>
      </c>
      <c r="H307" t="s">
        <v>371</v>
      </c>
      <c r="I307" t="s">
        <v>523</v>
      </c>
    </row>
    <row r="308" spans="1:9">
      <c r="A308" s="1" t="s">
        <v>315</v>
      </c>
      <c r="B308">
        <f>HYPERLINK("https://www.suredividend.com/sure-analysis-APTV/","Aptiv Plc")</f>
        <v>0</v>
      </c>
      <c r="C308" t="s">
        <v>613</v>
      </c>
      <c r="D308">
        <v>0.013501073949064</v>
      </c>
      <c r="E308">
        <v>0.01421524036554311</v>
      </c>
      <c r="F308">
        <v>0.07000000000000001</v>
      </c>
      <c r="G308">
        <v>0.09625094203394391</v>
      </c>
      <c r="H308" t="s">
        <v>371</v>
      </c>
      <c r="I308" t="s">
        <v>523</v>
      </c>
    </row>
    <row r="309" spans="1:9">
      <c r="A309" s="1" t="s">
        <v>316</v>
      </c>
      <c r="B309">
        <f>HYPERLINK("https://www.suredividend.com/sure-analysis-WPC/","W.P. Carey, Inc.")</f>
        <v>0</v>
      </c>
      <c r="C309" t="s">
        <v>614</v>
      </c>
      <c r="D309">
        <v>0.07019800304620001</v>
      </c>
      <c r="E309">
        <v>0.003487812468850882</v>
      </c>
      <c r="F309">
        <v>0.035</v>
      </c>
      <c r="G309">
        <v>0.09440853930396176</v>
      </c>
      <c r="H309" t="s">
        <v>371</v>
      </c>
      <c r="I309" t="s">
        <v>618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613</v>
      </c>
      <c r="D310">
        <v>0.047504181139843</v>
      </c>
      <c r="E310">
        <v>-0.002832906723634787</v>
      </c>
      <c r="F310">
        <v>0.055</v>
      </c>
      <c r="G310">
        <v>0.09129473706350488</v>
      </c>
      <c r="H310" t="s">
        <v>371</v>
      </c>
      <c r="I310" t="s">
        <v>371</v>
      </c>
    </row>
    <row r="311" spans="1:9">
      <c r="A311" s="1" t="s">
        <v>318</v>
      </c>
      <c r="B311">
        <f>HYPERLINK("https://www.suredividend.com/sure-analysis-OTTR/","Otter Tail Corp.")</f>
        <v>0</v>
      </c>
      <c r="C311" t="s">
        <v>613</v>
      </c>
      <c r="D311">
        <v>0.03441589917595701</v>
      </c>
      <c r="E311">
        <v>0.011816712078075</v>
      </c>
      <c r="F311">
        <v>0.046</v>
      </c>
      <c r="G311">
        <v>0.08830520290607091</v>
      </c>
      <c r="H311" t="s">
        <v>371</v>
      </c>
      <c r="I311" t="s">
        <v>317</v>
      </c>
    </row>
    <row r="312" spans="1:9">
      <c r="A312" s="1" t="s">
        <v>319</v>
      </c>
      <c r="B312">
        <f>HYPERLINK("https://www.suredividend.com/sure-analysis-ERIC/","Telefonaktiebolaget LM Ericsson")</f>
        <v>0</v>
      </c>
      <c r="C312" t="s">
        <v>613</v>
      </c>
      <c r="D312">
        <v>0.005741504854368001</v>
      </c>
      <c r="E312">
        <v>-0.0003610543726444426</v>
      </c>
      <c r="F312">
        <v>0.08</v>
      </c>
      <c r="G312">
        <v>0.08813697756820571</v>
      </c>
      <c r="H312" t="s">
        <v>371</v>
      </c>
      <c r="I312" t="s">
        <v>523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613</v>
      </c>
      <c r="D313">
        <v>0.007650976361767</v>
      </c>
      <c r="E313">
        <v>-0.03856648485143666</v>
      </c>
      <c r="F313">
        <v>0.12</v>
      </c>
      <c r="G313">
        <v>0.08689821268134068</v>
      </c>
      <c r="H313" t="s">
        <v>371</v>
      </c>
      <c r="I313" t="s">
        <v>523</v>
      </c>
    </row>
    <row r="314" spans="1:9">
      <c r="A314" s="1" t="s">
        <v>321</v>
      </c>
      <c r="B314">
        <f>HYPERLINK("https://www.suredividend.com/sure-analysis-CMI/","Cummins, Inc.")</f>
        <v>0</v>
      </c>
      <c r="C314" t="s">
        <v>613</v>
      </c>
      <c r="D314">
        <v>0.033016596160104</v>
      </c>
      <c r="E314">
        <v>-0.0224610270797988</v>
      </c>
      <c r="F314">
        <v>0.08</v>
      </c>
      <c r="G314">
        <v>0.08545894991265146</v>
      </c>
      <c r="H314" t="s">
        <v>371</v>
      </c>
      <c r="I314" t="s">
        <v>317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613</v>
      </c>
      <c r="D315">
        <v>0.025083711068869</v>
      </c>
      <c r="E315">
        <v>-0.0168013354311185</v>
      </c>
      <c r="F315">
        <v>0.08</v>
      </c>
      <c r="G315">
        <v>0.08449272748854297</v>
      </c>
      <c r="H315" t="s">
        <v>371</v>
      </c>
      <c r="I315" t="s">
        <v>317</v>
      </c>
    </row>
    <row r="316" spans="1:9">
      <c r="A316" s="1" t="s">
        <v>323</v>
      </c>
      <c r="B316">
        <f>HYPERLINK("https://www.suredividend.com/sure-analysis-AVB/","AvalonBay Communities, Inc.")</f>
        <v>0</v>
      </c>
      <c r="C316" t="s">
        <v>614</v>
      </c>
      <c r="D316">
        <v>0.038775510204081</v>
      </c>
      <c r="E316">
        <v>0.01984018977955571</v>
      </c>
      <c r="F316">
        <v>0.03</v>
      </c>
      <c r="G316">
        <v>0.08430941649177415</v>
      </c>
      <c r="H316" t="s">
        <v>371</v>
      </c>
      <c r="I316" t="s">
        <v>371</v>
      </c>
    </row>
    <row r="317" spans="1:9">
      <c r="A317" s="1" t="s">
        <v>324</v>
      </c>
      <c r="B317">
        <f>HYPERLINK("https://www.suredividend.com/sure-analysis-PPL/","PPL Corp.")</f>
        <v>0</v>
      </c>
      <c r="C317" t="s">
        <v>613</v>
      </c>
      <c r="D317">
        <v>0.06795716639209201</v>
      </c>
      <c r="E317">
        <v>0.005778849872841496</v>
      </c>
      <c r="F317">
        <v>0.02</v>
      </c>
      <c r="G317">
        <v>0.08429545578664022</v>
      </c>
      <c r="H317" t="s">
        <v>371</v>
      </c>
      <c r="I317" t="s">
        <v>618</v>
      </c>
    </row>
    <row r="318" spans="1:9">
      <c r="A318" s="1" t="s">
        <v>325</v>
      </c>
      <c r="B318">
        <f>HYPERLINK("https://www.suredividend.com/sure-analysis-SKM/","SK Telecom Co., Ltd.")</f>
        <v>0</v>
      </c>
      <c r="C318" t="s">
        <v>613</v>
      </c>
      <c r="D318">
        <v>0.048947368421052</v>
      </c>
      <c r="E318">
        <v>-0.008553817242229811</v>
      </c>
      <c r="F318">
        <v>0.05</v>
      </c>
      <c r="G318">
        <v>0.08283594682889817</v>
      </c>
      <c r="H318" t="s">
        <v>371</v>
      </c>
      <c r="I318" t="s">
        <v>618</v>
      </c>
    </row>
    <row r="319" spans="1:9">
      <c r="A319" s="1" t="s">
        <v>326</v>
      </c>
      <c r="B319">
        <f>HYPERLINK("https://www.suredividend.com/sure-analysis-PAYX/","Paychex, Inc.")</f>
        <v>0</v>
      </c>
      <c r="C319" t="s">
        <v>613</v>
      </c>
      <c r="D319">
        <v>0.036948748510131</v>
      </c>
      <c r="E319">
        <v>-0.003193064267270063</v>
      </c>
      <c r="F319">
        <v>0.05</v>
      </c>
      <c r="G319">
        <v>0.07974363128498707</v>
      </c>
      <c r="H319" t="s">
        <v>371</v>
      </c>
      <c r="I319" t="s">
        <v>317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613</v>
      </c>
      <c r="D320">
        <v>0.04677157487198701</v>
      </c>
      <c r="E320">
        <v>-0.003283855061448571</v>
      </c>
      <c r="F320">
        <v>0.04</v>
      </c>
      <c r="G320">
        <v>0.07847000787469072</v>
      </c>
      <c r="H320" t="s">
        <v>371</v>
      </c>
      <c r="I320" t="s">
        <v>371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613</v>
      </c>
      <c r="D321">
        <v>0.019534826933642</v>
      </c>
      <c r="E321">
        <v>-0.02697292863255685</v>
      </c>
      <c r="F321">
        <v>0.08500000000000001</v>
      </c>
      <c r="G321">
        <v>0.07727027047651247</v>
      </c>
      <c r="H321" t="s">
        <v>371</v>
      </c>
      <c r="I321" t="s">
        <v>523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613</v>
      </c>
      <c r="D322">
        <v>0.06746334272519401</v>
      </c>
      <c r="E322">
        <v>-0.01169912674226836</v>
      </c>
      <c r="F322">
        <v>0.032</v>
      </c>
      <c r="G322">
        <v>0.07718851859554454</v>
      </c>
      <c r="H322" t="s">
        <v>371</v>
      </c>
      <c r="I322" t="s">
        <v>618</v>
      </c>
    </row>
    <row r="323" spans="1:9">
      <c r="A323" s="1" t="s">
        <v>330</v>
      </c>
      <c r="B323">
        <f>HYPERLINK("https://www.suredividend.com/sure-analysis-CNP/","CenterPoint Energy, Inc.")</f>
        <v>0</v>
      </c>
      <c r="C323" t="s">
        <v>613</v>
      </c>
      <c r="D323">
        <v>0.07196495619524401</v>
      </c>
      <c r="E323">
        <v>-0.02120619343404928</v>
      </c>
      <c r="F323">
        <v>0.04</v>
      </c>
      <c r="G323">
        <v>0.07645914670336751</v>
      </c>
      <c r="H323" t="s">
        <v>371</v>
      </c>
      <c r="I323" t="s">
        <v>618</v>
      </c>
    </row>
    <row r="324" spans="1:9">
      <c r="A324" s="1" t="s">
        <v>331</v>
      </c>
      <c r="B324">
        <f>HYPERLINK("https://www.suredividend.com/sure-analysis-TCO/","Taubman Centers, Inc.")</f>
        <v>0</v>
      </c>
      <c r="C324" t="s">
        <v>614</v>
      </c>
      <c r="D324">
        <v>0.06248553575561201</v>
      </c>
      <c r="E324">
        <v>0.0002274278152001319</v>
      </c>
      <c r="F324">
        <v>0.02</v>
      </c>
      <c r="G324">
        <v>0.07584454465171908</v>
      </c>
      <c r="H324" t="s">
        <v>371</v>
      </c>
      <c r="I324" t="s">
        <v>618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613</v>
      </c>
      <c r="D325">
        <v>0.029710016011385</v>
      </c>
      <c r="E325">
        <v>-0.03524830768732645</v>
      </c>
      <c r="F325">
        <v>0.08</v>
      </c>
      <c r="G325">
        <v>0.07484811707978101</v>
      </c>
      <c r="H325" t="s">
        <v>371</v>
      </c>
      <c r="I325" t="s">
        <v>317</v>
      </c>
    </row>
    <row r="326" spans="1:9">
      <c r="A326" s="1" t="s">
        <v>333</v>
      </c>
      <c r="B326">
        <f>HYPERLINK("https://www.suredividend.com/sure-analysis-INFY/","Infosys Ltd.")</f>
        <v>0</v>
      </c>
      <c r="C326" t="s">
        <v>613</v>
      </c>
      <c r="D326">
        <v>0.02747776523702</v>
      </c>
      <c r="E326">
        <v>-0.02414720285851069</v>
      </c>
      <c r="F326">
        <v>0.07000000000000001</v>
      </c>
      <c r="G326">
        <v>0.07307397064259358</v>
      </c>
      <c r="H326" t="s">
        <v>371</v>
      </c>
      <c r="I326" t="s">
        <v>317</v>
      </c>
    </row>
    <row r="327" spans="1:9">
      <c r="A327" s="1" t="s">
        <v>334</v>
      </c>
      <c r="B327">
        <f>HYPERLINK("https://www.suredividend.com/sure-analysis-SO/","The Southern Co.")</f>
        <v>0</v>
      </c>
      <c r="C327" t="s">
        <v>613</v>
      </c>
      <c r="D327">
        <v>0.046234153616703</v>
      </c>
      <c r="E327">
        <v>-0.008362942851872557</v>
      </c>
      <c r="F327">
        <v>0.04</v>
      </c>
      <c r="G327">
        <v>0.07302759010979121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613</v>
      </c>
      <c r="D328">
        <v>0.036277621534752</v>
      </c>
      <c r="E328">
        <v>-0.02299166048768841</v>
      </c>
      <c r="F328">
        <v>0.06</v>
      </c>
      <c r="G328">
        <v>0.0687154475158207</v>
      </c>
      <c r="H328" t="s">
        <v>371</v>
      </c>
      <c r="I328" t="s">
        <v>317</v>
      </c>
    </row>
    <row r="329" spans="1:9">
      <c r="A329" s="1" t="s">
        <v>336</v>
      </c>
      <c r="B329">
        <f>HYPERLINK("https://www.suredividend.com/sure-analysis-V/","Visa, Inc.")</f>
        <v>0</v>
      </c>
      <c r="C329" t="s">
        <v>613</v>
      </c>
      <c r="D329">
        <v>0.006152813513815</v>
      </c>
      <c r="E329">
        <v>-0.05459346503140694</v>
      </c>
      <c r="F329">
        <v>0.12</v>
      </c>
      <c r="G329">
        <v>0.06641843302856287</v>
      </c>
      <c r="H329" t="s">
        <v>371</v>
      </c>
      <c r="I329" t="s">
        <v>523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613</v>
      </c>
      <c r="D330">
        <v>0.033237239274207</v>
      </c>
      <c r="E330">
        <v>0.0007814898604341369</v>
      </c>
      <c r="F330">
        <v>0.03</v>
      </c>
      <c r="G330">
        <v>0.05974865637537996</v>
      </c>
      <c r="H330" t="s">
        <v>371</v>
      </c>
      <c r="I330" t="s">
        <v>317</v>
      </c>
    </row>
    <row r="331" spans="1:9">
      <c r="A331" s="1" t="s">
        <v>338</v>
      </c>
      <c r="B331">
        <f>HYPERLINK("https://www.suredividend.com/sure-analysis-K/","Kellogg Co.")</f>
        <v>0</v>
      </c>
      <c r="C331" t="s">
        <v>613</v>
      </c>
      <c r="D331">
        <v>0.03541894211265401</v>
      </c>
      <c r="E331">
        <v>-0.01543148236705938</v>
      </c>
      <c r="F331">
        <v>0.04</v>
      </c>
      <c r="G331">
        <v>0.05874457980696168</v>
      </c>
      <c r="H331" t="s">
        <v>371</v>
      </c>
      <c r="I331" t="s">
        <v>371</v>
      </c>
    </row>
    <row r="332" spans="1:9">
      <c r="A332" s="1" t="s">
        <v>339</v>
      </c>
      <c r="B332">
        <f>HYPERLINK("https://www.suredividend.com/sure-analysis-AEP/","American Electric Power Co., Inc.")</f>
        <v>0</v>
      </c>
      <c r="C332" t="s">
        <v>613</v>
      </c>
      <c r="D332">
        <v>0.034382136513575</v>
      </c>
      <c r="E332">
        <v>-0.02013293500102831</v>
      </c>
      <c r="F332">
        <v>0.045</v>
      </c>
      <c r="G332">
        <v>0.05810142952537101</v>
      </c>
      <c r="H332" t="s">
        <v>371</v>
      </c>
      <c r="I332" t="s">
        <v>371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613</v>
      </c>
      <c r="D333">
        <v>0.005358978123623</v>
      </c>
      <c r="E333">
        <v>-0.08768072480321876</v>
      </c>
      <c r="F333">
        <v>0.15</v>
      </c>
      <c r="G333">
        <v>0.05642252849970264</v>
      </c>
      <c r="H333" t="s">
        <v>371</v>
      </c>
      <c r="I333" t="s">
        <v>523</v>
      </c>
    </row>
    <row r="334" spans="1:9">
      <c r="A334" s="1" t="s">
        <v>341</v>
      </c>
      <c r="B334">
        <f>HYPERLINK("https://www.suredividend.com/sure-analysis-WDC/","Western Digital Corp.")</f>
        <v>0</v>
      </c>
      <c r="C334" t="s">
        <v>613</v>
      </c>
      <c r="D334">
        <v>0.049224710804824</v>
      </c>
      <c r="E334">
        <v>-0.05234686539267541</v>
      </c>
      <c r="F334">
        <v>0.07000000000000001</v>
      </c>
      <c r="G334">
        <v>0.05561328763229878</v>
      </c>
      <c r="H334" t="s">
        <v>371</v>
      </c>
      <c r="I334" t="s">
        <v>371</v>
      </c>
    </row>
    <row r="335" spans="1:9">
      <c r="A335" s="1" t="s">
        <v>342</v>
      </c>
      <c r="B335">
        <f>HYPERLINK("https://www.suredividend.com/sure-analysis-QCOM/","QUALCOMM, Inc.")</f>
        <v>0</v>
      </c>
      <c r="C335" t="s">
        <v>613</v>
      </c>
      <c r="D335">
        <v>0.03144414859896</v>
      </c>
      <c r="E335">
        <v>-0.05307848432785855</v>
      </c>
      <c r="F335">
        <v>0.07000000000000001</v>
      </c>
      <c r="G335">
        <v>0.04911571515564983</v>
      </c>
      <c r="H335" t="s">
        <v>371</v>
      </c>
      <c r="I335" t="s">
        <v>371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613</v>
      </c>
      <c r="D336">
        <v>0.035063113604488</v>
      </c>
      <c r="E336">
        <v>-0.0246917132676806</v>
      </c>
      <c r="F336">
        <v>0.04</v>
      </c>
      <c r="G336">
        <v>0.04839808140251156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615</v>
      </c>
      <c r="D337">
        <v>0.043749312126886</v>
      </c>
      <c r="E337">
        <v>-0.05786713800846366</v>
      </c>
      <c r="F337">
        <v>0.06</v>
      </c>
      <c r="G337">
        <v>0.04593680037788883</v>
      </c>
      <c r="H337" t="s">
        <v>371</v>
      </c>
      <c r="I337" t="s">
        <v>371</v>
      </c>
    </row>
    <row r="338" spans="1:9">
      <c r="A338" s="1" t="s">
        <v>345</v>
      </c>
      <c r="B338">
        <f>HYPERLINK("https://www.suredividend.com/sure-analysis-CCI/","Crown Castle International Corp.")</f>
        <v>0</v>
      </c>
      <c r="C338" t="s">
        <v>614</v>
      </c>
      <c r="D338">
        <v>0.030001935608748</v>
      </c>
      <c r="E338">
        <v>-0.03717014984172751</v>
      </c>
      <c r="F338">
        <v>0.05</v>
      </c>
      <c r="G338">
        <v>0.04331645848757915</v>
      </c>
      <c r="H338" t="s">
        <v>371</v>
      </c>
      <c r="I338" t="s">
        <v>317</v>
      </c>
    </row>
    <row r="339" spans="1:9">
      <c r="A339" s="1" t="s">
        <v>346</v>
      </c>
      <c r="B339">
        <f>HYPERLINK("https://www.suredividend.com/sure-analysis-CPB/","Campbell Soup Co.")</f>
        <v>0</v>
      </c>
      <c r="C339" t="s">
        <v>613</v>
      </c>
      <c r="D339">
        <v>0.027689873417721</v>
      </c>
      <c r="E339">
        <v>-0.03983284615743077</v>
      </c>
      <c r="F339">
        <v>0.05</v>
      </c>
      <c r="G339">
        <v>0.03535387916528387</v>
      </c>
      <c r="H339" t="s">
        <v>371</v>
      </c>
      <c r="I339" t="s">
        <v>317</v>
      </c>
    </row>
    <row r="340" spans="1:9">
      <c r="A340" s="1" t="s">
        <v>347</v>
      </c>
      <c r="B340">
        <f>HYPERLINK("https://www.suredividend.com/sure-analysis-DIS/","The Walt Disney Co.")</f>
        <v>0</v>
      </c>
      <c r="C340" t="s">
        <v>613</v>
      </c>
      <c r="D340">
        <v>0.017446471054718</v>
      </c>
      <c r="E340">
        <v>-0.1458382034490648</v>
      </c>
      <c r="F340">
        <v>0.19</v>
      </c>
      <c r="G340">
        <v>0.03374505027936814</v>
      </c>
      <c r="H340" t="s">
        <v>371</v>
      </c>
      <c r="I340" t="s">
        <v>317</v>
      </c>
    </row>
    <row r="341" spans="1:9">
      <c r="A341" s="1" t="s">
        <v>348</v>
      </c>
      <c r="B341">
        <f>HYPERLINK("https://www.suredividend.com/sure-analysis-NVDA/","NVIDIA Corp.")</f>
        <v>0</v>
      </c>
      <c r="C341" t="s">
        <v>613</v>
      </c>
      <c r="D341">
        <v>0.002149165519325</v>
      </c>
      <c r="E341">
        <v>-0.107128148771871</v>
      </c>
      <c r="F341">
        <v>0.15</v>
      </c>
      <c r="G341">
        <v>0.02868428356978892</v>
      </c>
      <c r="H341" t="s">
        <v>371</v>
      </c>
      <c r="I341" t="s">
        <v>523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613</v>
      </c>
      <c r="D342">
        <v>0.023910171730515</v>
      </c>
      <c r="E342">
        <v>-0.06685081815024418</v>
      </c>
      <c r="F342">
        <v>0.07000000000000001</v>
      </c>
      <c r="G342">
        <v>0.0273948706976046</v>
      </c>
      <c r="H342" t="s">
        <v>371</v>
      </c>
      <c r="I342" t="s">
        <v>317</v>
      </c>
    </row>
    <row r="343" spans="1:9">
      <c r="A343" s="1" t="s">
        <v>350</v>
      </c>
      <c r="B343">
        <f>HYPERLINK("https://www.suredividend.com/sure-analysis-WEC/","WEC Energy Group, Inc.")</f>
        <v>0</v>
      </c>
      <c r="C343" t="s">
        <v>613</v>
      </c>
      <c r="D343">
        <v>0.028284671532846</v>
      </c>
      <c r="E343">
        <v>-0.05546192763406566</v>
      </c>
      <c r="F343">
        <v>0.052</v>
      </c>
      <c r="G343">
        <v>0.02693418579243012</v>
      </c>
      <c r="H343" t="s">
        <v>371</v>
      </c>
      <c r="I343" t="s">
        <v>317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614</v>
      </c>
      <c r="D344">
        <v>0.028857715430861</v>
      </c>
      <c r="E344">
        <v>-0.07303082179170917</v>
      </c>
      <c r="F344">
        <v>0.06</v>
      </c>
      <c r="G344">
        <v>0.01721768469991258</v>
      </c>
      <c r="H344" t="s">
        <v>371</v>
      </c>
      <c r="I344" t="s">
        <v>317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0.009022556390977</v>
      </c>
      <c r="E345">
        <v>-0.09533713792668397</v>
      </c>
      <c r="F345">
        <v>0.1</v>
      </c>
      <c r="G345">
        <v>0.004229624662428044</v>
      </c>
      <c r="H345" t="s">
        <v>371</v>
      </c>
      <c r="I345" t="s">
        <v>523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0.017904612978889</v>
      </c>
      <c r="E346">
        <v>-0.1408421288737145</v>
      </c>
      <c r="F346">
        <v>0.14</v>
      </c>
      <c r="G346">
        <v>0.0008252114064251082</v>
      </c>
      <c r="H346" t="s">
        <v>371</v>
      </c>
      <c r="I346" t="s">
        <v>523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0.002874120406567</v>
      </c>
      <c r="E347">
        <v>-0.03097309347615973</v>
      </c>
      <c r="F347">
        <v>0.017</v>
      </c>
      <c r="G347">
        <v>-0.008193639489484594</v>
      </c>
      <c r="H347" t="s">
        <v>371</v>
      </c>
      <c r="I347" t="s">
        <v>523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613</v>
      </c>
      <c r="D348">
        <v>0.007257546563904001</v>
      </c>
      <c r="E348">
        <v>-0.08842514125517598</v>
      </c>
      <c r="F348">
        <v>0.075</v>
      </c>
      <c r="G348">
        <v>-0.009776014483746098</v>
      </c>
      <c r="H348" t="s">
        <v>371</v>
      </c>
      <c r="I348" t="s">
        <v>523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613</v>
      </c>
      <c r="D349">
        <v>0.008970046452026001</v>
      </c>
      <c r="E349">
        <v>-0.07806354779221258</v>
      </c>
      <c r="F349">
        <v>0.05</v>
      </c>
      <c r="G349">
        <v>-0.01283251990334422</v>
      </c>
      <c r="H349" t="s">
        <v>371</v>
      </c>
      <c r="I349" t="s">
        <v>523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0.001531393568147</v>
      </c>
      <c r="E350">
        <v>-0.08867994584474537</v>
      </c>
      <c r="F350">
        <v>0.06</v>
      </c>
      <c r="G350">
        <v>-0.03236571668733645</v>
      </c>
      <c r="H350" t="s">
        <v>371</v>
      </c>
      <c r="I350" t="s">
        <v>523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0.021565134734604</v>
      </c>
      <c r="E351">
        <v>-0.1060965009505718</v>
      </c>
      <c r="F351">
        <v>0.05</v>
      </c>
      <c r="G351">
        <v>-0.03236621046839772</v>
      </c>
      <c r="H351" t="s">
        <v>371</v>
      </c>
      <c r="I351" t="s">
        <v>317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0.028631358154168</v>
      </c>
      <c r="E352">
        <v>-0.09665806139078525</v>
      </c>
      <c r="F352">
        <v>0.03</v>
      </c>
      <c r="G352">
        <v>-0.0331265103071825</v>
      </c>
      <c r="H352" t="s">
        <v>371</v>
      </c>
      <c r="I352" t="s">
        <v>317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0.007798228584412</v>
      </c>
      <c r="E353">
        <v>-0.09079771422228589</v>
      </c>
      <c r="F353">
        <v>0.018</v>
      </c>
      <c r="G353">
        <v>-0.05847346429116917</v>
      </c>
      <c r="H353" t="s">
        <v>371</v>
      </c>
      <c r="I353" t="s">
        <v>523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0.007564771313312001</v>
      </c>
      <c r="E354">
        <v>-0.1247735440687302</v>
      </c>
      <c r="F354">
        <v>0</v>
      </c>
      <c r="G354">
        <v>-0.1033731829117931</v>
      </c>
      <c r="H354" t="s">
        <v>371</v>
      </c>
      <c r="I354" t="s">
        <v>523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0.169828047490075</v>
      </c>
      <c r="E355">
        <v>0.2461205959130905</v>
      </c>
      <c r="F355">
        <v>0.06</v>
      </c>
      <c r="G355">
        <v>0.3722554197698724</v>
      </c>
      <c r="H355" t="s">
        <v>317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0.369230769230769</v>
      </c>
      <c r="E356">
        <v>0.1911673723460281</v>
      </c>
      <c r="F356">
        <v>0.02</v>
      </c>
      <c r="G356">
        <v>0.3465301275945949</v>
      </c>
      <c r="H356" t="s">
        <v>317</v>
      </c>
      <c r="I356" t="s">
        <v>618</v>
      </c>
    </row>
    <row r="357" spans="1:9">
      <c r="A357" s="1" t="s">
        <v>364</v>
      </c>
      <c r="B357">
        <f>HYPERLINK("https://www.suredividend.com/sure-analysis-NRZ/","New Residential Investment Corp.")</f>
        <v>0</v>
      </c>
      <c r="C357" t="s">
        <v>614</v>
      </c>
      <c r="D357">
        <v>0.25368248772504</v>
      </c>
      <c r="E357">
        <v>0.1552192945288633</v>
      </c>
      <c r="F357">
        <v>0.02</v>
      </c>
      <c r="G357">
        <v>0.3105768211437585</v>
      </c>
      <c r="H357" t="s">
        <v>317</v>
      </c>
      <c r="I357" t="s">
        <v>618</v>
      </c>
    </row>
    <row r="358" spans="1:9">
      <c r="A358" s="1" t="s">
        <v>365</v>
      </c>
      <c r="B358">
        <f>HYPERLINK("https://www.suredividend.com/sure-analysis-SCGLY/","Société Générale SA")</f>
        <v>0</v>
      </c>
      <c r="C358" t="s">
        <v>613</v>
      </c>
      <c r="D358">
        <v>0.177553956834532</v>
      </c>
      <c r="E358">
        <v>0.2028477185945103</v>
      </c>
      <c r="F358">
        <v>0.015</v>
      </c>
      <c r="G358">
        <v>0.2933263066153506</v>
      </c>
      <c r="H358" t="s">
        <v>317</v>
      </c>
      <c r="I358" t="s">
        <v>618</v>
      </c>
    </row>
    <row r="359" spans="1:9">
      <c r="A359" s="1" t="s">
        <v>366</v>
      </c>
      <c r="B359">
        <f>HYPERLINK("https://www.suredividend.com/sure-analysis-IVZ/","Invesco Ltd.")</f>
        <v>0</v>
      </c>
      <c r="C359" t="s">
        <v>613</v>
      </c>
      <c r="D359">
        <v>0.16272965879265</v>
      </c>
      <c r="E359">
        <v>0.2112866377320335</v>
      </c>
      <c r="F359">
        <v>0.02</v>
      </c>
      <c r="G359">
        <v>0.2707739152081763</v>
      </c>
      <c r="H359" t="s">
        <v>317</v>
      </c>
      <c r="I359" t="s">
        <v>618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614</v>
      </c>
      <c r="D360">
        <v>0.148905633297452</v>
      </c>
      <c r="E360">
        <v>0.11898696853861</v>
      </c>
      <c r="F360">
        <v>0.07000000000000001</v>
      </c>
      <c r="G360">
        <v>0.2667378732323127</v>
      </c>
      <c r="H360" t="s">
        <v>317</v>
      </c>
      <c r="I360" t="s">
        <v>618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613</v>
      </c>
      <c r="D361">
        <v>0.077683228108701</v>
      </c>
      <c r="E361">
        <v>0.1883070056089875</v>
      </c>
      <c r="F361">
        <v>0.035</v>
      </c>
      <c r="G361">
        <v>0.2648482101329048</v>
      </c>
      <c r="H361" t="s">
        <v>317</v>
      </c>
      <c r="I361" t="s">
        <v>618</v>
      </c>
    </row>
    <row r="362" spans="1:9">
      <c r="A362" s="1" t="s">
        <v>369</v>
      </c>
      <c r="B362">
        <f>HYPERLINK("https://www.suredividend.com/sure-analysis-AEG/","AEGON NV")</f>
        <v>0</v>
      </c>
      <c r="C362" t="s">
        <v>613</v>
      </c>
      <c r="D362">
        <v>0.124655172413793</v>
      </c>
      <c r="E362">
        <v>0.1506224836329224</v>
      </c>
      <c r="F362">
        <v>0.03</v>
      </c>
      <c r="G362">
        <v>0.2567643768148713</v>
      </c>
      <c r="H362" t="s">
        <v>317</v>
      </c>
      <c r="I362" t="s">
        <v>618</v>
      </c>
    </row>
    <row r="363" spans="1:9">
      <c r="A363" s="1" t="s">
        <v>370</v>
      </c>
      <c r="B363">
        <f>HYPERLINK("https://www.suredividend.com/sure-analysis-BNPQF/","BNP Paribas SA")</f>
        <v>0</v>
      </c>
      <c r="C363" t="s">
        <v>613</v>
      </c>
      <c r="D363">
        <v>0.100599600266489</v>
      </c>
      <c r="E363">
        <v>0.1598076588539392</v>
      </c>
      <c r="F363">
        <v>0.03</v>
      </c>
      <c r="G363">
        <v>0.249279318277017</v>
      </c>
      <c r="H363" t="s">
        <v>317</v>
      </c>
      <c r="I363" t="s">
        <v>618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613</v>
      </c>
      <c r="D364">
        <v>0.046100116414435</v>
      </c>
      <c r="E364">
        <v>0.1453855431999611</v>
      </c>
      <c r="F364">
        <v>0.06</v>
      </c>
      <c r="G364">
        <v>0.241150202338396</v>
      </c>
      <c r="H364" t="s">
        <v>317</v>
      </c>
      <c r="I364" t="s">
        <v>317</v>
      </c>
    </row>
    <row r="365" spans="1:9">
      <c r="A365" s="1" t="s">
        <v>372</v>
      </c>
      <c r="B365">
        <f>HYPERLINK("https://www.suredividend.com/sure-analysis-SBRA/","Sabra Health Care REIT, Inc.")</f>
        <v>0</v>
      </c>
      <c r="C365" t="s">
        <v>614</v>
      </c>
      <c r="D365">
        <v>0.154772141014617</v>
      </c>
      <c r="E365">
        <v>0.09326718874928241</v>
      </c>
      <c r="F365">
        <v>0.043</v>
      </c>
      <c r="G365">
        <v>0.2392736956930794</v>
      </c>
      <c r="H365" t="s">
        <v>317</v>
      </c>
      <c r="I365" t="s">
        <v>617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615</v>
      </c>
      <c r="D366">
        <v>0.18018018018018</v>
      </c>
      <c r="E366">
        <v>0.1308039317725425</v>
      </c>
      <c r="F366">
        <v>0.015</v>
      </c>
      <c r="G366">
        <v>0.2387089903159698</v>
      </c>
      <c r="H366" t="s">
        <v>317</v>
      </c>
      <c r="I366" t="s">
        <v>618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613</v>
      </c>
      <c r="D367">
        <v>0.15600624024961</v>
      </c>
      <c r="E367">
        <v>0.1214571624956418</v>
      </c>
      <c r="F367">
        <v>0.04</v>
      </c>
      <c r="G367">
        <v>0.2370775401691652</v>
      </c>
      <c r="H367" t="s">
        <v>317</v>
      </c>
      <c r="I367" t="s">
        <v>618</v>
      </c>
    </row>
    <row r="368" spans="1:9">
      <c r="A368" s="1" t="s">
        <v>375</v>
      </c>
      <c r="B368">
        <f>HYPERLINK("https://www.suredividend.com/sure-analysis-FCAU/","Fiat Chrysler Automobiles NV")</f>
        <v>0</v>
      </c>
      <c r="C368" t="s">
        <v>613</v>
      </c>
      <c r="D368">
        <v>0.159509202453987</v>
      </c>
      <c r="E368">
        <v>0.157265493724313</v>
      </c>
      <c r="F368">
        <v>0.03</v>
      </c>
      <c r="G368">
        <v>0.2329045107047325</v>
      </c>
      <c r="H368" t="s">
        <v>317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0.05028901734104001</v>
      </c>
      <c r="E369">
        <v>0.1488260307093143</v>
      </c>
      <c r="F369">
        <v>0.05</v>
      </c>
      <c r="G369">
        <v>0.2327255470609269</v>
      </c>
      <c r="H369" t="s">
        <v>317</v>
      </c>
      <c r="I369" t="s">
        <v>317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614</v>
      </c>
      <c r="D370">
        <v>0.107244995233555</v>
      </c>
      <c r="E370">
        <v>0.1422445848996077</v>
      </c>
      <c r="F370">
        <v>0.03</v>
      </c>
      <c r="G370">
        <v>0.2313635133238099</v>
      </c>
      <c r="H370" t="s">
        <v>317</v>
      </c>
      <c r="I370" t="s">
        <v>618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613</v>
      </c>
      <c r="D371">
        <v>0.160960960960961</v>
      </c>
      <c r="E371">
        <v>0.1435179933974724</v>
      </c>
      <c r="F371">
        <v>0</v>
      </c>
      <c r="G371">
        <v>0.2300025347282775</v>
      </c>
      <c r="H371" t="s">
        <v>317</v>
      </c>
      <c r="I371" t="s">
        <v>618</v>
      </c>
    </row>
    <row r="372" spans="1:9">
      <c r="A372" s="1" t="s">
        <v>379</v>
      </c>
      <c r="B372">
        <f>HYPERLINK("https://www.suredividend.com/sure-analysis-TFC/","Truist Financial Corp.")</f>
        <v>0</v>
      </c>
      <c r="C372" t="s">
        <v>613</v>
      </c>
      <c r="D372">
        <v>0.05115126785193801</v>
      </c>
      <c r="E372">
        <v>0.1196213153002592</v>
      </c>
      <c r="F372">
        <v>0.07000000000000001</v>
      </c>
      <c r="G372">
        <v>0.2278563444697377</v>
      </c>
      <c r="H372" t="s">
        <v>317</v>
      </c>
      <c r="I372" t="s">
        <v>371</v>
      </c>
    </row>
    <row r="373" spans="1:9">
      <c r="A373" s="1" t="s">
        <v>380</v>
      </c>
      <c r="B373">
        <f>HYPERLINK("https://www.suredividend.com/sure-analysis-LB/","L Brands, Inc.")</f>
        <v>0</v>
      </c>
      <c r="C373" t="s">
        <v>613</v>
      </c>
      <c r="D373">
        <v>0.10919017288444</v>
      </c>
      <c r="E373">
        <v>0.1343720001812858</v>
      </c>
      <c r="F373">
        <v>0.03</v>
      </c>
      <c r="G373">
        <v>0.2210357173443516</v>
      </c>
      <c r="H373" t="s">
        <v>317</v>
      </c>
      <c r="I373" t="s">
        <v>618</v>
      </c>
    </row>
    <row r="374" spans="1:9">
      <c r="A374" s="1" t="s">
        <v>381</v>
      </c>
      <c r="B374">
        <f>HYPERLINK("https://www.suredividend.com/sure-analysis-OUT/","OUTFRONT Media, Inc.")</f>
        <v>0</v>
      </c>
      <c r="C374" t="s">
        <v>613</v>
      </c>
      <c r="D374">
        <v>0.111541440743609</v>
      </c>
      <c r="E374">
        <v>0.1414530078501222</v>
      </c>
      <c r="F374">
        <v>0.015</v>
      </c>
      <c r="G374">
        <v>0.2133565297936044</v>
      </c>
      <c r="H374" t="s">
        <v>317</v>
      </c>
      <c r="I374" t="s">
        <v>618</v>
      </c>
    </row>
    <row r="375" spans="1:9">
      <c r="A375" s="1" t="s">
        <v>382</v>
      </c>
      <c r="B375">
        <f>HYPERLINK("https://www.suredividend.com/sure-analysis-LYB/","LyondellBasell Industries NV")</f>
        <v>0</v>
      </c>
      <c r="C375" t="s">
        <v>613</v>
      </c>
      <c r="D375">
        <v>0.080598733448474</v>
      </c>
      <c r="E375">
        <v>0.1086772445227362</v>
      </c>
      <c r="F375">
        <v>0.05</v>
      </c>
      <c r="G375">
        <v>0.2097750667326017</v>
      </c>
      <c r="H375" t="s">
        <v>317</v>
      </c>
      <c r="I375" t="s">
        <v>618</v>
      </c>
    </row>
    <row r="376" spans="1:9">
      <c r="A376" s="1" t="s">
        <v>383</v>
      </c>
      <c r="B376">
        <f>HYPERLINK("https://www.suredividend.com/sure-analysis-PFG/","Principal Financial Group, Inc.")</f>
        <v>0</v>
      </c>
      <c r="C376" t="s">
        <v>613</v>
      </c>
      <c r="D376">
        <v>0.06478209658421601</v>
      </c>
      <c r="E376">
        <v>0.1166644350813835</v>
      </c>
      <c r="F376">
        <v>0.05</v>
      </c>
      <c r="G376">
        <v>0.2091840775216998</v>
      </c>
      <c r="H376" t="s">
        <v>317</v>
      </c>
      <c r="I376" t="s">
        <v>371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613</v>
      </c>
      <c r="D377">
        <v>0.101214574898785</v>
      </c>
      <c r="E377">
        <v>0.1052296845709664</v>
      </c>
      <c r="F377">
        <v>0.03</v>
      </c>
      <c r="G377">
        <v>0.1950125457852256</v>
      </c>
      <c r="H377" t="s">
        <v>317</v>
      </c>
      <c r="I377" t="s">
        <v>371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613</v>
      </c>
      <c r="D378">
        <v>0.060752351097178</v>
      </c>
      <c r="E378">
        <v>0.102662314741897</v>
      </c>
      <c r="F378">
        <v>0.046</v>
      </c>
      <c r="G378">
        <v>0.1932512433054137</v>
      </c>
      <c r="H378" t="s">
        <v>317</v>
      </c>
      <c r="I378" t="s">
        <v>371</v>
      </c>
    </row>
    <row r="379" spans="1:9">
      <c r="A379" s="1" t="s">
        <v>386</v>
      </c>
      <c r="B379">
        <f>HYPERLINK("https://www.suredividend.com/sure-analysis-BKR/","Baker Hughes Co.")</f>
        <v>0</v>
      </c>
      <c r="C379" t="s">
        <v>613</v>
      </c>
      <c r="D379">
        <v>0.05568445475638</v>
      </c>
      <c r="E379">
        <v>0.09429630664318189</v>
      </c>
      <c r="F379">
        <v>0.06</v>
      </c>
      <c r="G379">
        <v>0.190365776780588</v>
      </c>
      <c r="H379" t="s">
        <v>317</v>
      </c>
      <c r="I379" t="s">
        <v>317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615</v>
      </c>
      <c r="D380">
        <v>0.160949868073878</v>
      </c>
      <c r="E380">
        <v>0.02319755494530495</v>
      </c>
      <c r="F380">
        <v>0.074</v>
      </c>
      <c r="G380">
        <v>0.1899742434814236</v>
      </c>
      <c r="H380" t="s">
        <v>317</v>
      </c>
      <c r="I380" t="s">
        <v>618</v>
      </c>
    </row>
    <row r="381" spans="1:9">
      <c r="A381" s="1" t="s">
        <v>388</v>
      </c>
      <c r="B381">
        <f>HYPERLINK("https://www.suredividend.com/sure-analysis-TPR/","Tapestry, Inc.")</f>
        <v>0</v>
      </c>
      <c r="C381" t="s">
        <v>613</v>
      </c>
      <c r="D381">
        <v>0.09594882729211</v>
      </c>
      <c r="E381">
        <v>0.0869534259253939</v>
      </c>
      <c r="F381">
        <v>0.045</v>
      </c>
      <c r="G381">
        <v>0.1894070222185935</v>
      </c>
      <c r="H381" t="s">
        <v>317</v>
      </c>
      <c r="I381" t="s">
        <v>618</v>
      </c>
    </row>
    <row r="382" spans="1:9">
      <c r="A382" s="1" t="s">
        <v>389</v>
      </c>
      <c r="B382">
        <f>HYPERLINK("https://www.suredividend.com/sure-analysis-BXP/","Boston Properties, Inc.")</f>
        <v>0</v>
      </c>
      <c r="C382" t="s">
        <v>614</v>
      </c>
      <c r="D382">
        <v>0.04634966378482201</v>
      </c>
      <c r="E382">
        <v>0.113564576155698</v>
      </c>
      <c r="F382">
        <v>0.043</v>
      </c>
      <c r="G382">
        <v>0.1883363848455102</v>
      </c>
      <c r="H382" t="s">
        <v>317</v>
      </c>
      <c r="I382" t="s">
        <v>317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613</v>
      </c>
      <c r="D383">
        <v>0.123850150451354</v>
      </c>
      <c r="E383">
        <v>0.07779103982594449</v>
      </c>
      <c r="F383">
        <v>0.03</v>
      </c>
      <c r="G383">
        <v>0.1812959783757979</v>
      </c>
      <c r="H383" t="s">
        <v>317</v>
      </c>
      <c r="I383" t="s">
        <v>618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614</v>
      </c>
      <c r="D384">
        <v>0.07597340930674201</v>
      </c>
      <c r="E384">
        <v>0.1144953596738372</v>
      </c>
      <c r="F384">
        <v>0.02</v>
      </c>
      <c r="G384">
        <v>0.1809010800771087</v>
      </c>
      <c r="H384" t="s">
        <v>317</v>
      </c>
      <c r="I384" t="s">
        <v>371</v>
      </c>
    </row>
    <row r="385" spans="1:9">
      <c r="A385" s="1" t="s">
        <v>392</v>
      </c>
      <c r="B385">
        <f>HYPERLINK("https://www.suredividend.com/sure-analysis-KMI/","Kinder Morgan, Inc.")</f>
        <v>0</v>
      </c>
      <c r="C385" t="s">
        <v>613</v>
      </c>
      <c r="D385">
        <v>0.06793478260869501</v>
      </c>
      <c r="E385">
        <v>0.08047423877318605</v>
      </c>
      <c r="F385">
        <v>0.04</v>
      </c>
      <c r="G385">
        <v>0.1774073103140672</v>
      </c>
      <c r="H385" t="s">
        <v>317</v>
      </c>
      <c r="I385" t="s">
        <v>371</v>
      </c>
    </row>
    <row r="386" spans="1:9">
      <c r="A386" s="1" t="s">
        <v>393</v>
      </c>
      <c r="B386">
        <f>HYPERLINK("https://www.suredividend.com/sure-analysis-NAVI/","Navient Corp.")</f>
        <v>0</v>
      </c>
      <c r="C386" t="s">
        <v>613</v>
      </c>
      <c r="D386">
        <v>0.09155937052932701</v>
      </c>
      <c r="E386">
        <v>0.1152494535838184</v>
      </c>
      <c r="F386">
        <v>0.01</v>
      </c>
      <c r="G386">
        <v>0.1748190757764381</v>
      </c>
      <c r="H386" t="s">
        <v>317</v>
      </c>
      <c r="I386" t="s">
        <v>618</v>
      </c>
    </row>
    <row r="387" spans="1:9">
      <c r="A387" s="1" t="s">
        <v>394</v>
      </c>
      <c r="B387">
        <f>HYPERLINK("https://www.suredividend.com/sure-analysis-USB/","U.S. Bancorp")</f>
        <v>0</v>
      </c>
      <c r="C387" t="s">
        <v>613</v>
      </c>
      <c r="D387">
        <v>0.04908160192713001</v>
      </c>
      <c r="E387">
        <v>0.074568226155173</v>
      </c>
      <c r="F387">
        <v>0.06</v>
      </c>
      <c r="G387">
        <v>0.1719744512360279</v>
      </c>
      <c r="H387" t="s">
        <v>317</v>
      </c>
      <c r="I387" t="s">
        <v>317</v>
      </c>
    </row>
    <row r="388" spans="1:9">
      <c r="A388" s="1" t="s">
        <v>395</v>
      </c>
      <c r="B388">
        <f>HYPERLINK("https://www.suredividend.com/sure-analysis-NOV/","National Oilwell Varco, Inc.")</f>
        <v>0</v>
      </c>
      <c r="C388" t="s">
        <v>613</v>
      </c>
      <c r="D388">
        <v>0.016949152542372</v>
      </c>
      <c r="E388">
        <v>0.1324321111468623</v>
      </c>
      <c r="F388">
        <v>0.018</v>
      </c>
      <c r="G388">
        <v>0.170836541728816</v>
      </c>
      <c r="H388" t="s">
        <v>317</v>
      </c>
      <c r="I388" t="s">
        <v>523</v>
      </c>
    </row>
    <row r="389" spans="1:9">
      <c r="A389" s="1" t="s">
        <v>396</v>
      </c>
      <c r="B389">
        <f>HYPERLINK("https://www.suredividend.com/sure-analysis-TEF/","Telefónica SA")</f>
        <v>0</v>
      </c>
      <c r="C389" t="s">
        <v>613</v>
      </c>
      <c r="D389">
        <v>0.09630107526881701</v>
      </c>
      <c r="E389">
        <v>0.09091098755138827</v>
      </c>
      <c r="F389">
        <v>0.02</v>
      </c>
      <c r="G389">
        <v>0.1704984691831686</v>
      </c>
      <c r="H389" t="s">
        <v>317</v>
      </c>
      <c r="I389" t="s">
        <v>618</v>
      </c>
    </row>
    <row r="390" spans="1:9">
      <c r="A390" s="1" t="s">
        <v>397</v>
      </c>
      <c r="B390">
        <f>HYPERLINK("https://www.suredividend.com/sure-analysis-NWL/","Newell Brands, Inc.")</f>
        <v>0</v>
      </c>
      <c r="C390" t="s">
        <v>613</v>
      </c>
      <c r="D390">
        <v>0.078699743370402</v>
      </c>
      <c r="E390">
        <v>0.07134272141561282</v>
      </c>
      <c r="F390">
        <v>0.05</v>
      </c>
      <c r="G390">
        <v>0.1690125549559973</v>
      </c>
      <c r="H390" t="s">
        <v>317</v>
      </c>
      <c r="I390" t="s">
        <v>371</v>
      </c>
    </row>
    <row r="391" spans="1:9">
      <c r="A391" s="1" t="s">
        <v>398</v>
      </c>
      <c r="B391">
        <f>HYPERLINK("https://www.suredividend.com/sure-analysis-CNA/","CNA Financial Corp.")</f>
        <v>0</v>
      </c>
      <c r="C391" t="s">
        <v>613</v>
      </c>
      <c r="D391">
        <v>0.050823192555476</v>
      </c>
      <c r="E391">
        <v>0.1140841445965632</v>
      </c>
      <c r="F391">
        <v>0.02</v>
      </c>
      <c r="G391">
        <v>0.1676692114058431</v>
      </c>
      <c r="H391" t="s">
        <v>317</v>
      </c>
      <c r="I391" t="s">
        <v>371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614</v>
      </c>
      <c r="D392">
        <v>0.111838503649635</v>
      </c>
      <c r="E392">
        <v>0.06729748025426185</v>
      </c>
      <c r="F392">
        <v>0.03</v>
      </c>
      <c r="G392">
        <v>0.1668938623393283</v>
      </c>
      <c r="H392" t="s">
        <v>317</v>
      </c>
      <c r="I392" t="s">
        <v>618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613</v>
      </c>
      <c r="D393">
        <v>0.030872483221476</v>
      </c>
      <c r="E393">
        <v>0.07637491529095053</v>
      </c>
      <c r="F393">
        <v>0.06</v>
      </c>
      <c r="G393">
        <v>0.164920150116695</v>
      </c>
      <c r="H393" t="s">
        <v>317</v>
      </c>
      <c r="I393" t="s">
        <v>317</v>
      </c>
    </row>
    <row r="394" spans="1:9">
      <c r="A394" s="1" t="s">
        <v>401</v>
      </c>
      <c r="B394">
        <f>HYPERLINK("https://www.suredividend.com/sure-analysis-JCI/","Johnson Controls International Plc")</f>
        <v>0</v>
      </c>
      <c r="C394" t="s">
        <v>613</v>
      </c>
      <c r="D394">
        <v>0.036736135641116</v>
      </c>
      <c r="E394">
        <v>0.07529312005615107</v>
      </c>
      <c r="F394">
        <v>0.06</v>
      </c>
      <c r="G394">
        <v>0.1641958016135574</v>
      </c>
      <c r="H394" t="s">
        <v>317</v>
      </c>
      <c r="I394" t="s">
        <v>317</v>
      </c>
    </row>
    <row r="395" spans="1:9">
      <c r="A395" s="1" t="s">
        <v>402</v>
      </c>
      <c r="B395">
        <f>HYPERLINK("https://www.suredividend.com/sure-analysis-NTAP/","NetApp, Inc.")</f>
        <v>0</v>
      </c>
      <c r="C395" t="s">
        <v>613</v>
      </c>
      <c r="D395">
        <v>0.04319248826291</v>
      </c>
      <c r="E395">
        <v>0.06934673356219467</v>
      </c>
      <c r="F395">
        <v>0.06</v>
      </c>
      <c r="G395">
        <v>0.1629837089843098</v>
      </c>
      <c r="H395" t="s">
        <v>317</v>
      </c>
      <c r="I395" t="s">
        <v>317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614</v>
      </c>
      <c r="D396">
        <v>0.101289833080424</v>
      </c>
      <c r="E396">
        <v>0.07540030835271305</v>
      </c>
      <c r="F396">
        <v>0.02</v>
      </c>
      <c r="G396">
        <v>0.1611732498195153</v>
      </c>
      <c r="H396" t="s">
        <v>317</v>
      </c>
      <c r="I396" t="s">
        <v>371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613</v>
      </c>
      <c r="D397">
        <v>0.048909523809523</v>
      </c>
      <c r="E397">
        <v>0.09090189647497282</v>
      </c>
      <c r="F397">
        <v>0.03</v>
      </c>
      <c r="G397">
        <v>0.1589749921556398</v>
      </c>
      <c r="H397" t="s">
        <v>317</v>
      </c>
      <c r="I397" t="s">
        <v>317</v>
      </c>
    </row>
    <row r="398" spans="1:9">
      <c r="A398" s="1" t="s">
        <v>405</v>
      </c>
      <c r="B398">
        <f>HYPERLINK("https://www.suredividend.com/sure-analysis-UBS/","UBS Group AG")</f>
        <v>0</v>
      </c>
      <c r="C398" t="s">
        <v>613</v>
      </c>
      <c r="D398">
        <v>0.056354166666666</v>
      </c>
      <c r="E398">
        <v>0.09906503606349149</v>
      </c>
      <c r="F398">
        <v>0.01</v>
      </c>
      <c r="G398">
        <v>0.1566826725590778</v>
      </c>
      <c r="H398" t="s">
        <v>317</v>
      </c>
      <c r="I398" t="s">
        <v>371</v>
      </c>
    </row>
    <row r="399" spans="1:9">
      <c r="A399" s="1" t="s">
        <v>406</v>
      </c>
      <c r="B399">
        <f>HYPERLINK("https://www.suredividend.com/sure-analysis-WPP/","WPP Plc")</f>
        <v>0</v>
      </c>
      <c r="C399" t="s">
        <v>613</v>
      </c>
      <c r="D399">
        <v>0.103737904340613</v>
      </c>
      <c r="E399">
        <v>0.05309406327681865</v>
      </c>
      <c r="F399">
        <v>0.03</v>
      </c>
      <c r="G399">
        <v>0.1555586276850653</v>
      </c>
      <c r="H399" t="s">
        <v>317</v>
      </c>
      <c r="I399" t="s">
        <v>371</v>
      </c>
    </row>
    <row r="400" spans="1:9">
      <c r="A400" s="1" t="s">
        <v>407</v>
      </c>
      <c r="B400">
        <f>HYPERLINK("https://www.suredividend.com/sure-analysis-HFC/","HollyFrontier Corp.")</f>
        <v>0</v>
      </c>
      <c r="C400" t="s">
        <v>613</v>
      </c>
      <c r="D400">
        <v>0.044651782739086</v>
      </c>
      <c r="E400">
        <v>0.1019543216607717</v>
      </c>
      <c r="F400">
        <v>0.02</v>
      </c>
      <c r="G400">
        <v>0.1551643760569037</v>
      </c>
      <c r="H400" t="s">
        <v>317</v>
      </c>
      <c r="I400" t="s">
        <v>371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613</v>
      </c>
      <c r="D401">
        <v>0.04912309505106</v>
      </c>
      <c r="E401">
        <v>0.07584787080152378</v>
      </c>
      <c r="F401">
        <v>0.04</v>
      </c>
      <c r="G401">
        <v>0.1545973545257231</v>
      </c>
      <c r="H401" t="s">
        <v>317</v>
      </c>
      <c r="I401" t="s">
        <v>371</v>
      </c>
    </row>
    <row r="402" spans="1:9">
      <c r="A402" s="1" t="s">
        <v>409</v>
      </c>
      <c r="B402">
        <f>HYPERLINK("https://www.suredividend.com/sure-analysis-UFS/","Domtar Corp.")</f>
        <v>0</v>
      </c>
      <c r="C402" t="s">
        <v>613</v>
      </c>
      <c r="D402">
        <v>0.08542952064546701</v>
      </c>
      <c r="E402">
        <v>0.06351233698603864</v>
      </c>
      <c r="F402">
        <v>0.03</v>
      </c>
      <c r="G402">
        <v>0.152707342603015</v>
      </c>
      <c r="H402" t="s">
        <v>317</v>
      </c>
      <c r="I402" t="s">
        <v>371</v>
      </c>
    </row>
    <row r="403" spans="1:9">
      <c r="A403" s="1" t="s">
        <v>410</v>
      </c>
      <c r="B403">
        <f>HYPERLINK("https://www.suredividend.com/sure-analysis-SUUIF/","Superior Plus Corp.")</f>
        <v>0</v>
      </c>
      <c r="C403" t="s">
        <v>613</v>
      </c>
      <c r="D403">
        <v>0.07944372060480101</v>
      </c>
      <c r="E403">
        <v>0.1000043340512287</v>
      </c>
      <c r="F403">
        <v>0</v>
      </c>
      <c r="G403">
        <v>0.1493703053573183</v>
      </c>
      <c r="H403" t="s">
        <v>317</v>
      </c>
      <c r="I403" t="s">
        <v>618</v>
      </c>
    </row>
    <row r="404" spans="1:9">
      <c r="A404" s="1" t="s">
        <v>411</v>
      </c>
      <c r="B404">
        <f>HYPERLINK("https://www.suredividend.com/sure-analysis-NOK/","Nokia Oyj")</f>
        <v>0</v>
      </c>
      <c r="C404" t="s">
        <v>613</v>
      </c>
      <c r="D404">
        <v>0.032427745664739</v>
      </c>
      <c r="E404">
        <v>0.04856856082338212</v>
      </c>
      <c r="F404">
        <v>0.07000000000000001</v>
      </c>
      <c r="G404">
        <v>0.1490247512391976</v>
      </c>
      <c r="H404" t="s">
        <v>317</v>
      </c>
      <c r="I404" t="s">
        <v>317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613</v>
      </c>
      <c r="D405">
        <v>0.038772571175362</v>
      </c>
      <c r="E405">
        <v>0.05639845668223464</v>
      </c>
      <c r="F405">
        <v>0.06</v>
      </c>
      <c r="G405">
        <v>0.1483011947551887</v>
      </c>
      <c r="H405" t="s">
        <v>317</v>
      </c>
      <c r="I405" t="s">
        <v>317</v>
      </c>
    </row>
    <row r="406" spans="1:9">
      <c r="A406" s="1" t="s">
        <v>413</v>
      </c>
      <c r="B406">
        <f>HYPERLINK("https://www.suredividend.com/sure-analysis-MCY/","Mercury General Corp.")</f>
        <v>0</v>
      </c>
      <c r="C406" t="s">
        <v>613</v>
      </c>
      <c r="D406">
        <v>0.073645680819912</v>
      </c>
      <c r="E406">
        <v>0.08326854438692721</v>
      </c>
      <c r="F406">
        <v>0.015</v>
      </c>
      <c r="G406">
        <v>0.1448429884057025</v>
      </c>
      <c r="H406" t="s">
        <v>317</v>
      </c>
      <c r="I406" t="s">
        <v>618</v>
      </c>
    </row>
    <row r="407" spans="1:9">
      <c r="A407" s="1" t="s">
        <v>414</v>
      </c>
      <c r="B407">
        <f>HYPERLINK("https://www.suredividend.com/sure-analysis-NLSN/","Nielsen Holdings Plc")</f>
        <v>0</v>
      </c>
      <c r="C407" t="s">
        <v>613</v>
      </c>
      <c r="D407">
        <v>0.062357414448669</v>
      </c>
      <c r="E407">
        <v>0.09968250709909521</v>
      </c>
      <c r="F407">
        <v>0.03</v>
      </c>
      <c r="G407">
        <v>0.1446279962804435</v>
      </c>
      <c r="H407" t="s">
        <v>317</v>
      </c>
      <c r="I407" t="s">
        <v>371</v>
      </c>
    </row>
    <row r="408" spans="1:9">
      <c r="A408" s="1" t="s">
        <v>415</v>
      </c>
      <c r="B408">
        <f>HYPERLINK("https://www.suredividend.com/sure-analysis-OPI/","Office Properties Income Trust")</f>
        <v>0</v>
      </c>
      <c r="C408" t="s">
        <v>614</v>
      </c>
      <c r="D408">
        <v>0.08705975464978201</v>
      </c>
      <c r="E408">
        <v>0.05956654882614032</v>
      </c>
      <c r="F408">
        <v>0.02</v>
      </c>
      <c r="G408">
        <v>0.1435354519557663</v>
      </c>
      <c r="H408" t="s">
        <v>317</v>
      </c>
      <c r="I408" t="s">
        <v>618</v>
      </c>
    </row>
    <row r="409" spans="1:9">
      <c r="A409" s="1" t="s">
        <v>416</v>
      </c>
      <c r="B409">
        <f>HYPERLINK("https://www.suredividend.com/sure-analysis-BUD/","Anheuser-Busch InBev SA/NV")</f>
        <v>0</v>
      </c>
      <c r="C409" t="s">
        <v>613</v>
      </c>
      <c r="D409">
        <v>0.04708655876143501</v>
      </c>
      <c r="E409">
        <v>0.07880693981621478</v>
      </c>
      <c r="F409">
        <v>0.03</v>
      </c>
      <c r="G409">
        <v>0.1406402060426681</v>
      </c>
      <c r="H409" t="s">
        <v>317</v>
      </c>
      <c r="I409" t="s">
        <v>317</v>
      </c>
    </row>
    <row r="410" spans="1:9">
      <c r="A410" s="1" t="s">
        <v>417</v>
      </c>
      <c r="B410">
        <f>HYPERLINK("https://www.suredividend.com/sure-analysis-PSO/","Pearson Plc")</f>
        <v>0</v>
      </c>
      <c r="C410" t="s">
        <v>613</v>
      </c>
      <c r="D410">
        <v>0.04627560521415201</v>
      </c>
      <c r="E410">
        <v>0.08810144951027787</v>
      </c>
      <c r="F410">
        <v>0.02</v>
      </c>
      <c r="G410">
        <v>0.1370497180716641</v>
      </c>
      <c r="H410" t="s">
        <v>317</v>
      </c>
      <c r="I410" t="s">
        <v>317</v>
      </c>
    </row>
    <row r="411" spans="1:9">
      <c r="A411" s="1" t="s">
        <v>418</v>
      </c>
      <c r="B411">
        <f>HYPERLINK("https://www.suredividend.com/sure-analysis-CF/","CF Industries Holdings, Inc.")</f>
        <v>0</v>
      </c>
      <c r="C411" t="s">
        <v>613</v>
      </c>
      <c r="D411">
        <v>0.04567948229920001</v>
      </c>
      <c r="E411">
        <v>0.06650754482726251</v>
      </c>
      <c r="F411">
        <v>0.04</v>
      </c>
      <c r="G411">
        <v>0.136569222281862</v>
      </c>
      <c r="H411" t="s">
        <v>317</v>
      </c>
      <c r="I411" t="s">
        <v>317</v>
      </c>
    </row>
    <row r="412" spans="1:9">
      <c r="A412" s="1" t="s">
        <v>419</v>
      </c>
      <c r="B412">
        <f>HYPERLINK("https://www.suredividend.com/sure-analysis-CWCO/","Consolidated Water Co. Ltd.")</f>
        <v>0</v>
      </c>
      <c r="C412" t="s">
        <v>613</v>
      </c>
      <c r="D412">
        <v>0.024337866857551</v>
      </c>
      <c r="E412">
        <v>0.04143523667512938</v>
      </c>
      <c r="F412">
        <v>0.06900000000000001</v>
      </c>
      <c r="G412">
        <v>0.1357385198295711</v>
      </c>
      <c r="H412" t="s">
        <v>317</v>
      </c>
      <c r="I412" t="s">
        <v>523</v>
      </c>
    </row>
    <row r="413" spans="1:9">
      <c r="A413" s="1" t="s">
        <v>420</v>
      </c>
      <c r="B413">
        <f>HYPERLINK("https://www.suredividend.com/sure-analysis-PFE/","Pfizer Inc.")</f>
        <v>0</v>
      </c>
      <c r="C413" t="s">
        <v>613</v>
      </c>
      <c r="D413">
        <v>0.03843157621397</v>
      </c>
      <c r="E413">
        <v>0.04473266523102404</v>
      </c>
      <c r="F413">
        <v>0.06</v>
      </c>
      <c r="G413">
        <v>0.1342829798067722</v>
      </c>
      <c r="H413" t="s">
        <v>317</v>
      </c>
      <c r="I413" t="s">
        <v>317</v>
      </c>
    </row>
    <row r="414" spans="1:9">
      <c r="A414" s="1" t="s">
        <v>421</v>
      </c>
      <c r="B414">
        <f>HYPERLINK("https://www.suredividend.com/sure-analysis-WYNN/","Wynn Resorts Ltd.")</f>
        <v>0</v>
      </c>
      <c r="C414" t="s">
        <v>613</v>
      </c>
      <c r="D414">
        <v>0.04731861198738101</v>
      </c>
      <c r="E414">
        <v>0.05697851328969805</v>
      </c>
      <c r="F414">
        <v>0.04</v>
      </c>
      <c r="G414">
        <v>0.1342657184692573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HYPERLINK("https://www.suredividend.com/sure-analysis-AXS/","AXIS Capital Holdings Ltd.")</f>
        <v>0</v>
      </c>
      <c r="C415" t="s">
        <v>613</v>
      </c>
      <c r="D415">
        <v>0.04459124690338501</v>
      </c>
      <c r="E415">
        <v>0.04453070645597657</v>
      </c>
      <c r="F415">
        <v>0.05</v>
      </c>
      <c r="G415">
        <v>0.1295049650258036</v>
      </c>
      <c r="H415" t="s">
        <v>317</v>
      </c>
      <c r="I415" t="s">
        <v>317</v>
      </c>
    </row>
    <row r="416" spans="1:9">
      <c r="A416" s="1" t="s">
        <v>423</v>
      </c>
      <c r="B416">
        <f>HYPERLINK("https://www.suredividend.com/sure-analysis-DTEGY/","Deutsche Telekom AG")</f>
        <v>0</v>
      </c>
      <c r="C416" t="s">
        <v>613</v>
      </c>
      <c r="D416">
        <v>0.032516268980477</v>
      </c>
      <c r="E416">
        <v>0.05412002826408346</v>
      </c>
      <c r="F416">
        <v>0.04</v>
      </c>
      <c r="G416">
        <v>0.1282949566527427</v>
      </c>
      <c r="H416" t="s">
        <v>317</v>
      </c>
      <c r="I416" t="s">
        <v>317</v>
      </c>
    </row>
    <row r="417" spans="1:9">
      <c r="A417" s="1" t="s">
        <v>424</v>
      </c>
      <c r="B417">
        <f>HYPERLINK("https://www.suredividend.com/sure-analysis-STAG/","STAG Industrial, Inc.")</f>
        <v>0</v>
      </c>
      <c r="C417" t="s">
        <v>614</v>
      </c>
      <c r="D417">
        <v>0.05737790232185701</v>
      </c>
      <c r="E417">
        <v>0.02686382908093154</v>
      </c>
      <c r="F417">
        <v>0.06</v>
      </c>
      <c r="G417">
        <v>0.1271819010958155</v>
      </c>
      <c r="H417" t="s">
        <v>317</v>
      </c>
      <c r="I417" t="s">
        <v>317</v>
      </c>
    </row>
    <row r="418" spans="1:9">
      <c r="A418" s="1" t="s">
        <v>425</v>
      </c>
      <c r="B418">
        <f>HYPERLINK("https://www.suredividend.com/sure-analysis-XRX/","Xerox Holdings Corp.")</f>
        <v>0</v>
      </c>
      <c r="C418" t="s">
        <v>613</v>
      </c>
      <c r="D418">
        <v>0.05988023952095801</v>
      </c>
      <c r="E418">
        <v>0.08451348646386037</v>
      </c>
      <c r="F418">
        <v>0</v>
      </c>
      <c r="G418">
        <v>0.1233436281187004</v>
      </c>
      <c r="H418" t="s">
        <v>317</v>
      </c>
      <c r="I418" t="s">
        <v>317</v>
      </c>
    </row>
    <row r="419" spans="1:9">
      <c r="A419" s="1" t="s">
        <v>426</v>
      </c>
      <c r="B419">
        <f>HYPERLINK("https://www.suredividend.com/sure-analysis-UBA/","Urstadt Biddle Properties, Inc.")</f>
        <v>0</v>
      </c>
      <c r="C419" t="s">
        <v>614</v>
      </c>
      <c r="D419">
        <v>0.08811802232854801</v>
      </c>
      <c r="E419">
        <v>-0.01405411985563831</v>
      </c>
      <c r="F419">
        <v>0.07000000000000001</v>
      </c>
      <c r="G419">
        <v>0.1183250726656682</v>
      </c>
      <c r="H419" t="s">
        <v>317</v>
      </c>
      <c r="I419" t="s">
        <v>618</v>
      </c>
    </row>
    <row r="420" spans="1:9">
      <c r="A420" s="1" t="s">
        <v>427</v>
      </c>
      <c r="B420">
        <f>HYPERLINK("https://www.suredividend.com/sure-analysis-HTA/","Healthcare Trust of America, Inc.")</f>
        <v>0</v>
      </c>
      <c r="C420" t="s">
        <v>614</v>
      </c>
      <c r="D420">
        <v>0.051203590371277</v>
      </c>
      <c r="E420">
        <v>0.0389723515130509</v>
      </c>
      <c r="F420">
        <v>0.04</v>
      </c>
      <c r="G420">
        <v>0.1172978574421344</v>
      </c>
      <c r="H420" t="s">
        <v>317</v>
      </c>
      <c r="I420" t="s">
        <v>317</v>
      </c>
    </row>
    <row r="421" spans="1:9">
      <c r="A421" s="1" t="s">
        <v>428</v>
      </c>
      <c r="B421">
        <f>HYPERLINK("https://www.suredividend.com/sure-analysis-GLW/","Corning, Inc.")</f>
        <v>0</v>
      </c>
      <c r="C421" t="s">
        <v>613</v>
      </c>
      <c r="D421">
        <v>0.039594398841139</v>
      </c>
      <c r="E421">
        <v>0.0188465090666261</v>
      </c>
      <c r="F421">
        <v>0.06</v>
      </c>
      <c r="G421">
        <v>0.1146278358692217</v>
      </c>
      <c r="H421" t="s">
        <v>317</v>
      </c>
      <c r="I421" t="s">
        <v>523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613</v>
      </c>
      <c r="D422">
        <v>0.04127358490566</v>
      </c>
      <c r="E422">
        <v>-0.01458908809266646</v>
      </c>
      <c r="F422">
        <v>0.08</v>
      </c>
      <c r="G422">
        <v>0.1145582721661507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0.0625375826819</v>
      </c>
      <c r="E423">
        <v>0.01185465168192157</v>
      </c>
      <c r="F423">
        <v>0.047</v>
      </c>
      <c r="G423">
        <v>0.1116170635198652</v>
      </c>
      <c r="H423" t="s">
        <v>317</v>
      </c>
      <c r="I423" t="s">
        <v>317</v>
      </c>
    </row>
    <row r="424" spans="1:9">
      <c r="A424" s="1" t="s">
        <v>431</v>
      </c>
      <c r="B424">
        <f>HYPERLINK("https://www.suredividend.com/sure-analysis-BHP/","BHP Group Ltd.")</f>
        <v>0</v>
      </c>
      <c r="C424" t="s">
        <v>613</v>
      </c>
      <c r="D424">
        <v>0.07262569832402201</v>
      </c>
      <c r="E424">
        <v>0.05558435425863872</v>
      </c>
      <c r="F424">
        <v>0.01</v>
      </c>
      <c r="G424">
        <v>0.1111645439581723</v>
      </c>
      <c r="H424" t="s">
        <v>317</v>
      </c>
      <c r="I424" t="s">
        <v>371</v>
      </c>
    </row>
    <row r="425" spans="1:9">
      <c r="A425" s="1" t="s">
        <v>432</v>
      </c>
      <c r="B425">
        <f>HYPERLINK("https://www.suredividend.com/sure-analysis-COP/","ConocoPhillips")</f>
        <v>0</v>
      </c>
      <c r="C425" t="s">
        <v>613</v>
      </c>
      <c r="D425">
        <v>0.035811311434922</v>
      </c>
      <c r="E425">
        <v>-0.021766375758558</v>
      </c>
      <c r="F425">
        <v>0.1</v>
      </c>
      <c r="G425">
        <v>0.1107624762041635</v>
      </c>
      <c r="H425" t="s">
        <v>317</v>
      </c>
      <c r="I425" t="s">
        <v>317</v>
      </c>
    </row>
    <row r="426" spans="1:9">
      <c r="A426" s="1" t="s">
        <v>433</v>
      </c>
      <c r="B426">
        <f>HYPERLINK("https://www.suredividend.com/sure-analysis-DD/","DuPont de Nemours, Inc.")</f>
        <v>0</v>
      </c>
      <c r="C426" t="s">
        <v>613</v>
      </c>
      <c r="D426">
        <v>0.029972752043596</v>
      </c>
      <c r="E426">
        <v>0.01407536360886485</v>
      </c>
      <c r="F426">
        <v>0.07000000000000001</v>
      </c>
      <c r="G426">
        <v>0.1085057644815763</v>
      </c>
      <c r="H426" t="s">
        <v>317</v>
      </c>
      <c r="I426" t="s">
        <v>523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613</v>
      </c>
      <c r="D427">
        <v>0.04872556221057901</v>
      </c>
      <c r="E427">
        <v>0.02165206758313198</v>
      </c>
      <c r="F427">
        <v>0.04</v>
      </c>
      <c r="G427">
        <v>0.1079582112965005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HYPERLINK("https://www.suredividend.com/sure-analysis-SAN/","Banco Santander SA")</f>
        <v>0</v>
      </c>
      <c r="C428" t="s">
        <v>613</v>
      </c>
      <c r="D428">
        <v>0.054292682926829</v>
      </c>
      <c r="E428">
        <v>0.1043372318790821</v>
      </c>
      <c r="F428">
        <v>0</v>
      </c>
      <c r="G428">
        <v>0.1043372318790821</v>
      </c>
      <c r="H428" t="s">
        <v>317</v>
      </c>
      <c r="I428" t="s">
        <v>371</v>
      </c>
    </row>
    <row r="429" spans="1:9">
      <c r="A429" s="1" t="s">
        <v>436</v>
      </c>
      <c r="B429">
        <f>HYPERLINK("https://www.suredividend.com/sure-analysis-PM/","Philip Morris International, Inc.")</f>
        <v>0</v>
      </c>
      <c r="C429" t="s">
        <v>613</v>
      </c>
      <c r="D429">
        <v>0.065034965034965</v>
      </c>
      <c r="E429">
        <v>0.005248299184341221</v>
      </c>
      <c r="F429">
        <v>0.04</v>
      </c>
      <c r="G429">
        <v>0.09951411674371125</v>
      </c>
      <c r="H429" t="s">
        <v>317</v>
      </c>
      <c r="I429" t="s">
        <v>371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613</v>
      </c>
      <c r="D430">
        <v>0.042053364269141</v>
      </c>
      <c r="E430">
        <v>0.0419998938428221</v>
      </c>
      <c r="F430">
        <v>0.02</v>
      </c>
      <c r="G430">
        <v>0.09695181676420495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613</v>
      </c>
      <c r="D431">
        <v>0.042395336512983</v>
      </c>
      <c r="E431">
        <v>-0.02331779080783003</v>
      </c>
      <c r="F431">
        <v>0.075</v>
      </c>
      <c r="G431">
        <v>0.09627611102442035</v>
      </c>
      <c r="H431" t="s">
        <v>317</v>
      </c>
      <c r="I431" t="s">
        <v>317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613</v>
      </c>
      <c r="D432">
        <v>0.074682598954443</v>
      </c>
      <c r="E432">
        <v>0.04641010578791693</v>
      </c>
      <c r="F432">
        <v>-0.01</v>
      </c>
      <c r="G432">
        <v>0.09330997076562642</v>
      </c>
      <c r="H432" t="s">
        <v>317</v>
      </c>
      <c r="I432" t="s">
        <v>371</v>
      </c>
    </row>
    <row r="433" spans="1:9">
      <c r="A433" s="1" t="s">
        <v>440</v>
      </c>
      <c r="B433">
        <f>HYPERLINK("https://www.suredividend.com/sure-analysis-TCP/","TC Pipelines LP")</f>
        <v>0</v>
      </c>
      <c r="C433" t="s">
        <v>615</v>
      </c>
      <c r="D433">
        <v>0.078407720144752</v>
      </c>
      <c r="E433">
        <v>0.005921953700375626</v>
      </c>
      <c r="F433">
        <v>0.02</v>
      </c>
      <c r="G433">
        <v>0.09321456401250972</v>
      </c>
      <c r="H433" t="s">
        <v>317</v>
      </c>
      <c r="I433" t="s">
        <v>371</v>
      </c>
    </row>
    <row r="434" spans="1:9">
      <c r="A434" s="1" t="s">
        <v>441</v>
      </c>
      <c r="B434">
        <f>HYPERLINK("https://www.suredividend.com/sure-analysis-STX/","Seagate Technology Plc")</f>
        <v>0</v>
      </c>
      <c r="C434" t="s">
        <v>613</v>
      </c>
      <c r="D434">
        <v>0.053872053872053</v>
      </c>
      <c r="E434">
        <v>0.00923059859687636</v>
      </c>
      <c r="F434">
        <v>0.04</v>
      </c>
      <c r="G434">
        <v>0.0931988692995509</v>
      </c>
      <c r="H434" t="s">
        <v>317</v>
      </c>
      <c r="I434" t="s">
        <v>371</v>
      </c>
    </row>
    <row r="435" spans="1:9">
      <c r="A435" s="1" t="s">
        <v>442</v>
      </c>
      <c r="B435">
        <f>HYPERLINK("https://www.suredividend.com/sure-analysis-DDAIF/","Daimler AG")</f>
        <v>0</v>
      </c>
      <c r="C435" t="s">
        <v>613</v>
      </c>
      <c r="D435">
        <v>0.101309226932668</v>
      </c>
      <c r="E435">
        <v>0.01169338764536887</v>
      </c>
      <c r="F435">
        <v>0.05</v>
      </c>
      <c r="G435">
        <v>0.09212890253796657</v>
      </c>
      <c r="H435" t="s">
        <v>317</v>
      </c>
      <c r="I435" t="s">
        <v>371</v>
      </c>
    </row>
    <row r="436" spans="1:9">
      <c r="A436" s="1" t="s">
        <v>443</v>
      </c>
      <c r="B436">
        <f>HYPERLINK("https://www.suredividend.com/sure-analysis-PKX/","POSCO")</f>
        <v>0</v>
      </c>
      <c r="C436" t="s">
        <v>613</v>
      </c>
      <c r="D436">
        <v>0.04530398899587301</v>
      </c>
      <c r="E436">
        <v>0.02622971294454834</v>
      </c>
      <c r="F436">
        <v>0.02</v>
      </c>
      <c r="G436">
        <v>0.09181371927766002</v>
      </c>
      <c r="H436" t="s">
        <v>317</v>
      </c>
      <c r="I436" t="s">
        <v>371</v>
      </c>
    </row>
    <row r="437" spans="1:9">
      <c r="A437" s="1" t="s">
        <v>444</v>
      </c>
      <c r="B437">
        <f>HYPERLINK("https://www.suredividend.com/sure-analysis-GSK/","GlaxoSmithKline Plc")</f>
        <v>0</v>
      </c>
      <c r="C437" t="s">
        <v>613</v>
      </c>
      <c r="D437">
        <v>0.04634694503420601</v>
      </c>
      <c r="E437">
        <v>0.01982195030735623</v>
      </c>
      <c r="F437">
        <v>0.03</v>
      </c>
      <c r="G437">
        <v>0.09104227537911158</v>
      </c>
      <c r="H437" t="s">
        <v>317</v>
      </c>
      <c r="I437" t="s">
        <v>317</v>
      </c>
    </row>
    <row r="438" spans="1:9">
      <c r="A438" s="1" t="s">
        <v>445</v>
      </c>
      <c r="B438">
        <f>HYPERLINK("https://www.suredividend.com/sure-analysis-TT/","Trane Technologies Plc")</f>
        <v>0</v>
      </c>
      <c r="C438" t="s">
        <v>613</v>
      </c>
      <c r="D438">
        <v>0.026559759458782</v>
      </c>
      <c r="E438">
        <v>-0.00255529402367527</v>
      </c>
      <c r="F438">
        <v>0.07000000000000001</v>
      </c>
      <c r="G438">
        <v>0.09093824250985172</v>
      </c>
      <c r="H438" t="s">
        <v>317</v>
      </c>
      <c r="I438" t="s">
        <v>523</v>
      </c>
    </row>
    <row r="439" spans="1:9">
      <c r="A439" s="1" t="s">
        <v>446</v>
      </c>
      <c r="B439">
        <f>HYPERLINK("https://www.suredividend.com/sure-analysis-SBUX/","Starbucks Corp.")</f>
        <v>0</v>
      </c>
      <c r="C439" t="s">
        <v>613</v>
      </c>
      <c r="D439">
        <v>0.02110745614035</v>
      </c>
      <c r="E439">
        <v>-0.0276293828011237</v>
      </c>
      <c r="F439">
        <v>0.1</v>
      </c>
      <c r="G439">
        <v>0.08969784098282307</v>
      </c>
      <c r="H439" t="s">
        <v>317</v>
      </c>
      <c r="I439" t="s">
        <v>523</v>
      </c>
    </row>
    <row r="440" spans="1:9">
      <c r="A440" s="1" t="s">
        <v>447</v>
      </c>
      <c r="B440">
        <f>HYPERLINK("https://www.suredividend.com/sure-analysis-KHC/","The Kraft Heinz Co.")</f>
        <v>0</v>
      </c>
      <c r="C440" t="s">
        <v>613</v>
      </c>
      <c r="D440">
        <v>0.05442176870748301</v>
      </c>
      <c r="E440">
        <v>0.01454960836569974</v>
      </c>
      <c r="F440">
        <v>0.03</v>
      </c>
      <c r="G440">
        <v>0.08784747980439578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HYPERLINK("https://www.suredividend.com/sure-analysis-TS/","Tenaris SA")</f>
        <v>0</v>
      </c>
      <c r="C441" t="s">
        <v>613</v>
      </c>
      <c r="D441">
        <v>0.015361240310077</v>
      </c>
      <c r="E441">
        <v>0.01137831645760157</v>
      </c>
      <c r="F441">
        <v>0.06</v>
      </c>
      <c r="G441">
        <v>0.08545536105180429</v>
      </c>
      <c r="H441" t="s">
        <v>317</v>
      </c>
      <c r="I441" t="s">
        <v>523</v>
      </c>
    </row>
    <row r="442" spans="1:9">
      <c r="A442" s="1" t="s">
        <v>449</v>
      </c>
      <c r="B442">
        <f>HYPERLINK("https://www.suredividend.com/sure-analysis-HRB/","H&amp;R Block, Inc.")</f>
        <v>0</v>
      </c>
      <c r="C442" t="s">
        <v>613</v>
      </c>
      <c r="D442">
        <v>0.06692406692406601</v>
      </c>
      <c r="E442">
        <v>-0.1041741667038044</v>
      </c>
      <c r="F442">
        <v>0.149</v>
      </c>
      <c r="G442">
        <v>0.08541856407182213</v>
      </c>
      <c r="H442" t="s">
        <v>317</v>
      </c>
      <c r="I442" t="s">
        <v>371</v>
      </c>
    </row>
    <row r="443" spans="1:9">
      <c r="A443" s="1" t="s">
        <v>450</v>
      </c>
      <c r="B443">
        <f>HYPERLINK("https://www.suredividend.com/sure-analysis-CBRL/","Cracker Barrel Old Country Store, Inc.")</f>
        <v>0</v>
      </c>
      <c r="C443" t="s">
        <v>613</v>
      </c>
      <c r="D443">
        <v>0.06156604901374701</v>
      </c>
      <c r="E443">
        <v>-0.09770873824783199</v>
      </c>
      <c r="F443">
        <v>0.151</v>
      </c>
      <c r="G443">
        <v>0.08496631562312329</v>
      </c>
      <c r="H443" t="s">
        <v>317</v>
      </c>
      <c r="I443" t="s">
        <v>371</v>
      </c>
    </row>
    <row r="444" spans="1:9">
      <c r="A444" s="1" t="s">
        <v>451</v>
      </c>
      <c r="B444">
        <f>HYPERLINK("https://www.suredividend.com/sure-analysis-DOC/","Physicians Realty Trust")</f>
        <v>0</v>
      </c>
      <c r="C444" t="s">
        <v>614</v>
      </c>
      <c r="D444">
        <v>0.06228842247799501</v>
      </c>
      <c r="E444">
        <v>0.02023100382782617</v>
      </c>
      <c r="F444">
        <v>0.017</v>
      </c>
      <c r="G444">
        <v>0.08470644889422596</v>
      </c>
      <c r="H444" t="s">
        <v>317</v>
      </c>
      <c r="I444" t="s">
        <v>371</v>
      </c>
    </row>
    <row r="445" spans="1:9">
      <c r="A445" s="1" t="s">
        <v>452</v>
      </c>
      <c r="B445">
        <f>HYPERLINK("https://www.suredividend.com/sure-analysis-LAMR/","Lamar Advertising Co.")</f>
        <v>0</v>
      </c>
      <c r="C445" t="s">
        <v>614</v>
      </c>
      <c r="D445">
        <v>0.07165515954469101</v>
      </c>
      <c r="E445">
        <v>-0.01080724643139075</v>
      </c>
      <c r="F445">
        <v>0.046</v>
      </c>
      <c r="G445">
        <v>0.08401960576622791</v>
      </c>
      <c r="H445" t="s">
        <v>317</v>
      </c>
      <c r="I445" t="s">
        <v>371</v>
      </c>
    </row>
    <row r="446" spans="1:9">
      <c r="A446" s="1" t="s">
        <v>453</v>
      </c>
      <c r="B446">
        <f>HYPERLINK("https://www.suredividend.com/sure-analysis-RCI/","Rogers Communications, Inc.")</f>
        <v>0</v>
      </c>
      <c r="C446" t="s">
        <v>613</v>
      </c>
      <c r="D446">
        <v>0.04939491232403</v>
      </c>
      <c r="E446">
        <v>-0.02318482150308943</v>
      </c>
      <c r="F446">
        <v>0.07000000000000001</v>
      </c>
      <c r="G446">
        <v>0.07714953140403624</v>
      </c>
      <c r="H446" t="s">
        <v>317</v>
      </c>
      <c r="I446" t="s">
        <v>371</v>
      </c>
    </row>
    <row r="447" spans="1:9">
      <c r="A447" s="1" t="s">
        <v>454</v>
      </c>
      <c r="B447">
        <f>HYPERLINK("https://www.suredividend.com/sure-analysis-OGZPY/","Gazprom PJSC")</f>
        <v>0</v>
      </c>
      <c r="C447" t="s">
        <v>613</v>
      </c>
      <c r="D447">
        <v>0.101224899598393</v>
      </c>
      <c r="E447">
        <v>-0.06810337190417504</v>
      </c>
      <c r="F447">
        <v>0.08</v>
      </c>
      <c r="G447">
        <v>0.07599573147891947</v>
      </c>
      <c r="H447" t="s">
        <v>317</v>
      </c>
      <c r="I447" t="s">
        <v>371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613</v>
      </c>
      <c r="D448">
        <v>0.06294684488654001</v>
      </c>
      <c r="E448">
        <v>0.02003947753885926</v>
      </c>
      <c r="F448">
        <v>0</v>
      </c>
      <c r="G448">
        <v>0.07487914101468296</v>
      </c>
      <c r="H448" t="s">
        <v>317</v>
      </c>
      <c r="I448" t="s">
        <v>371</v>
      </c>
    </row>
    <row r="449" spans="1:9">
      <c r="A449" s="1" t="s">
        <v>456</v>
      </c>
      <c r="B449">
        <f>HYPERLINK("https://www.suredividend.com/sure-analysis-DRETF/","Dream Office Real Estate Investment Trust")</f>
        <v>0</v>
      </c>
      <c r="C449" t="s">
        <v>613</v>
      </c>
      <c r="D449">
        <v>0.050005429081538</v>
      </c>
      <c r="E449">
        <v>-0.02176295932719763</v>
      </c>
      <c r="F449">
        <v>0.031</v>
      </c>
      <c r="G449">
        <v>0.07146028601957921</v>
      </c>
      <c r="H449" t="s">
        <v>317</v>
      </c>
      <c r="I449" t="s">
        <v>317</v>
      </c>
    </row>
    <row r="450" spans="1:9">
      <c r="A450" s="1" t="s">
        <v>457</v>
      </c>
      <c r="B450">
        <f>HYPERLINK("https://www.suredividend.com/sure-analysis-TSM/","Taiwan Semiconductor Manufacturing Co., Ltd.")</f>
        <v>0</v>
      </c>
      <c r="C450" t="s">
        <v>613</v>
      </c>
      <c r="D450">
        <v>0.02553322463073</v>
      </c>
      <c r="E450">
        <v>-0.04762798716426286</v>
      </c>
      <c r="F450">
        <v>0.09</v>
      </c>
      <c r="G450">
        <v>0.07135225154008573</v>
      </c>
      <c r="H450" t="s">
        <v>317</v>
      </c>
      <c r="I450" t="s">
        <v>523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613</v>
      </c>
      <c r="D451">
        <v>0.028959735805918</v>
      </c>
      <c r="E451">
        <v>0.007576624052174186</v>
      </c>
      <c r="F451">
        <v>0.03</v>
      </c>
      <c r="G451">
        <v>0.06734056002788424</v>
      </c>
      <c r="H451" t="s">
        <v>317</v>
      </c>
      <c r="I451" t="s">
        <v>523</v>
      </c>
    </row>
    <row r="452" spans="1:9">
      <c r="A452" s="1" t="s">
        <v>459</v>
      </c>
      <c r="B452">
        <f>HYPERLINK("https://www.suredividend.com/sure-analysis-WEN/","The Wendy's Co.")</f>
        <v>0</v>
      </c>
      <c r="C452" t="s">
        <v>613</v>
      </c>
      <c r="D452">
        <v>0.020781791192478</v>
      </c>
      <c r="E452">
        <v>-0.02543744906113798</v>
      </c>
      <c r="F452">
        <v>0.07000000000000001</v>
      </c>
      <c r="G452">
        <v>0.06604659697304749</v>
      </c>
      <c r="H452" t="s">
        <v>317</v>
      </c>
      <c r="I452" t="s">
        <v>523</v>
      </c>
    </row>
    <row r="453" spans="1:9">
      <c r="A453" s="1" t="s">
        <v>460</v>
      </c>
      <c r="B453">
        <f>HYPERLINK("https://www.suredividend.com/sure-analysis-COR/","CoreSite Realty Corp.")</f>
        <v>0</v>
      </c>
      <c r="C453" t="s">
        <v>614</v>
      </c>
      <c r="D453">
        <v>0.03997706234127901</v>
      </c>
      <c r="E453">
        <v>-0.03987145474713349</v>
      </c>
      <c r="F453">
        <v>0.063</v>
      </c>
      <c r="G453">
        <v>0.0581368588778437</v>
      </c>
      <c r="H453" t="s">
        <v>317</v>
      </c>
      <c r="I453" t="s">
        <v>317</v>
      </c>
    </row>
    <row r="454" spans="1:9">
      <c r="A454" s="1" t="s">
        <v>461</v>
      </c>
      <c r="B454">
        <f>HYPERLINK("https://www.suredividend.com/sure-analysis-RIO/","Rio Tinto Plc")</f>
        <v>0</v>
      </c>
      <c r="C454" t="s">
        <v>613</v>
      </c>
      <c r="D454">
        <v>0.08582341046955701</v>
      </c>
      <c r="E454">
        <v>-0.02671752688410378</v>
      </c>
      <c r="F454">
        <v>0.01</v>
      </c>
      <c r="G454">
        <v>0.05305656635849099</v>
      </c>
      <c r="H454" t="s">
        <v>317</v>
      </c>
      <c r="I454" t="s">
        <v>371</v>
      </c>
    </row>
    <row r="455" spans="1:9">
      <c r="A455" s="1" t="s">
        <v>462</v>
      </c>
      <c r="B455">
        <f>HYPERLINK("https://www.suredividend.com/sure-analysis-STZ/","Constellation Brands, Inc.")</f>
        <v>0</v>
      </c>
      <c r="C455" t="s">
        <v>613</v>
      </c>
      <c r="D455">
        <v>0.018129079042784</v>
      </c>
      <c r="E455">
        <v>-0.01471321522956748</v>
      </c>
      <c r="F455">
        <v>0.05</v>
      </c>
      <c r="G455">
        <v>0.05259972445023187</v>
      </c>
      <c r="H455" t="s">
        <v>317</v>
      </c>
      <c r="I455" t="s">
        <v>523</v>
      </c>
    </row>
    <row r="456" spans="1:9">
      <c r="A456" s="1" t="s">
        <v>463</v>
      </c>
      <c r="B456">
        <f>HYPERLINK("https://www.suredividend.com/sure-analysis-ESS/","Essex Property Trust, Inc.")</f>
        <v>0</v>
      </c>
      <c r="C456" t="s">
        <v>614</v>
      </c>
      <c r="D456">
        <v>0.03231285471643301</v>
      </c>
      <c r="E456">
        <v>-0.01239705860278562</v>
      </c>
      <c r="F456">
        <v>0.029</v>
      </c>
      <c r="G456">
        <v>0.04647575906065327</v>
      </c>
      <c r="H456" t="s">
        <v>317</v>
      </c>
      <c r="I456" t="s">
        <v>317</v>
      </c>
    </row>
    <row r="457" spans="1:9">
      <c r="A457" s="1" t="s">
        <v>464</v>
      </c>
      <c r="B457">
        <f>HYPERLINK("https://www.suredividend.com/sure-analysis-CAG/","Conagra Brands, Inc.")</f>
        <v>0</v>
      </c>
      <c r="C457" t="s">
        <v>613</v>
      </c>
      <c r="D457">
        <v>0.025441484585453</v>
      </c>
      <c r="E457">
        <v>-0.01988924094451294</v>
      </c>
      <c r="F457">
        <v>0.04</v>
      </c>
      <c r="G457">
        <v>0.04455134470777877</v>
      </c>
      <c r="H457" t="s">
        <v>317</v>
      </c>
      <c r="I457" t="s">
        <v>523</v>
      </c>
    </row>
    <row r="458" spans="1:9">
      <c r="A458" s="1" t="s">
        <v>465</v>
      </c>
      <c r="B458">
        <f>HYPERLINK("https://www.suredividend.com/sure-analysis-PCAR/","PACCAR, Inc.")</f>
        <v>0</v>
      </c>
      <c r="C458" t="s">
        <v>613</v>
      </c>
      <c r="D458">
        <v>0.018740849194729</v>
      </c>
      <c r="E458">
        <v>-0.07681924336821289</v>
      </c>
      <c r="F458">
        <v>0.1</v>
      </c>
      <c r="G458">
        <v>0.04287418397409182</v>
      </c>
      <c r="H458" t="s">
        <v>317</v>
      </c>
      <c r="I458" t="s">
        <v>523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613</v>
      </c>
      <c r="D459">
        <v>0.022304832713754</v>
      </c>
      <c r="E459">
        <v>-0.05797588269417542</v>
      </c>
      <c r="F459">
        <v>0.08</v>
      </c>
      <c r="G459">
        <v>0.04102916485971231</v>
      </c>
      <c r="H459" t="s">
        <v>317</v>
      </c>
      <c r="I459" t="s">
        <v>523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614</v>
      </c>
      <c r="D460">
        <v>0.03777450016388</v>
      </c>
      <c r="E460">
        <v>-0.0415333259297207</v>
      </c>
      <c r="F460">
        <v>0.046</v>
      </c>
      <c r="G460">
        <v>0.03799657305270077</v>
      </c>
      <c r="H460" t="s">
        <v>317</v>
      </c>
      <c r="I460" t="s">
        <v>523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0.08832807570977901</v>
      </c>
      <c r="E461">
        <v>-0.02104734989978807</v>
      </c>
      <c r="F461">
        <v>0.02</v>
      </c>
      <c r="G461">
        <v>0.03583418208536893</v>
      </c>
      <c r="H461" t="s">
        <v>317</v>
      </c>
      <c r="I461" t="s">
        <v>618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613</v>
      </c>
      <c r="D462">
        <v>0.01696418671693</v>
      </c>
      <c r="E462">
        <v>-0.06043957932610411</v>
      </c>
      <c r="F462">
        <v>0.075</v>
      </c>
      <c r="G462">
        <v>0.03003740322554393</v>
      </c>
      <c r="H462" t="s">
        <v>317</v>
      </c>
      <c r="I462" t="s">
        <v>523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613</v>
      </c>
      <c r="D463">
        <v>0.014798297182242</v>
      </c>
      <c r="E463">
        <v>-0.05759389452533459</v>
      </c>
      <c r="F463">
        <v>0.07000000000000001</v>
      </c>
      <c r="G463">
        <v>0.0267864552867989</v>
      </c>
      <c r="H463" t="s">
        <v>317</v>
      </c>
      <c r="I463" t="s">
        <v>523</v>
      </c>
    </row>
    <row r="464" spans="1:9">
      <c r="A464" s="1" t="s">
        <v>471</v>
      </c>
      <c r="B464">
        <f>HYPERLINK("https://www.suredividend.com/sure-analysis-DEA/","Easterly Government Properties, Inc.")</f>
        <v>0</v>
      </c>
      <c r="C464" t="s">
        <v>614</v>
      </c>
      <c r="D464">
        <v>0.040561622464898</v>
      </c>
      <c r="E464">
        <v>-0.05451376416108256</v>
      </c>
      <c r="F464">
        <v>0.034</v>
      </c>
      <c r="G464">
        <v>0.02347215492924604</v>
      </c>
      <c r="H464" t="s">
        <v>317</v>
      </c>
      <c r="I464" t="s">
        <v>317</v>
      </c>
    </row>
    <row r="465" spans="1:9">
      <c r="A465" s="1" t="s">
        <v>472</v>
      </c>
      <c r="B465">
        <f>HYPERLINK("https://www.suredividend.com/sure-analysis-LAND/","Gladstone Land Corp.")</f>
        <v>0</v>
      </c>
      <c r="C465" t="s">
        <v>614</v>
      </c>
      <c r="D465">
        <v>0.033019287833827</v>
      </c>
      <c r="E465">
        <v>-0.04857812100136194</v>
      </c>
      <c r="F465">
        <v>0.03</v>
      </c>
      <c r="G465">
        <v>0.01951221878841825</v>
      </c>
      <c r="H465" t="s">
        <v>317</v>
      </c>
      <c r="I465" t="s">
        <v>523</v>
      </c>
    </row>
    <row r="466" spans="1:9">
      <c r="A466" s="1" t="s">
        <v>473</v>
      </c>
      <c r="B466">
        <f>HYPERLINK("https://www.suredividend.com/sure-analysis-CME/","CME Group, Inc.")</f>
        <v>0</v>
      </c>
      <c r="C466" t="s">
        <v>613</v>
      </c>
      <c r="D466">
        <v>0.017846862406447</v>
      </c>
      <c r="E466">
        <v>-0.05015434728800305</v>
      </c>
      <c r="F466">
        <v>0.043</v>
      </c>
      <c r="G466">
        <v>0.01221649934949975</v>
      </c>
      <c r="H466" t="s">
        <v>317</v>
      </c>
      <c r="I466" t="s">
        <v>523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613</v>
      </c>
      <c r="D467">
        <v>0.032051282051282</v>
      </c>
      <c r="E467">
        <v>-0.06343911827473592</v>
      </c>
      <c r="F467">
        <v>0.04</v>
      </c>
      <c r="G467">
        <v>0.0110934634558737</v>
      </c>
      <c r="H467" t="s">
        <v>317</v>
      </c>
      <c r="I467" t="s">
        <v>317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0.077712609970674</v>
      </c>
      <c r="E468">
        <v>-0.09289707548439607</v>
      </c>
      <c r="F468">
        <v>0.05</v>
      </c>
      <c r="G468">
        <v>0.007713341916449235</v>
      </c>
      <c r="H468" t="s">
        <v>317</v>
      </c>
      <c r="I468" t="s">
        <v>371</v>
      </c>
    </row>
    <row r="469" spans="1:9">
      <c r="A469" s="1" t="s">
        <v>476</v>
      </c>
      <c r="B469">
        <f>HYPERLINK("https://www.suredividend.com/sure-analysis-ETN/","Eaton Corp. Plc")</f>
        <v>0</v>
      </c>
      <c r="C469" t="s">
        <v>613</v>
      </c>
      <c r="D469">
        <v>0.035785785785785</v>
      </c>
      <c r="E469">
        <v>-0.07619795162759813</v>
      </c>
      <c r="F469">
        <v>0.04</v>
      </c>
      <c r="G469">
        <v>0.0023877517330535</v>
      </c>
      <c r="H469" t="s">
        <v>317</v>
      </c>
      <c r="I469" t="s">
        <v>523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0.025351591413767</v>
      </c>
      <c r="E470">
        <v>-0.1067022793219459</v>
      </c>
      <c r="F470">
        <v>0.04</v>
      </c>
      <c r="G470">
        <v>-0.03779191496301681</v>
      </c>
      <c r="H470" t="s">
        <v>317</v>
      </c>
      <c r="I470" t="s">
        <v>523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0.008622371683140001</v>
      </c>
      <c r="E471">
        <v>-0.1205934991554372</v>
      </c>
      <c r="F471">
        <v>0</v>
      </c>
      <c r="G471">
        <v>-0.1058052694416471</v>
      </c>
      <c r="H471" t="s">
        <v>317</v>
      </c>
      <c r="I471" t="s">
        <v>523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0.022201665124884</v>
      </c>
      <c r="E472">
        <v>-0.2058801335511847</v>
      </c>
      <c r="F472">
        <v>0.02</v>
      </c>
      <c r="G472">
        <v>-0.1424958918151054</v>
      </c>
      <c r="H472" t="s">
        <v>317</v>
      </c>
      <c r="I472" t="s">
        <v>523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0.458715596330275</v>
      </c>
      <c r="E473">
        <v>0.3680169632971129</v>
      </c>
      <c r="F473">
        <v>0</v>
      </c>
      <c r="G473">
        <v>0.4803714819458942</v>
      </c>
      <c r="H473" t="s">
        <v>523</v>
      </c>
      <c r="I473" t="s">
        <v>618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615</v>
      </c>
      <c r="D474">
        <v>0.421455938697318</v>
      </c>
      <c r="E474">
        <v>0.298044764779599</v>
      </c>
      <c r="F474">
        <v>0.02</v>
      </c>
      <c r="G474">
        <v>0.4291106290903801</v>
      </c>
      <c r="H474" t="s">
        <v>523</v>
      </c>
      <c r="I474" t="s">
        <v>618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613</v>
      </c>
      <c r="D475">
        <v>0.312178387650085</v>
      </c>
      <c r="E475">
        <v>0.2181758822691771</v>
      </c>
      <c r="F475">
        <v>0.03</v>
      </c>
      <c r="G475">
        <v>0.3497205574809923</v>
      </c>
      <c r="H475" t="s">
        <v>523</v>
      </c>
      <c r="I475" t="s">
        <v>618</v>
      </c>
    </row>
    <row r="476" spans="1:9">
      <c r="A476" s="1" t="s">
        <v>483</v>
      </c>
      <c r="B476">
        <f>HYPERLINK("https://www.suredividend.com/sure-analysis-BPY/","Brookfield Property Partners LP")</f>
        <v>0</v>
      </c>
      <c r="C476" t="s">
        <v>614</v>
      </c>
      <c r="D476">
        <v>0.155294117647058</v>
      </c>
      <c r="E476">
        <v>0.2081661282749374</v>
      </c>
      <c r="F476">
        <v>0.05</v>
      </c>
      <c r="G476">
        <v>0.3292442412260783</v>
      </c>
      <c r="H476" t="s">
        <v>523</v>
      </c>
      <c r="I476" t="s">
        <v>618</v>
      </c>
    </row>
    <row r="477" spans="1:9">
      <c r="A477" s="1" t="s">
        <v>484</v>
      </c>
      <c r="B477">
        <f>HYPERLINK("https://www.suredividend.com/sure-analysis-EPR/","EPR Properties")</f>
        <v>0</v>
      </c>
      <c r="C477" t="s">
        <v>614</v>
      </c>
      <c r="D477">
        <v>0.169619298906897</v>
      </c>
      <c r="E477">
        <v>0.2009368462112329</v>
      </c>
      <c r="F477">
        <v>0.05</v>
      </c>
      <c r="G477">
        <v>0.3285830474993738</v>
      </c>
      <c r="H477" t="s">
        <v>523</v>
      </c>
      <c r="I477" t="s">
        <v>618</v>
      </c>
    </row>
    <row r="478" spans="1:9">
      <c r="A478" s="1" t="s">
        <v>485</v>
      </c>
      <c r="B478">
        <f>HYPERLINK("https://www.suredividend.com/sure-analysis-CLDT/","Chatham Lodging Trust")</f>
        <v>0</v>
      </c>
      <c r="C478" t="s">
        <v>614</v>
      </c>
      <c r="D478">
        <v>0.214634146341463</v>
      </c>
      <c r="E478">
        <v>0.212012539154832</v>
      </c>
      <c r="F478">
        <v>0.02</v>
      </c>
      <c r="G478">
        <v>0.3130439944738526</v>
      </c>
      <c r="H478" t="s">
        <v>523</v>
      </c>
      <c r="I478" t="s">
        <v>618</v>
      </c>
    </row>
    <row r="479" spans="1:9">
      <c r="A479" s="1" t="s">
        <v>486</v>
      </c>
      <c r="B479">
        <f>HYPERLINK("https://www.suredividend.com/sure-analysis-CIM/","Chimera Investment Corp.")</f>
        <v>0</v>
      </c>
      <c r="C479" t="s">
        <v>613</v>
      </c>
      <c r="D479">
        <v>0.255102040816326</v>
      </c>
      <c r="E479">
        <v>0.1641698793020858</v>
      </c>
      <c r="F479">
        <v>0.026</v>
      </c>
      <c r="G479">
        <v>0.3009516749625956</v>
      </c>
      <c r="H479" t="s">
        <v>523</v>
      </c>
      <c r="I479" t="s">
        <v>618</v>
      </c>
    </row>
    <row r="480" spans="1:9">
      <c r="A480" s="1" t="s">
        <v>487</v>
      </c>
      <c r="B480">
        <f>HYPERLINK("https://www.suredividend.com/sure-analysis-OXY/","Occidental Petroleum Corp.")</f>
        <v>0</v>
      </c>
      <c r="C480" t="s">
        <v>613</v>
      </c>
      <c r="D480">
        <v>0.235074626865671</v>
      </c>
      <c r="E480">
        <v>-0.1304552748193449</v>
      </c>
      <c r="F480">
        <v>0.38</v>
      </c>
      <c r="G480">
        <v>0.2954125323310115</v>
      </c>
      <c r="H480" t="s">
        <v>523</v>
      </c>
      <c r="I480" t="s">
        <v>371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615</v>
      </c>
      <c r="D481">
        <v>0.272727272727272</v>
      </c>
      <c r="E481">
        <v>0.154315729866503</v>
      </c>
      <c r="F481">
        <v>0.01</v>
      </c>
      <c r="G481">
        <v>0.2810595268385034</v>
      </c>
      <c r="H481" t="s">
        <v>523</v>
      </c>
      <c r="I481" t="s">
        <v>618</v>
      </c>
    </row>
    <row r="482" spans="1:9">
      <c r="A482" s="1" t="s">
        <v>489</v>
      </c>
      <c r="B482">
        <f>HYPERLINK("https://www.suredividend.com/sure-analysis-APA/","Apache Corp.")</f>
        <v>0</v>
      </c>
      <c r="C482" t="s">
        <v>613</v>
      </c>
      <c r="D482">
        <v>0.08613264427217901</v>
      </c>
      <c r="E482">
        <v>-0.2260026034994236</v>
      </c>
      <c r="F482">
        <v>0.585</v>
      </c>
      <c r="G482">
        <v>0.2657455084674956</v>
      </c>
      <c r="H482" t="s">
        <v>523</v>
      </c>
      <c r="I482" t="s">
        <v>317</v>
      </c>
    </row>
    <row r="483" spans="1:9">
      <c r="A483" s="1" t="s">
        <v>490</v>
      </c>
      <c r="B483">
        <f>HYPERLINK("https://www.suredividend.com/sure-analysis-ALARF/","Alaris Royalty Corp.")</f>
        <v>0</v>
      </c>
      <c r="C483" t="s">
        <v>613</v>
      </c>
      <c r="D483">
        <v>0.186162931587702</v>
      </c>
      <c r="E483">
        <v>0.1431252679700847</v>
      </c>
      <c r="F483">
        <v>0.02</v>
      </c>
      <c r="G483">
        <v>0.254969132705466</v>
      </c>
      <c r="H483" t="s">
        <v>523</v>
      </c>
      <c r="I483" t="s">
        <v>618</v>
      </c>
    </row>
    <row r="484" spans="1:9">
      <c r="A484" s="1" t="s">
        <v>491</v>
      </c>
      <c r="B484">
        <f>HYPERLINK("https://www.suredividend.com/sure-analysis-DHC/","Diversified Healthcare Trust")</f>
        <v>0</v>
      </c>
      <c r="C484" t="s">
        <v>614</v>
      </c>
      <c r="D484">
        <v>0.281879194630872</v>
      </c>
      <c r="E484">
        <v>0.1399667358698067</v>
      </c>
      <c r="F484">
        <v>-0.01</v>
      </c>
      <c r="G484">
        <v>0.2506688808324766</v>
      </c>
      <c r="H484" t="s">
        <v>523</v>
      </c>
      <c r="I484" t="s">
        <v>618</v>
      </c>
    </row>
    <row r="485" spans="1:9">
      <c r="A485" s="1" t="s">
        <v>492</v>
      </c>
      <c r="B485">
        <f>HYPERLINK("https://www.suredividend.com/sure-analysis-LUV/","Southwest Airlines Co.")</f>
        <v>0</v>
      </c>
      <c r="C485" t="s">
        <v>613</v>
      </c>
      <c r="D485">
        <v>0.028880866425992</v>
      </c>
      <c r="E485">
        <v>0.144607121143564</v>
      </c>
      <c r="F485">
        <v>0.08</v>
      </c>
      <c r="G485">
        <v>0.2423336175235418</v>
      </c>
      <c r="H485" t="s">
        <v>523</v>
      </c>
      <c r="I485" t="s">
        <v>523</v>
      </c>
    </row>
    <row r="486" spans="1:9">
      <c r="A486" s="1" t="s">
        <v>493</v>
      </c>
      <c r="B486">
        <f>HYPERLINK("https://www.suredividend.com/sure-analysis-FUN/","Cedar Fair LP")</f>
        <v>0</v>
      </c>
      <c r="C486" t="s">
        <v>613</v>
      </c>
      <c r="D486">
        <v>0.145085803432137</v>
      </c>
      <c r="E486">
        <v>0.1333042486962015</v>
      </c>
      <c r="F486">
        <v>0.027</v>
      </c>
      <c r="G486">
        <v>0.2408664899872108</v>
      </c>
      <c r="H486" t="s">
        <v>523</v>
      </c>
      <c r="I486" t="s">
        <v>371</v>
      </c>
    </row>
    <row r="487" spans="1:9">
      <c r="A487" s="1" t="s">
        <v>494</v>
      </c>
      <c r="B487">
        <f>HYPERLINK("https://www.suredividend.com/sure-analysis-M/","Macy's, Inc.")</f>
        <v>0</v>
      </c>
      <c r="C487" t="s">
        <v>613</v>
      </c>
      <c r="D487">
        <v>0.302605210420841</v>
      </c>
      <c r="E487">
        <v>0.1875817274087614</v>
      </c>
      <c r="F487">
        <v>-0.06</v>
      </c>
      <c r="G487">
        <v>0.2374981955230164</v>
      </c>
      <c r="H487" t="s">
        <v>523</v>
      </c>
      <c r="I487" t="s">
        <v>618</v>
      </c>
    </row>
    <row r="488" spans="1:9">
      <c r="A488" s="1" t="s">
        <v>495</v>
      </c>
      <c r="B488">
        <f>HYPERLINK("https://www.suredividend.com/sure-analysis-HP/","Helmerich &amp; Payne, Inc.")</f>
        <v>0</v>
      </c>
      <c r="C488" t="s">
        <v>613</v>
      </c>
      <c r="D488">
        <v>0.177944862155388</v>
      </c>
      <c r="E488">
        <v>-0.1123305674421696</v>
      </c>
      <c r="F488">
        <v>0.295</v>
      </c>
      <c r="G488">
        <v>0.2353297764965048</v>
      </c>
      <c r="H488" t="s">
        <v>523</v>
      </c>
      <c r="I488" t="s">
        <v>371</v>
      </c>
    </row>
    <row r="489" spans="1:9">
      <c r="A489" s="1" t="s">
        <v>496</v>
      </c>
      <c r="B489">
        <f>HYPERLINK("https://www.suredividend.com/sure-analysis-BA/","The Boeing Co.")</f>
        <v>0</v>
      </c>
      <c r="C489" t="s">
        <v>613</v>
      </c>
      <c r="D489">
        <v>0.06745445593303701</v>
      </c>
      <c r="E489">
        <v>0.0352764334682607</v>
      </c>
      <c r="F489">
        <v>0.15</v>
      </c>
      <c r="G489">
        <v>0.2253721147115899</v>
      </c>
      <c r="H489" t="s">
        <v>523</v>
      </c>
      <c r="I489" t="s">
        <v>317</v>
      </c>
    </row>
    <row r="490" spans="1:9">
      <c r="A490" s="1" t="s">
        <v>497</v>
      </c>
      <c r="B490">
        <f>HYPERLINK("https://www.suredividend.com/sure-analysis-SCM/","Stellus Capital Investment Corp.")</f>
        <v>0</v>
      </c>
      <c r="C490" t="s">
        <v>613</v>
      </c>
      <c r="D490">
        <v>0.18274193548387</v>
      </c>
      <c r="E490">
        <v>0.1057295730319741</v>
      </c>
      <c r="F490">
        <v>0.02</v>
      </c>
      <c r="G490">
        <v>0.2252679892407468</v>
      </c>
      <c r="H490" t="s">
        <v>523</v>
      </c>
      <c r="I490" t="s">
        <v>371</v>
      </c>
    </row>
    <row r="491" spans="1:9">
      <c r="A491" s="1" t="s">
        <v>498</v>
      </c>
      <c r="B491">
        <f>HYPERLINK("https://www.suredividend.com/sure-analysis-MGM/","MGM Resorts International")</f>
        <v>0</v>
      </c>
      <c r="C491" t="s">
        <v>613</v>
      </c>
      <c r="D491">
        <v>0.03882099209202</v>
      </c>
      <c r="E491">
        <v>-0.07702903641451808</v>
      </c>
      <c r="F491">
        <v>0.29</v>
      </c>
      <c r="G491">
        <v>0.214258405304071</v>
      </c>
      <c r="H491" t="s">
        <v>523</v>
      </c>
      <c r="I491" t="s">
        <v>523</v>
      </c>
    </row>
    <row r="492" spans="1:9">
      <c r="A492" s="1" t="s">
        <v>499</v>
      </c>
      <c r="B492">
        <f>HYPERLINK("https://www.suredividend.com/sure-analysis-CPTA/","Capitala Finance Corp.")</f>
        <v>0</v>
      </c>
      <c r="C492" t="s">
        <v>613</v>
      </c>
      <c r="D492">
        <v>0.380076045627376</v>
      </c>
      <c r="E492">
        <v>-0.2483039842469874</v>
      </c>
      <c r="F492">
        <v>0.476</v>
      </c>
      <c r="G492">
        <v>0.2061655731035497</v>
      </c>
      <c r="H492" t="s">
        <v>523</v>
      </c>
      <c r="I492" t="s">
        <v>371</v>
      </c>
    </row>
    <row r="493" spans="1:9">
      <c r="A493" s="1" t="s">
        <v>500</v>
      </c>
      <c r="B493">
        <f>HYPERLINK("https://www.suredividend.com/sure-analysis-TWO/","Two Harbors Investment Corp.")</f>
        <v>0</v>
      </c>
      <c r="C493" t="s">
        <v>614</v>
      </c>
      <c r="D493">
        <v>0.372767857142857</v>
      </c>
      <c r="E493">
        <v>0.1172833265253117</v>
      </c>
      <c r="F493">
        <v>0</v>
      </c>
      <c r="G493">
        <v>0.2050289550800821</v>
      </c>
      <c r="H493" t="s">
        <v>523</v>
      </c>
      <c r="I493" t="s">
        <v>371</v>
      </c>
    </row>
    <row r="494" spans="1:9">
      <c r="A494" s="1" t="s">
        <v>501</v>
      </c>
      <c r="B494">
        <f>HYPERLINK("https://www.suredividend.com/sure-analysis-WSR/","Whitestone REIT")</f>
        <v>0</v>
      </c>
      <c r="C494" t="s">
        <v>614</v>
      </c>
      <c r="D494">
        <v>0.197573656845753</v>
      </c>
      <c r="E494">
        <v>0.1222273325586438</v>
      </c>
      <c r="F494">
        <v>0</v>
      </c>
      <c r="G494">
        <v>0.2039400573026215</v>
      </c>
      <c r="H494" t="s">
        <v>523</v>
      </c>
      <c r="I494" t="s">
        <v>371</v>
      </c>
    </row>
    <row r="495" spans="1:9">
      <c r="A495" s="1" t="s">
        <v>502</v>
      </c>
      <c r="B495">
        <f>HYPERLINK("https://www.suredividend.com/sure-analysis-SSREY/","Swiss Re AG")</f>
        <v>0</v>
      </c>
      <c r="C495" t="s">
        <v>613</v>
      </c>
      <c r="D495">
        <v>0.09061187762447501</v>
      </c>
      <c r="E495">
        <v>0.06649407550659414</v>
      </c>
      <c r="F495">
        <v>0.08</v>
      </c>
      <c r="G495">
        <v>0.2011028879300032</v>
      </c>
      <c r="H495" t="s">
        <v>523</v>
      </c>
      <c r="I495" t="s">
        <v>371</v>
      </c>
    </row>
    <row r="496" spans="1:9">
      <c r="A496" s="1" t="s">
        <v>503</v>
      </c>
      <c r="B496">
        <f>HYPERLINK("https://www.suredividend.com/sure-analysis-WFC/","Wells Fargo &amp; Co.")</f>
        <v>0</v>
      </c>
      <c r="C496" t="s">
        <v>613</v>
      </c>
      <c r="D496">
        <v>0.07731354939476701</v>
      </c>
      <c r="E496">
        <v>0.1176532496473728</v>
      </c>
      <c r="F496">
        <v>0.03</v>
      </c>
      <c r="G496">
        <v>0.1975784127885913</v>
      </c>
      <c r="H496" t="s">
        <v>523</v>
      </c>
      <c r="I496" t="s">
        <v>317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614</v>
      </c>
      <c r="D497">
        <v>0.178010471204188</v>
      </c>
      <c r="E497">
        <v>0.06496522811163508</v>
      </c>
      <c r="F497">
        <v>0.02</v>
      </c>
      <c r="G497">
        <v>0.1924365582400001</v>
      </c>
      <c r="H497" t="s">
        <v>523</v>
      </c>
      <c r="I497" t="s">
        <v>371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613</v>
      </c>
      <c r="D498">
        <v>0.074487895716946</v>
      </c>
      <c r="E498">
        <v>0.1309533377407337</v>
      </c>
      <c r="F498">
        <v>0.02</v>
      </c>
      <c r="G498">
        <v>0.1908825228697546</v>
      </c>
      <c r="H498" t="s">
        <v>523</v>
      </c>
      <c r="I498" t="s">
        <v>317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613</v>
      </c>
      <c r="D499">
        <v>0.136286201022146</v>
      </c>
      <c r="E499">
        <v>0.110668818598368</v>
      </c>
      <c r="F499">
        <v>0</v>
      </c>
      <c r="G499">
        <v>0.1899993297070894</v>
      </c>
      <c r="H499" t="s">
        <v>523</v>
      </c>
      <c r="I499" t="s">
        <v>371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613</v>
      </c>
      <c r="D500">
        <v>0.14308258811152</v>
      </c>
      <c r="E500">
        <v>0.1029792590089009</v>
      </c>
      <c r="F500">
        <v>0.05</v>
      </c>
      <c r="G500">
        <v>0.1891231899536701</v>
      </c>
      <c r="H500" t="s">
        <v>523</v>
      </c>
      <c r="I500" t="s">
        <v>371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613</v>
      </c>
      <c r="D501">
        <v>0.146788990825688</v>
      </c>
      <c r="E501">
        <v>0.08346755742078837</v>
      </c>
      <c r="F501">
        <v>0.02</v>
      </c>
      <c r="G501">
        <v>0.1873048478629267</v>
      </c>
      <c r="H501" t="s">
        <v>523</v>
      </c>
      <c r="I501" t="s">
        <v>618</v>
      </c>
    </row>
    <row r="502" spans="1:9">
      <c r="A502" s="1" t="s">
        <v>509</v>
      </c>
      <c r="B502">
        <f>HYPERLINK("https://www.suredividend.com/sure-analysis-WELL/","Welltower, Inc.")</f>
        <v>0</v>
      </c>
      <c r="C502" t="s">
        <v>614</v>
      </c>
      <c r="D502">
        <v>0.076787290379523</v>
      </c>
      <c r="E502">
        <v>0.1011637965442984</v>
      </c>
      <c r="F502">
        <v>0.03</v>
      </c>
      <c r="G502">
        <v>0.1829586204946139</v>
      </c>
      <c r="H502" t="s">
        <v>523</v>
      </c>
      <c r="I502" t="s">
        <v>371</v>
      </c>
    </row>
    <row r="503" spans="1:9">
      <c r="A503" s="1" t="s">
        <v>510</v>
      </c>
      <c r="B503">
        <f>HYPERLINK("https://www.suredividend.com/sure-analysis-KEY/","KeyCorp")</f>
        <v>0</v>
      </c>
      <c r="C503" t="s">
        <v>613</v>
      </c>
      <c r="D503">
        <v>0.06998069498069401</v>
      </c>
      <c r="E503">
        <v>0.09578999291774681</v>
      </c>
      <c r="F503">
        <v>0.04</v>
      </c>
      <c r="G503">
        <v>0.1822378287716131</v>
      </c>
      <c r="H503" t="s">
        <v>523</v>
      </c>
      <c r="I503" t="s">
        <v>317</v>
      </c>
    </row>
    <row r="504" spans="1:9">
      <c r="A504" s="1" t="s">
        <v>511</v>
      </c>
      <c r="B504">
        <f>HYPERLINK("https://www.suredividend.com/sure-analysis-HEP/","Holly Energy Partners LP")</f>
        <v>0</v>
      </c>
      <c r="C504" t="s">
        <v>615</v>
      </c>
      <c r="D504">
        <v>0.187064156206415</v>
      </c>
      <c r="E504">
        <v>0.06207125806326297</v>
      </c>
      <c r="F504">
        <v>0.04</v>
      </c>
      <c r="G504">
        <v>0.1782295244070944</v>
      </c>
      <c r="H504" t="s">
        <v>523</v>
      </c>
      <c r="I504" t="s">
        <v>618</v>
      </c>
    </row>
    <row r="505" spans="1:9">
      <c r="A505" s="1" t="s">
        <v>512</v>
      </c>
      <c r="B505">
        <f>HYPERLINK("https://www.suredividend.com/sure-analysis-SFL/","SFL Corp. Ltd.")</f>
        <v>0</v>
      </c>
      <c r="C505" t="s">
        <v>613</v>
      </c>
      <c r="D505">
        <v>0.142131979695431</v>
      </c>
      <c r="E505">
        <v>0.0509476404473832</v>
      </c>
      <c r="F505">
        <v>0.036</v>
      </c>
      <c r="G505">
        <v>0.176047016936961</v>
      </c>
      <c r="H505" t="s">
        <v>523</v>
      </c>
      <c r="I505" t="s">
        <v>371</v>
      </c>
    </row>
    <row r="506" spans="1:9">
      <c r="A506" s="1" t="s">
        <v>513</v>
      </c>
      <c r="B506">
        <f>HYPERLINK("https://www.suredividend.com/sure-analysis-HSBC/","HSBC Holdings Plc")</f>
        <v>0</v>
      </c>
      <c r="C506" t="s">
        <v>613</v>
      </c>
      <c r="D506">
        <v>0.102336825141015</v>
      </c>
      <c r="E506">
        <v>0.09118491194977141</v>
      </c>
      <c r="F506">
        <v>0.02</v>
      </c>
      <c r="G506">
        <v>0.1722669325794055</v>
      </c>
      <c r="H506" t="s">
        <v>523</v>
      </c>
      <c r="I506" t="s">
        <v>371</v>
      </c>
    </row>
    <row r="507" spans="1:9">
      <c r="A507" s="1" t="s">
        <v>514</v>
      </c>
      <c r="B507">
        <f>HYPERLINK("https://www.suredividend.com/sure-analysis-CAKE/","Cheesecake Factory, Inc.")</f>
        <v>0</v>
      </c>
      <c r="C507" t="s">
        <v>613</v>
      </c>
      <c r="D507">
        <v>0.071537290715372</v>
      </c>
      <c r="E507">
        <v>-0.06147724296022594</v>
      </c>
      <c r="F507">
        <v>0.198</v>
      </c>
      <c r="G507">
        <v>0.1685807725690982</v>
      </c>
      <c r="H507" t="s">
        <v>523</v>
      </c>
      <c r="I507" t="s">
        <v>317</v>
      </c>
    </row>
    <row r="508" spans="1:9">
      <c r="A508" s="1" t="s">
        <v>515</v>
      </c>
      <c r="B508">
        <f>HYPERLINK("https://www.suredividend.com/sure-analysis-OZK/","Bank OZK")</f>
        <v>0</v>
      </c>
      <c r="C508" t="s">
        <v>613</v>
      </c>
      <c r="D508">
        <v>0.047992164544564</v>
      </c>
      <c r="E508">
        <v>0.07912928578583145</v>
      </c>
      <c r="F508">
        <v>0.05</v>
      </c>
      <c r="G508">
        <v>0.1679827731205175</v>
      </c>
      <c r="H508" t="s">
        <v>523</v>
      </c>
      <c r="I508" t="s">
        <v>523</v>
      </c>
    </row>
    <row r="509" spans="1:9">
      <c r="A509" s="1" t="s">
        <v>516</v>
      </c>
      <c r="B509">
        <f>HYPERLINK("https://www.suredividend.com/sure-analysis-PSEC/","Prospect Capital Corp.")</f>
        <v>0</v>
      </c>
      <c r="C509" t="s">
        <v>616</v>
      </c>
      <c r="D509">
        <v>0.18</v>
      </c>
      <c r="E509">
        <v>0.04381922897226698</v>
      </c>
      <c r="F509">
        <v>0</v>
      </c>
      <c r="G509">
        <v>0.1634051513290324</v>
      </c>
      <c r="H509" t="s">
        <v>523</v>
      </c>
      <c r="I509" t="s">
        <v>371</v>
      </c>
    </row>
    <row r="510" spans="1:9">
      <c r="A510" s="1" t="s">
        <v>517</v>
      </c>
      <c r="B510">
        <f>HYPERLINK("https://www.suredividend.com/sure-analysis-SNP/","China Petroleum &amp; Chemical Corp.")</f>
        <v>0</v>
      </c>
      <c r="C510" t="s">
        <v>613</v>
      </c>
      <c r="D510">
        <v>0.106397909110305</v>
      </c>
      <c r="E510">
        <v>-0.0743161116770803</v>
      </c>
      <c r="F510">
        <v>0.2</v>
      </c>
      <c r="G510">
        <v>0.1616549751180358</v>
      </c>
      <c r="H510" t="s">
        <v>523</v>
      </c>
      <c r="I510" t="s">
        <v>371</v>
      </c>
    </row>
    <row r="511" spans="1:9">
      <c r="A511" s="1" t="s">
        <v>518</v>
      </c>
      <c r="B511">
        <f>HYPERLINK("https://www.suredividend.com/sure-analysis-GLAD/","Gladstone Capital Corp.")</f>
        <v>0</v>
      </c>
      <c r="C511" t="s">
        <v>613</v>
      </c>
      <c r="D511">
        <v>0.136437908496732</v>
      </c>
      <c r="E511">
        <v>0.0672105526199227</v>
      </c>
      <c r="F511">
        <v>0</v>
      </c>
      <c r="G511">
        <v>0.1564505578736128</v>
      </c>
      <c r="H511" t="s">
        <v>523</v>
      </c>
      <c r="I511" t="s">
        <v>371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613</v>
      </c>
      <c r="D512">
        <v>0.104113655640373</v>
      </c>
      <c r="E512">
        <v>-0.0004992513722557046</v>
      </c>
      <c r="F512">
        <v>0.09</v>
      </c>
      <c r="G512">
        <v>0.155338473492491</v>
      </c>
      <c r="H512" t="s">
        <v>523</v>
      </c>
      <c r="I512" t="s">
        <v>317</v>
      </c>
    </row>
    <row r="513" spans="1:9">
      <c r="A513" s="1" t="s">
        <v>520</v>
      </c>
      <c r="B513">
        <f>HYPERLINK("https://www.suredividend.com/sure-analysis-HAL/","Halliburton Co.")</f>
        <v>0</v>
      </c>
      <c r="C513" t="s">
        <v>613</v>
      </c>
      <c r="D513">
        <v>0.07531380753138001</v>
      </c>
      <c r="E513">
        <v>-0.03446273134955202</v>
      </c>
      <c r="F513">
        <v>0.149</v>
      </c>
      <c r="G513">
        <v>0.1532756845932075</v>
      </c>
      <c r="H513" t="s">
        <v>523</v>
      </c>
      <c r="I513" t="s">
        <v>317</v>
      </c>
    </row>
    <row r="514" spans="1:9">
      <c r="A514" s="1" t="s">
        <v>521</v>
      </c>
      <c r="B514">
        <f>HYPERLINK("https://www.suredividend.com/sure-analysis-HBAN/","Huntington Bancshares, Inc.")</f>
        <v>0</v>
      </c>
      <c r="C514" t="s">
        <v>613</v>
      </c>
      <c r="D514">
        <v>0.07168894289185901</v>
      </c>
      <c r="E514">
        <v>0.05935227852573655</v>
      </c>
      <c r="F514">
        <v>0.04</v>
      </c>
      <c r="G514">
        <v>0.1532568916645871</v>
      </c>
      <c r="H514" t="s">
        <v>523</v>
      </c>
      <c r="I514" t="s">
        <v>317</v>
      </c>
    </row>
    <row r="515" spans="1:9">
      <c r="A515" s="1" t="s">
        <v>522</v>
      </c>
      <c r="B515">
        <f>HYPERLINK("https://www.suredividend.com/sure-analysis-FTI/","TechnipFMC Plc")</f>
        <v>0</v>
      </c>
      <c r="C515" t="s">
        <v>613</v>
      </c>
      <c r="D515">
        <v>0.06979865771812001</v>
      </c>
      <c r="E515">
        <v>0.05725762040896742</v>
      </c>
      <c r="F515">
        <v>0.09</v>
      </c>
      <c r="G515">
        <v>0.1524108062457745</v>
      </c>
      <c r="H515" t="s">
        <v>523</v>
      </c>
      <c r="I515" t="s">
        <v>317</v>
      </c>
    </row>
    <row r="516" spans="1:9">
      <c r="A516" s="1" t="s">
        <v>523</v>
      </c>
      <c r="B516">
        <f>HYPERLINK("https://www.suredividend.com/sure-analysis-F/","Ford Motor Co.")</f>
        <v>0</v>
      </c>
      <c r="C516" t="s">
        <v>613</v>
      </c>
      <c r="D516">
        <v>0.123203285420944</v>
      </c>
      <c r="E516">
        <v>0.09595406741314383</v>
      </c>
      <c r="F516">
        <v>0.02</v>
      </c>
      <c r="G516">
        <v>0.1513145521571866</v>
      </c>
      <c r="H516" t="s">
        <v>523</v>
      </c>
      <c r="I516" t="s">
        <v>317</v>
      </c>
    </row>
    <row r="517" spans="1:9">
      <c r="A517" s="1" t="s">
        <v>524</v>
      </c>
      <c r="B517">
        <f>HYPERLINK("https://www.suredividend.com/sure-analysis-LTC/","LTC Properties, Inc.")</f>
        <v>0</v>
      </c>
      <c r="C517" t="s">
        <v>614</v>
      </c>
      <c r="D517">
        <v>0.06785714285714201</v>
      </c>
      <c r="E517">
        <v>0.06617447878286553</v>
      </c>
      <c r="F517">
        <v>0.03</v>
      </c>
      <c r="G517">
        <v>0.1438358654360838</v>
      </c>
      <c r="H517" t="s">
        <v>523</v>
      </c>
      <c r="I517" t="s">
        <v>317</v>
      </c>
    </row>
    <row r="518" spans="1:9">
      <c r="A518" s="1" t="s">
        <v>525</v>
      </c>
      <c r="B518">
        <f>HYPERLINK("https://www.suredividend.com/sure-analysis-R/","Ryder System, Inc.")</f>
        <v>0</v>
      </c>
      <c r="C518" t="s">
        <v>613</v>
      </c>
      <c r="D518">
        <v>0.068624420401854</v>
      </c>
      <c r="E518">
        <v>-0.1707376197682228</v>
      </c>
      <c r="F518">
        <v>0.325</v>
      </c>
      <c r="G518">
        <v>0.1437505880083425</v>
      </c>
      <c r="H518" t="s">
        <v>523</v>
      </c>
      <c r="I518" t="s">
        <v>317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613</v>
      </c>
      <c r="D519">
        <v>0.107632093933463</v>
      </c>
      <c r="E519">
        <v>0.04603607889133943</v>
      </c>
      <c r="F519">
        <v>0.021</v>
      </c>
      <c r="G519">
        <v>0.1383275869498737</v>
      </c>
      <c r="H519" t="s">
        <v>523</v>
      </c>
      <c r="I519" t="s">
        <v>371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613</v>
      </c>
      <c r="D520">
        <v>0.08235212560830001</v>
      </c>
      <c r="E520">
        <v>-0.1314984163328076</v>
      </c>
      <c r="F520">
        <v>0.25</v>
      </c>
      <c r="G520">
        <v>0.137260340705242</v>
      </c>
      <c r="H520" t="s">
        <v>523</v>
      </c>
      <c r="I520" t="s">
        <v>317</v>
      </c>
    </row>
    <row r="521" spans="1:9">
      <c r="A521" s="1" t="s">
        <v>528</v>
      </c>
      <c r="B521">
        <f>HYPERLINK("https://www.suredividend.com/sure-analysis-NTR/","Nutrien Ltd.")</f>
        <v>0</v>
      </c>
      <c r="C521" t="s">
        <v>613</v>
      </c>
      <c r="D521">
        <v>0.049446354097237</v>
      </c>
      <c r="E521">
        <v>0.05494513627200859</v>
      </c>
      <c r="F521">
        <v>0.04</v>
      </c>
      <c r="G521">
        <v>0.1361546046109123</v>
      </c>
      <c r="H521" t="s">
        <v>523</v>
      </c>
      <c r="I521" t="s">
        <v>317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613</v>
      </c>
      <c r="D522">
        <v>0.113458528951486</v>
      </c>
      <c r="E522">
        <v>-0.1392211829241229</v>
      </c>
      <c r="F522">
        <v>0.229</v>
      </c>
      <c r="G522">
        <v>0.1347404500363432</v>
      </c>
      <c r="H522" t="s">
        <v>523</v>
      </c>
      <c r="I522" t="s">
        <v>317</v>
      </c>
    </row>
    <row r="523" spans="1:9">
      <c r="A523" s="1" t="s">
        <v>530</v>
      </c>
      <c r="B523">
        <f>HYPERLINK("https://www.suredividend.com/sure-analysis-AM/","Antero Midstream Corp.")</f>
        <v>0</v>
      </c>
      <c r="C523" t="s">
        <v>613</v>
      </c>
      <c r="D523">
        <v>0.3</v>
      </c>
      <c r="E523">
        <v>-0.04019702207578146</v>
      </c>
      <c r="F523">
        <v>0.067</v>
      </c>
      <c r="G523">
        <v>0.1343755076496078</v>
      </c>
      <c r="H523" t="s">
        <v>523</v>
      </c>
      <c r="I523" t="s">
        <v>371</v>
      </c>
    </row>
    <row r="524" spans="1:9">
      <c r="A524" s="1" t="s">
        <v>531</v>
      </c>
      <c r="B524">
        <f>HYPERLINK("https://www.suredividend.com/sure-analysis-XOM/","Exxon Mobil Corp.")</f>
        <v>0</v>
      </c>
      <c r="C524" t="s">
        <v>613</v>
      </c>
      <c r="D524">
        <v>0.079108888383723</v>
      </c>
      <c r="E524">
        <v>-0.01033813805402894</v>
      </c>
      <c r="F524">
        <v>0.09</v>
      </c>
      <c r="G524">
        <v>0.132894358776912</v>
      </c>
      <c r="H524" t="s">
        <v>523</v>
      </c>
      <c r="I524" t="s">
        <v>317</v>
      </c>
    </row>
    <row r="525" spans="1:9">
      <c r="A525" s="1" t="s">
        <v>532</v>
      </c>
      <c r="B525">
        <f>HYPERLINK("https://www.suredividend.com/sure-analysis-WMB/","The Williams Cos., Inc.")</f>
        <v>0</v>
      </c>
      <c r="C525" t="s">
        <v>613</v>
      </c>
      <c r="D525">
        <v>0.082751209027404</v>
      </c>
      <c r="E525">
        <v>0.01797798503139325</v>
      </c>
      <c r="F525">
        <v>0.05</v>
      </c>
      <c r="G525">
        <v>0.1299956108919531</v>
      </c>
      <c r="H525" t="s">
        <v>523</v>
      </c>
      <c r="I525" t="s">
        <v>317</v>
      </c>
    </row>
    <row r="526" spans="1:9">
      <c r="A526" s="1" t="s">
        <v>533</v>
      </c>
      <c r="B526">
        <f>HYPERLINK("https://www.suredividend.com/sure-analysis-LMRK/","Landmark Infrastructure Partners LP")</f>
        <v>0</v>
      </c>
      <c r="C526" t="s">
        <v>615</v>
      </c>
      <c r="D526">
        <v>0.152647975077881</v>
      </c>
      <c r="E526">
        <v>0.03040638515317284</v>
      </c>
      <c r="F526">
        <v>0.025</v>
      </c>
      <c r="G526">
        <v>0.1299692895699369</v>
      </c>
      <c r="H526" t="s">
        <v>523</v>
      </c>
      <c r="I526" t="s">
        <v>371</v>
      </c>
    </row>
    <row r="527" spans="1:9">
      <c r="A527" s="1" t="s">
        <v>534</v>
      </c>
      <c r="B527">
        <f>HYPERLINK("https://www.suredividend.com/sure-analysis-BMWYY/","Bayerische Motoren Werke AG")</f>
        <v>0</v>
      </c>
      <c r="C527" t="s">
        <v>613</v>
      </c>
      <c r="D527">
        <v>0.07190160309563201</v>
      </c>
      <c r="E527">
        <v>-0.1505647410500791</v>
      </c>
      <c r="F527">
        <v>0.285</v>
      </c>
      <c r="G527">
        <v>0.1288201379078413</v>
      </c>
      <c r="H527" t="s">
        <v>523</v>
      </c>
      <c r="I527" t="s">
        <v>317</v>
      </c>
    </row>
    <row r="528" spans="1:9">
      <c r="A528" s="1" t="s">
        <v>535</v>
      </c>
      <c r="B528">
        <f>HYPERLINK("https://www.suredividend.com/sure-analysis-DOW/","Dow, Inc.")</f>
        <v>0</v>
      </c>
      <c r="C528" t="s">
        <v>613</v>
      </c>
      <c r="D528">
        <v>0.087609511889862</v>
      </c>
      <c r="E528">
        <v>0.03491777616199987</v>
      </c>
      <c r="F528">
        <v>0.03</v>
      </c>
      <c r="G528">
        <v>0.1283006176041412</v>
      </c>
      <c r="H528" t="s">
        <v>523</v>
      </c>
      <c r="I528" t="s">
        <v>317</v>
      </c>
    </row>
    <row r="529" spans="1:9">
      <c r="A529" s="1" t="s">
        <v>536</v>
      </c>
      <c r="B529">
        <f>HYPERLINK("https://www.suredividend.com/sure-analysis-APLE/","Apple Hospitality REIT, Inc.")</f>
        <v>0</v>
      </c>
      <c r="C529" t="s">
        <v>614</v>
      </c>
      <c r="D529">
        <v>0.144057623049219</v>
      </c>
      <c r="E529">
        <v>0.04370496106900568</v>
      </c>
      <c r="F529">
        <v>0.039</v>
      </c>
      <c r="G529">
        <v>0.1278192166170373</v>
      </c>
      <c r="H529" t="s">
        <v>523</v>
      </c>
      <c r="I529" t="s">
        <v>317</v>
      </c>
    </row>
    <row r="530" spans="1:9">
      <c r="A530" s="1" t="s">
        <v>537</v>
      </c>
      <c r="B530">
        <f>HYPERLINK("https://www.suredividend.com/sure-analysis-QSR/","Restaurant Brands International, Inc.")</f>
        <v>0</v>
      </c>
      <c r="C530" t="s">
        <v>613</v>
      </c>
      <c r="D530">
        <v>0.04172673954212201</v>
      </c>
      <c r="E530">
        <v>0.002489067190367678</v>
      </c>
      <c r="F530">
        <v>0.09</v>
      </c>
      <c r="G530">
        <v>0.1254358594748359</v>
      </c>
      <c r="H530" t="s">
        <v>523</v>
      </c>
      <c r="I530" t="s">
        <v>523</v>
      </c>
    </row>
    <row r="531" spans="1:9">
      <c r="A531" s="1" t="s">
        <v>538</v>
      </c>
      <c r="B531">
        <f>HYPERLINK("https://www.suredividend.com/sure-analysis-LVS/","Las Vegas Sands Corp.")</f>
        <v>0</v>
      </c>
      <c r="C531" t="s">
        <v>613</v>
      </c>
      <c r="D531">
        <v>0.066752799310938</v>
      </c>
      <c r="E531">
        <v>0.03403902252488944</v>
      </c>
      <c r="F531">
        <v>0.04</v>
      </c>
      <c r="G531">
        <v>0.1251078297747776</v>
      </c>
      <c r="H531" t="s">
        <v>523</v>
      </c>
      <c r="I531" t="s">
        <v>317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614</v>
      </c>
      <c r="D532">
        <v>0.146938775510204</v>
      </c>
      <c r="E532">
        <v>-0.4356377015232984</v>
      </c>
      <c r="F532">
        <v>0.904</v>
      </c>
      <c r="G532">
        <v>0.120089401566029</v>
      </c>
      <c r="H532" t="s">
        <v>523</v>
      </c>
      <c r="I532" t="s">
        <v>317</v>
      </c>
    </row>
    <row r="533" spans="1:9">
      <c r="A533" s="1" t="s">
        <v>540</v>
      </c>
      <c r="B533">
        <f>HYPERLINK("https://www.suredividend.com/sure-analysis-GNL/","Global Net Lease, Inc.")</f>
        <v>0</v>
      </c>
      <c r="C533" t="s">
        <v>614</v>
      </c>
      <c r="D533">
        <v>0.134776006074411</v>
      </c>
      <c r="E533">
        <v>0.005666496791038922</v>
      </c>
      <c r="F533">
        <v>0.015</v>
      </c>
      <c r="G533">
        <v>0.1185628355692845</v>
      </c>
      <c r="H533" t="s">
        <v>523</v>
      </c>
      <c r="I533" t="s">
        <v>371</v>
      </c>
    </row>
    <row r="534" spans="1:9">
      <c r="A534" s="1" t="s">
        <v>541</v>
      </c>
      <c r="B534">
        <f>HYPERLINK("https://www.suredividend.com/sure-analysis-MAIN/","Main Street Capital Corp.")</f>
        <v>0</v>
      </c>
      <c r="C534" t="s">
        <v>613</v>
      </c>
      <c r="D534">
        <v>0.09451101662156901</v>
      </c>
      <c r="E534">
        <v>0.005038227900156622</v>
      </c>
      <c r="F534">
        <v>0.02</v>
      </c>
      <c r="G534">
        <v>0.1182573086444181</v>
      </c>
      <c r="H534" t="s">
        <v>523</v>
      </c>
      <c r="I534" t="s">
        <v>371</v>
      </c>
    </row>
    <row r="535" spans="1:9">
      <c r="A535" s="1" t="s">
        <v>542</v>
      </c>
      <c r="B535">
        <f>HYPERLINK("https://www.suredividend.com/sure-analysis-PSX/","Phillips 66")</f>
        <v>0</v>
      </c>
      <c r="C535" t="s">
        <v>613</v>
      </c>
      <c r="D535">
        <v>0.050062578222778</v>
      </c>
      <c r="E535">
        <v>0.02759791239980869</v>
      </c>
      <c r="F535">
        <v>0.05</v>
      </c>
      <c r="G535">
        <v>0.1180588565810408</v>
      </c>
      <c r="H535" t="s">
        <v>523</v>
      </c>
      <c r="I535" t="s">
        <v>317</v>
      </c>
    </row>
    <row r="536" spans="1:9">
      <c r="A536" s="1" t="s">
        <v>543</v>
      </c>
      <c r="B536">
        <f>HYPERLINK("https://www.suredividend.com/sure-analysis-VGR/","Vector Group Ltd.")</f>
        <v>0</v>
      </c>
      <c r="C536" t="s">
        <v>613</v>
      </c>
      <c r="D536">
        <v>0.148780594904628</v>
      </c>
      <c r="E536">
        <v>0.0352962431771473</v>
      </c>
      <c r="F536">
        <v>0.03</v>
      </c>
      <c r="G536">
        <v>0.1177602738130155</v>
      </c>
      <c r="H536" t="s">
        <v>523</v>
      </c>
      <c r="I536" t="s">
        <v>371</v>
      </c>
    </row>
    <row r="537" spans="1:9">
      <c r="A537" s="1" t="s">
        <v>544</v>
      </c>
      <c r="B537">
        <f>HYPERLINK("https://www.suredividend.com/sure-analysis-ARI/","Apollo Commercial Real Estate Finance, Inc.")</f>
        <v>0</v>
      </c>
      <c r="C537" t="s">
        <v>614</v>
      </c>
      <c r="D537">
        <v>0.239895697522816</v>
      </c>
      <c r="E537">
        <v>-0.02586526421769075</v>
      </c>
      <c r="F537">
        <v>0.037</v>
      </c>
      <c r="G537">
        <v>0.1115919327428148</v>
      </c>
      <c r="H537" t="s">
        <v>523</v>
      </c>
      <c r="I537" t="s">
        <v>371</v>
      </c>
    </row>
    <row r="538" spans="1:9">
      <c r="A538" s="1" t="s">
        <v>545</v>
      </c>
      <c r="B538">
        <f>HYPERLINK("https://www.suredividend.com/sure-analysis-SLB/","Schlumberger NV")</f>
        <v>0</v>
      </c>
      <c r="C538" t="s">
        <v>613</v>
      </c>
      <c r="D538">
        <v>0.126422250316055</v>
      </c>
      <c r="E538">
        <v>0.03635085715536102</v>
      </c>
      <c r="F538">
        <v>0.05</v>
      </c>
      <c r="G538">
        <v>0.1110008164375837</v>
      </c>
      <c r="H538" t="s">
        <v>523</v>
      </c>
      <c r="I538" t="s">
        <v>317</v>
      </c>
    </row>
    <row r="539" spans="1:9">
      <c r="A539" s="1" t="s">
        <v>546</v>
      </c>
      <c r="B539">
        <f>HYPERLINK("https://www.suredividend.com/sure-analysis-GOOD/","Gladstone Commercial Corp.")</f>
        <v>0</v>
      </c>
      <c r="C539" t="s">
        <v>614</v>
      </c>
      <c r="D539">
        <v>0.09527619047619</v>
      </c>
      <c r="E539">
        <v>0.01972686961082504</v>
      </c>
      <c r="F539">
        <v>0.02</v>
      </c>
      <c r="G539">
        <v>0.1089074048875129</v>
      </c>
      <c r="H539" t="s">
        <v>523</v>
      </c>
      <c r="I539" t="s">
        <v>371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613</v>
      </c>
      <c r="D540">
        <v>0.12186400322841</v>
      </c>
      <c r="E540">
        <v>-0.03450130963274411</v>
      </c>
      <c r="F540">
        <v>0.05</v>
      </c>
      <c r="G540">
        <v>0.1084935861381577</v>
      </c>
      <c r="H540" t="s">
        <v>523</v>
      </c>
      <c r="I540" t="s">
        <v>371</v>
      </c>
    </row>
    <row r="541" spans="1:9">
      <c r="A541" s="1" t="s">
        <v>548</v>
      </c>
      <c r="B541">
        <f>HYPERLINK("https://www.suredividend.com/sure-analysis-PHG/","Koninklijke Philips NV")</f>
        <v>0</v>
      </c>
      <c r="C541" t="s">
        <v>613</v>
      </c>
      <c r="D541">
        <v>0.044421545667447</v>
      </c>
      <c r="E541">
        <v>0.0006057504094583166</v>
      </c>
      <c r="F541">
        <v>0.09</v>
      </c>
      <c r="G541">
        <v>0.1075521056167952</v>
      </c>
      <c r="H541" t="s">
        <v>523</v>
      </c>
      <c r="I541" t="s">
        <v>317</v>
      </c>
    </row>
    <row r="542" spans="1:9">
      <c r="A542" s="1" t="s">
        <v>549</v>
      </c>
      <c r="B542">
        <f>HYPERLINK("https://www.suredividend.com/sure-analysis-PEAK/","Healthpeak Properties, Inc.")</f>
        <v>0</v>
      </c>
      <c r="C542" t="s">
        <v>614</v>
      </c>
      <c r="D542">
        <v>0.061589679567207</v>
      </c>
      <c r="E542">
        <v>0.02859446600671878</v>
      </c>
      <c r="F542">
        <v>0.03</v>
      </c>
      <c r="G542">
        <v>0.106745474373739</v>
      </c>
      <c r="H542" t="s">
        <v>523</v>
      </c>
      <c r="I542" t="s">
        <v>317</v>
      </c>
    </row>
    <row r="543" spans="1:9">
      <c r="A543" s="1" t="s">
        <v>550</v>
      </c>
      <c r="B543">
        <f>HYPERLINK("https://www.suredividend.com/sure-analysis-CVX/","Chevron Corp.")</f>
        <v>0</v>
      </c>
      <c r="C543" t="s">
        <v>613</v>
      </c>
      <c r="D543">
        <v>0.053970016657412</v>
      </c>
      <c r="E543">
        <v>-0.0572205470888939</v>
      </c>
      <c r="F543">
        <v>0.13</v>
      </c>
      <c r="G543">
        <v>0.1065644443651323</v>
      </c>
      <c r="H543" t="s">
        <v>523</v>
      </c>
      <c r="I543" t="s">
        <v>523</v>
      </c>
    </row>
    <row r="544" spans="1:9">
      <c r="A544" s="1" t="s">
        <v>551</v>
      </c>
      <c r="B544">
        <f>HYPERLINK("https://www.suredividend.com/sure-analysis-AB/","AllianceBernstein Holding LP")</f>
        <v>0</v>
      </c>
      <c r="C544" t="s">
        <v>613</v>
      </c>
      <c r="D544">
        <v>0.115525114155251</v>
      </c>
      <c r="E544">
        <v>-0.02414720285851069</v>
      </c>
      <c r="F544">
        <v>0.05</v>
      </c>
      <c r="G544">
        <v>0.1064678817470495</v>
      </c>
      <c r="H544" t="s">
        <v>523</v>
      </c>
      <c r="I544" t="s">
        <v>371</v>
      </c>
    </row>
    <row r="545" spans="1:9">
      <c r="A545" s="1" t="s">
        <v>552</v>
      </c>
      <c r="B545">
        <f>HYPERLINK("https://www.suredividend.com/sure-analysis-ABR/","Arbor Realty Trust, Inc.")</f>
        <v>0</v>
      </c>
      <c r="C545" t="s">
        <v>614</v>
      </c>
      <c r="D545">
        <v>0.170403587443946</v>
      </c>
      <c r="E545">
        <v>-0.05428567690790709</v>
      </c>
      <c r="F545">
        <v>0.095</v>
      </c>
      <c r="G545">
        <v>0.1057921748455288</v>
      </c>
      <c r="H545" t="s">
        <v>523</v>
      </c>
      <c r="I545" t="s">
        <v>371</v>
      </c>
    </row>
    <row r="546" spans="1:9">
      <c r="A546" s="1" t="s">
        <v>553</v>
      </c>
      <c r="B546">
        <f>HYPERLINK("https://www.suredividend.com/sure-analysis-NYCB/","New York Community Bancorp, Inc.")</f>
        <v>0</v>
      </c>
      <c r="C546" t="s">
        <v>613</v>
      </c>
      <c r="D546">
        <v>0.06576402321083101</v>
      </c>
      <c r="E546">
        <v>0.001809784617413879</v>
      </c>
      <c r="F546">
        <v>0.05</v>
      </c>
      <c r="G546">
        <v>0.1027794711184309</v>
      </c>
      <c r="H546" t="s">
        <v>523</v>
      </c>
      <c r="I546" t="s">
        <v>317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613</v>
      </c>
      <c r="D547">
        <v>0.08743169398907101</v>
      </c>
      <c r="E547">
        <v>-0.008408650944122464</v>
      </c>
      <c r="F547">
        <v>0.045</v>
      </c>
      <c r="G547">
        <v>0.1021157683347276</v>
      </c>
      <c r="H547" t="s">
        <v>523</v>
      </c>
      <c r="I547" t="s">
        <v>371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613</v>
      </c>
      <c r="D548">
        <v>0.145785357737104</v>
      </c>
      <c r="E548">
        <v>-0.02408322090168324</v>
      </c>
      <c r="F548">
        <v>0</v>
      </c>
      <c r="G548">
        <v>0.1016942225112683</v>
      </c>
      <c r="H548" t="s">
        <v>523</v>
      </c>
      <c r="I548" t="s">
        <v>371</v>
      </c>
    </row>
    <row r="549" spans="1:9">
      <c r="A549" s="1" t="s">
        <v>556</v>
      </c>
      <c r="B549">
        <f>HYPERLINK("https://www.suredividend.com/sure-analysis-GAIN/","Gladstone Investment Corp.")</f>
        <v>0</v>
      </c>
      <c r="C549" t="s">
        <v>616</v>
      </c>
      <c r="D549">
        <v>0.076333021515434</v>
      </c>
      <c r="E549">
        <v>0.001369242921612779</v>
      </c>
      <c r="F549">
        <v>0.036</v>
      </c>
      <c r="G549">
        <v>0.1014401942132817</v>
      </c>
      <c r="H549" t="s">
        <v>523</v>
      </c>
      <c r="I549" t="s">
        <v>371</v>
      </c>
    </row>
    <row r="550" spans="1:9">
      <c r="A550" s="1" t="s">
        <v>557</v>
      </c>
      <c r="B550">
        <f>HYPERLINK("https://www.suredividend.com/sure-analysis-APAM/","Artisan Partners Asset Management, Inc.")</f>
        <v>0</v>
      </c>
      <c r="C550" t="s">
        <v>613</v>
      </c>
      <c r="D550">
        <v>0.08732394366197101</v>
      </c>
      <c r="E550">
        <v>0.0006218480590303166</v>
      </c>
      <c r="F550">
        <v>0.03</v>
      </c>
      <c r="G550">
        <v>0.09999693503431595</v>
      </c>
      <c r="H550" t="s">
        <v>523</v>
      </c>
      <c r="I550" t="s">
        <v>371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614</v>
      </c>
      <c r="D551">
        <v>0.273794002607561</v>
      </c>
      <c r="E551">
        <v>-0.05353440438110812</v>
      </c>
      <c r="F551">
        <v>0.046</v>
      </c>
      <c r="G551">
        <v>0.09894199258253966</v>
      </c>
      <c r="H551" t="s">
        <v>523</v>
      </c>
      <c r="I551" t="s">
        <v>371</v>
      </c>
    </row>
    <row r="552" spans="1:9">
      <c r="A552" s="1" t="s">
        <v>559</v>
      </c>
      <c r="B552">
        <f>HYPERLINK("https://www.suredividend.com/sure-analysis-MGP/","MGM Growth Properties LLC")</f>
        <v>0</v>
      </c>
      <c r="C552" t="s">
        <v>614</v>
      </c>
      <c r="D552">
        <v>0.07830698835274501</v>
      </c>
      <c r="E552">
        <v>0.03738638166127539</v>
      </c>
      <c r="F552">
        <v>0.003</v>
      </c>
      <c r="G552">
        <v>0.09767553840700161</v>
      </c>
      <c r="H552" t="s">
        <v>523</v>
      </c>
      <c r="I552" t="s">
        <v>371</v>
      </c>
    </row>
    <row r="553" spans="1:9">
      <c r="A553" s="1" t="s">
        <v>560</v>
      </c>
      <c r="B553">
        <f>HYPERLINK("https://www.suredividend.com/sure-analysis-VLO/","Valero Energy Corp.")</f>
        <v>0</v>
      </c>
      <c r="C553" t="s">
        <v>613</v>
      </c>
      <c r="D553">
        <v>0.060417008701362</v>
      </c>
      <c r="E553">
        <v>0.002404342534885195</v>
      </c>
      <c r="F553">
        <v>0.04</v>
      </c>
      <c r="G553">
        <v>0.09594807376589776</v>
      </c>
      <c r="H553" t="s">
        <v>523</v>
      </c>
      <c r="I553" t="s">
        <v>317</v>
      </c>
    </row>
    <row r="554" spans="1:9">
      <c r="A554" s="1" t="s">
        <v>561</v>
      </c>
      <c r="B554">
        <f>HYPERLINK("https://www.suredividend.com/sure-analysis-ABB/","ABB Ltd.")</f>
        <v>0</v>
      </c>
      <c r="C554" t="s">
        <v>613</v>
      </c>
      <c r="D554">
        <v>0.035821052631578</v>
      </c>
      <c r="E554">
        <v>0.01245196889366262</v>
      </c>
      <c r="F554">
        <v>0.05</v>
      </c>
      <c r="G554">
        <v>0.09579828228016685</v>
      </c>
      <c r="H554" t="s">
        <v>523</v>
      </c>
      <c r="I554" t="s">
        <v>523</v>
      </c>
    </row>
    <row r="555" spans="1:9">
      <c r="A555" s="1" t="s">
        <v>562</v>
      </c>
      <c r="B555">
        <f>HYPERLINK("https://www.suredividend.com/sure-analysis-PTR/","PetroChina Co., Ltd.")</f>
        <v>0</v>
      </c>
      <c r="C555" t="s">
        <v>613</v>
      </c>
      <c r="D555">
        <v>0.07038596491228001</v>
      </c>
      <c r="E555">
        <v>-0.2929301901096019</v>
      </c>
      <c r="F555">
        <v>0.5</v>
      </c>
      <c r="G555">
        <v>0.09536401468132971</v>
      </c>
      <c r="H555" t="s">
        <v>523</v>
      </c>
      <c r="I555" t="s">
        <v>317</v>
      </c>
    </row>
    <row r="556" spans="1:9">
      <c r="A556" s="1" t="s">
        <v>563</v>
      </c>
      <c r="B556">
        <f>HYPERLINK("https://www.suredividend.com/sure-analysis-DAL/","Delta Air Lines, Inc.")</f>
        <v>0</v>
      </c>
      <c r="C556" t="s">
        <v>613</v>
      </c>
      <c r="D556">
        <v>0.07416666666666601</v>
      </c>
      <c r="E556">
        <v>0.02890705751653422</v>
      </c>
      <c r="F556">
        <v>0.06</v>
      </c>
      <c r="G556">
        <v>0.09355978841195633</v>
      </c>
      <c r="H556" t="s">
        <v>523</v>
      </c>
      <c r="I556" t="s">
        <v>317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614</v>
      </c>
      <c r="D557">
        <v>0.114052953156822</v>
      </c>
      <c r="E557">
        <v>-0.06193839697919656</v>
      </c>
      <c r="F557">
        <v>0.105</v>
      </c>
      <c r="G557">
        <v>0.09238204654460569</v>
      </c>
      <c r="H557" t="s">
        <v>523</v>
      </c>
      <c r="I557" t="s">
        <v>371</v>
      </c>
    </row>
    <row r="558" spans="1:9">
      <c r="A558" s="1" t="s">
        <v>565</v>
      </c>
      <c r="B558">
        <f>HYPERLINK("https://www.suredividend.com/sure-analysis-BCE/","BCE, Inc.")</f>
        <v>0</v>
      </c>
      <c r="C558" t="s">
        <v>613</v>
      </c>
      <c r="D558">
        <v>0.05948580466974401</v>
      </c>
      <c r="E558">
        <v>0.003002465824367917</v>
      </c>
      <c r="F558">
        <v>0.035</v>
      </c>
      <c r="G558">
        <v>0.09149638843150454</v>
      </c>
      <c r="H558" t="s">
        <v>523</v>
      </c>
      <c r="I558" t="s">
        <v>317</v>
      </c>
    </row>
    <row r="559" spans="1:9">
      <c r="A559" s="1" t="s">
        <v>566</v>
      </c>
      <c r="B559">
        <f>HYPERLINK("https://www.suredividend.com/sure-analysis-AQN/","Algonquin Power &amp; Utilities Corp.")</f>
        <v>0</v>
      </c>
      <c r="C559" t="s">
        <v>613</v>
      </c>
      <c r="D559">
        <v>0.04032860411791001</v>
      </c>
      <c r="E559">
        <v>-0.0257227843614003</v>
      </c>
      <c r="F559">
        <v>0.075</v>
      </c>
      <c r="G559">
        <v>0.08748304185143385</v>
      </c>
      <c r="H559" t="s">
        <v>523</v>
      </c>
      <c r="I559" t="s">
        <v>523</v>
      </c>
    </row>
    <row r="560" spans="1:9">
      <c r="A560" s="1" t="s">
        <v>567</v>
      </c>
      <c r="B560">
        <f>HYPERLINK("https://www.suredividend.com/sure-analysis-SJR/","Shaw Communications, Inc.")</f>
        <v>0</v>
      </c>
      <c r="C560" t="s">
        <v>613</v>
      </c>
      <c r="D560">
        <v>0.056083466084586</v>
      </c>
      <c r="E560">
        <v>-0.01839538066301594</v>
      </c>
      <c r="F560">
        <v>0.06</v>
      </c>
      <c r="G560">
        <v>0.08551914386184412</v>
      </c>
      <c r="H560" t="s">
        <v>523</v>
      </c>
      <c r="I560" t="s">
        <v>317</v>
      </c>
    </row>
    <row r="561" spans="1:9">
      <c r="A561" s="1" t="s">
        <v>568</v>
      </c>
      <c r="B561">
        <f>HYPERLINK("https://www.suredividend.com/sure-analysis-HOG/","Harley-Davidson, Inc.")</f>
        <v>0</v>
      </c>
      <c r="C561" t="s">
        <v>613</v>
      </c>
      <c r="D561">
        <v>0.07694274028629801</v>
      </c>
      <c r="E561">
        <v>-0.09222560079353204</v>
      </c>
      <c r="F561">
        <v>0.147</v>
      </c>
      <c r="G561">
        <v>0.08404472920393546</v>
      </c>
      <c r="H561" t="s">
        <v>523</v>
      </c>
      <c r="I561" t="s">
        <v>317</v>
      </c>
    </row>
    <row r="562" spans="1:9">
      <c r="A562" s="1" t="s">
        <v>569</v>
      </c>
      <c r="B562">
        <f>HYPERLINK("https://www.suredividend.com/sure-analysis-WY/","Weyerhaeuser Co.")</f>
        <v>0</v>
      </c>
      <c r="C562" t="s">
        <v>613</v>
      </c>
      <c r="D562">
        <v>0.07460230389467901</v>
      </c>
      <c r="E562">
        <v>-0.04241864617107571</v>
      </c>
      <c r="F562">
        <v>0.07000000000000001</v>
      </c>
      <c r="G562">
        <v>0.08364216718236439</v>
      </c>
      <c r="H562" t="s">
        <v>523</v>
      </c>
      <c r="I562" t="s">
        <v>317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616</v>
      </c>
      <c r="D563">
        <v>0.121212121212121</v>
      </c>
      <c r="E563">
        <v>-0.0366089871337365</v>
      </c>
      <c r="F563">
        <v>0.01</v>
      </c>
      <c r="G563">
        <v>0.08204584728263309</v>
      </c>
      <c r="H563" t="s">
        <v>523</v>
      </c>
      <c r="I563" t="s">
        <v>371</v>
      </c>
    </row>
    <row r="564" spans="1:9">
      <c r="A564" s="1" t="s">
        <v>571</v>
      </c>
      <c r="B564">
        <f>HYPERLINK("https://www.suredividend.com/sure-analysis-ALV/","Autoliv, Inc.")</f>
        <v>0</v>
      </c>
      <c r="C564" t="s">
        <v>613</v>
      </c>
      <c r="D564">
        <v>0.042538593481989</v>
      </c>
      <c r="E564">
        <v>0.006907533084737905</v>
      </c>
      <c r="F564">
        <v>0.05</v>
      </c>
      <c r="G564">
        <v>0.07664245863917629</v>
      </c>
      <c r="H564" t="s">
        <v>523</v>
      </c>
      <c r="I564" t="s">
        <v>523</v>
      </c>
    </row>
    <row r="565" spans="1:9">
      <c r="A565" s="1" t="s">
        <v>572</v>
      </c>
      <c r="B565">
        <f>HYPERLINK("https://www.suredividend.com/sure-analysis-PRT/","PermRock Royalty Trust")</f>
        <v>0</v>
      </c>
      <c r="C565" t="s">
        <v>613</v>
      </c>
      <c r="D565">
        <v>0.370663724489795</v>
      </c>
      <c r="E565">
        <v>0.01746435243776379</v>
      </c>
      <c r="F565">
        <v>-0.1</v>
      </c>
      <c r="G565">
        <v>0.07621492092015281</v>
      </c>
      <c r="H565" t="s">
        <v>523</v>
      </c>
      <c r="I565" t="s">
        <v>371</v>
      </c>
    </row>
    <row r="566" spans="1:9">
      <c r="A566" s="1" t="s">
        <v>573</v>
      </c>
      <c r="B566">
        <f>HYPERLINK("https://www.suredividend.com/sure-analysis-GLPI/","Gaming &amp; Leisure Properties, Inc.")</f>
        <v>0</v>
      </c>
      <c r="C566" t="s">
        <v>614</v>
      </c>
      <c r="D566">
        <v>0.107981220657276</v>
      </c>
      <c r="E566">
        <v>-0.09111700662715472</v>
      </c>
      <c r="F566">
        <v>0.129</v>
      </c>
      <c r="G566">
        <v>0.07599004629128636</v>
      </c>
      <c r="H566" t="s">
        <v>523</v>
      </c>
      <c r="I566" t="s">
        <v>371</v>
      </c>
    </row>
    <row r="567" spans="1:9">
      <c r="A567" s="1" t="s">
        <v>574</v>
      </c>
      <c r="B567">
        <f>HYPERLINK("https://www.suredividend.com/sure-analysis-DREUF/","Dream Industrial Real Estate Investment Trust")</f>
        <v>0</v>
      </c>
      <c r="C567" t="s">
        <v>614</v>
      </c>
      <c r="D567">
        <v>0.075137834914017</v>
      </c>
      <c r="E567">
        <v>-0.043647500209963</v>
      </c>
      <c r="F567">
        <v>0.052</v>
      </c>
      <c r="G567">
        <v>0.07548365496907605</v>
      </c>
      <c r="H567" t="s">
        <v>523</v>
      </c>
      <c r="I567" t="s">
        <v>371</v>
      </c>
    </row>
    <row r="568" spans="1:9">
      <c r="A568" s="1" t="s">
        <v>575</v>
      </c>
      <c r="B568">
        <f>HYPERLINK("https://www.suredividend.com/sure-analysis-BGS/","B&amp;G Foods, Inc.")</f>
        <v>0</v>
      </c>
      <c r="C568" t="s">
        <v>613</v>
      </c>
      <c r="D568">
        <v>0.09047619047619</v>
      </c>
      <c r="E568">
        <v>-0.01661256079034146</v>
      </c>
      <c r="F568">
        <v>0.02</v>
      </c>
      <c r="G568">
        <v>0.0742510402157841</v>
      </c>
      <c r="H568" t="s">
        <v>523</v>
      </c>
      <c r="I568" t="s">
        <v>371</v>
      </c>
    </row>
    <row r="569" spans="1:9">
      <c r="A569" s="1" t="s">
        <v>576</v>
      </c>
      <c r="B569">
        <f>HYPERLINK("https://www.suredividend.com/sure-analysis-GRP-UN","Granite Real Estate Investment Trust")</f>
        <v>0</v>
      </c>
      <c r="C569" t="s">
        <v>614</v>
      </c>
      <c r="D569">
        <v>0.046</v>
      </c>
      <c r="E569">
        <v>-0.01014866212365406</v>
      </c>
      <c r="F569">
        <v>0.04</v>
      </c>
      <c r="G569">
        <v>0.07309535354670871</v>
      </c>
      <c r="H569" t="s">
        <v>523</v>
      </c>
      <c r="I569" t="s">
        <v>317</v>
      </c>
    </row>
    <row r="570" spans="1:9">
      <c r="A570" s="1" t="s">
        <v>577</v>
      </c>
      <c r="B570">
        <f>HYPERLINK("https://www.suredividend.com/sure-analysis-FCX/","Freeport-McMoRan, Inc.")</f>
        <v>0</v>
      </c>
      <c r="C570" t="s">
        <v>613</v>
      </c>
      <c r="D570">
        <v>0.017462165308498</v>
      </c>
      <c r="E570">
        <v>-0.0226288648661146</v>
      </c>
      <c r="F570">
        <v>0.08500000000000001</v>
      </c>
      <c r="G570">
        <v>0.07115141218399512</v>
      </c>
      <c r="H570" t="s">
        <v>523</v>
      </c>
      <c r="I570" t="s">
        <v>523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0.080809972173169</v>
      </c>
      <c r="E571">
        <v>-0.05240277287604511</v>
      </c>
      <c r="F571">
        <v>0.05</v>
      </c>
      <c r="G571">
        <v>0.06958830658908011</v>
      </c>
      <c r="H571" t="s">
        <v>523</v>
      </c>
      <c r="I571" t="s">
        <v>317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613</v>
      </c>
      <c r="D572">
        <v>0.07334299835255301</v>
      </c>
      <c r="E572">
        <v>-0.03772439487113177</v>
      </c>
      <c r="F572">
        <v>0.06</v>
      </c>
      <c r="G572">
        <v>0.06950034308332853</v>
      </c>
      <c r="H572" t="s">
        <v>523</v>
      </c>
      <c r="I572" t="s">
        <v>317</v>
      </c>
    </row>
    <row r="573" spans="1:9">
      <c r="A573" s="1" t="s">
        <v>580</v>
      </c>
      <c r="B573">
        <f>HYPERLINK("https://www.suredividend.com/sure-analysis-BBBY/","Bed Bath &amp; Beyond, Inc.")</f>
        <v>0</v>
      </c>
      <c r="C573" t="s">
        <v>613</v>
      </c>
      <c r="D573">
        <v>0.120567375886524</v>
      </c>
      <c r="E573">
        <v>0.03922410156720635</v>
      </c>
      <c r="F573">
        <v>0.02</v>
      </c>
      <c r="G573">
        <v>0.06000858359855044</v>
      </c>
      <c r="H573" t="s">
        <v>523</v>
      </c>
      <c r="I573" t="s">
        <v>317</v>
      </c>
    </row>
    <row r="574" spans="1:9">
      <c r="A574" s="1" t="s">
        <v>581</v>
      </c>
      <c r="B574">
        <f>HYPERLINK("https://www.suredividend.com/sure-analysis-PTEN/","Patterson-UTI Energy, Inc.")</f>
        <v>0</v>
      </c>
      <c r="C574" t="s">
        <v>613</v>
      </c>
      <c r="D574">
        <v>0.056338028169014</v>
      </c>
      <c r="E574">
        <v>0.2031637062270422</v>
      </c>
      <c r="F574">
        <v>-0.14</v>
      </c>
      <c r="G574">
        <v>0.05955077084129523</v>
      </c>
      <c r="H574" t="s">
        <v>523</v>
      </c>
      <c r="I574" t="s">
        <v>523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613</v>
      </c>
      <c r="D575">
        <v>0.068069375907111</v>
      </c>
      <c r="E575">
        <v>-0.1691916979494422</v>
      </c>
      <c r="F575">
        <v>0.2</v>
      </c>
      <c r="G575">
        <v>0.05875567657648384</v>
      </c>
      <c r="H575" t="s">
        <v>523</v>
      </c>
      <c r="I575" t="s">
        <v>317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614</v>
      </c>
      <c r="D576">
        <v>0.155324259407526</v>
      </c>
      <c r="E576">
        <v>-0.1372171478094608</v>
      </c>
      <c r="F576">
        <v>0.118</v>
      </c>
      <c r="G576">
        <v>0.05826748641492485</v>
      </c>
      <c r="H576" t="s">
        <v>523</v>
      </c>
      <c r="I576" t="s">
        <v>371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614</v>
      </c>
      <c r="D577">
        <v>0.155092592592592</v>
      </c>
      <c r="E577">
        <v>-0.09543988603966358</v>
      </c>
      <c r="F577">
        <v>0.08500000000000001</v>
      </c>
      <c r="G577">
        <v>0.05658205423174856</v>
      </c>
      <c r="H577" t="s">
        <v>523</v>
      </c>
      <c r="I577" t="s">
        <v>371</v>
      </c>
    </row>
    <row r="578" spans="1:9">
      <c r="A578" s="1" t="s">
        <v>585</v>
      </c>
      <c r="B578">
        <f>HYPERLINK("https://www.suredividend.com/sure-analysis-EQM/","EQM Midstream Partners LP")</f>
        <v>0</v>
      </c>
      <c r="C578" t="s">
        <v>615</v>
      </c>
      <c r="D578">
        <v>0.239697443922796</v>
      </c>
      <c r="E578">
        <v>-0.02175484501578639</v>
      </c>
      <c r="F578">
        <v>0</v>
      </c>
      <c r="G578">
        <v>0.05461730497891493</v>
      </c>
      <c r="H578" t="s">
        <v>523</v>
      </c>
      <c r="I578" t="s">
        <v>371</v>
      </c>
    </row>
    <row r="579" spans="1:9">
      <c r="A579" s="1" t="s">
        <v>586</v>
      </c>
      <c r="B579">
        <f>HYPERLINK("https://www.suredividend.com/sure-analysis-HTGC/","Hercules Capital, Inc.")</f>
        <v>0</v>
      </c>
      <c r="C579" t="s">
        <v>614</v>
      </c>
      <c r="D579">
        <v>0.117863720073664</v>
      </c>
      <c r="E579">
        <v>0.004235099118101715</v>
      </c>
      <c r="F579">
        <v>-0.038</v>
      </c>
      <c r="G579">
        <v>0.04653289089500401</v>
      </c>
      <c r="H579" t="s">
        <v>523</v>
      </c>
      <c r="I579" t="s">
        <v>371</v>
      </c>
    </row>
    <row r="580" spans="1:9">
      <c r="A580" s="1" t="s">
        <v>587</v>
      </c>
      <c r="B580">
        <f>HYPERLINK("https://www.suredividend.com/sure-analysis-VET/","Vermilion Energy, Inc.")</f>
        <v>0</v>
      </c>
      <c r="C580" t="s">
        <v>613</v>
      </c>
      <c r="D580">
        <v>0.444837533599118</v>
      </c>
      <c r="E580">
        <v>-0.1124520241391072</v>
      </c>
      <c r="F580">
        <v>0.05</v>
      </c>
      <c r="G580">
        <v>0.04625376544706872</v>
      </c>
      <c r="H580" t="s">
        <v>523</v>
      </c>
      <c r="I580" t="s">
        <v>371</v>
      </c>
    </row>
    <row r="581" spans="1:9">
      <c r="A581" s="1" t="s">
        <v>588</v>
      </c>
      <c r="B581">
        <f>HYPERLINK("https://www.suredividend.com/sure-analysis-BXMT/","Blackstone Mortgage Trust, Inc.")</f>
        <v>0</v>
      </c>
      <c r="C581" t="s">
        <v>614</v>
      </c>
      <c r="D581">
        <v>0.107966913365259</v>
      </c>
      <c r="E581">
        <v>-0.1003100186561467</v>
      </c>
      <c r="F581">
        <v>0.082</v>
      </c>
      <c r="G581">
        <v>0.03735208539361357</v>
      </c>
      <c r="H581" t="s">
        <v>523</v>
      </c>
      <c r="I581" t="s">
        <v>371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0.06526464300877301</v>
      </c>
      <c r="E582">
        <v>-0.08381195833941191</v>
      </c>
      <c r="F582">
        <v>0.049</v>
      </c>
      <c r="G582">
        <v>0.03058471258979512</v>
      </c>
      <c r="H582" t="s">
        <v>523</v>
      </c>
      <c r="I582" t="s">
        <v>317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613</v>
      </c>
      <c r="D583">
        <v>0.03750732564954001</v>
      </c>
      <c r="E583">
        <v>-0.1009952086404754</v>
      </c>
      <c r="F583">
        <v>0.09</v>
      </c>
      <c r="G583">
        <v>0.02308561970977241</v>
      </c>
      <c r="H583" t="s">
        <v>523</v>
      </c>
      <c r="I583" t="s">
        <v>523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613</v>
      </c>
      <c r="D584">
        <v>0.073289215686274</v>
      </c>
      <c r="E584">
        <v>-0.072439679461476</v>
      </c>
      <c r="F584">
        <v>0.02</v>
      </c>
      <c r="G584">
        <v>0.02265862898428095</v>
      </c>
      <c r="H584" t="s">
        <v>523</v>
      </c>
      <c r="I584" t="s">
        <v>317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0.04846449136276301</v>
      </c>
      <c r="E585">
        <v>-0.1254375129442634</v>
      </c>
      <c r="F585">
        <v>0.1</v>
      </c>
      <c r="G585">
        <v>0.006132083274770439</v>
      </c>
      <c r="H585" t="s">
        <v>523</v>
      </c>
      <c r="I585" t="s">
        <v>317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0.147578785549577</v>
      </c>
      <c r="E586">
        <v>-0.1957034213203649</v>
      </c>
      <c r="F586">
        <v>0.148</v>
      </c>
      <c r="G586">
        <v>-0.008131356634633269</v>
      </c>
      <c r="H586" t="s">
        <v>523</v>
      </c>
      <c r="I586" t="s">
        <v>371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0.08342022940563</v>
      </c>
      <c r="E587">
        <v>-0.09998135084075221</v>
      </c>
      <c r="F587">
        <v>0.02</v>
      </c>
      <c r="G587">
        <v>-0.01200489909259561</v>
      </c>
      <c r="H587" t="s">
        <v>523</v>
      </c>
      <c r="I587" t="s">
        <v>317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0.049699457557542</v>
      </c>
      <c r="E588">
        <v>-0.09005371024499076</v>
      </c>
      <c r="F588">
        <v>0.04</v>
      </c>
      <c r="G588">
        <v>-0.05365585865479039</v>
      </c>
      <c r="H588" t="s">
        <v>523</v>
      </c>
      <c r="I588" t="s">
        <v>523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614</v>
      </c>
      <c r="D589">
        <v>0.165562913907284</v>
      </c>
      <c r="E589">
        <v>-0.2443950518374179</v>
      </c>
      <c r="F589">
        <v>0.149</v>
      </c>
      <c r="G589">
        <v>-0.05703094772390194</v>
      </c>
      <c r="H589" t="s">
        <v>523</v>
      </c>
      <c r="I589" t="s">
        <v>371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2.131938857602574</v>
      </c>
      <c r="E590">
        <v>-0.2910407248329855</v>
      </c>
      <c r="F590">
        <v>-0.03</v>
      </c>
      <c r="G590">
        <v>-0.299452350948809</v>
      </c>
      <c r="H590" t="s">
        <v>523</v>
      </c>
      <c r="I590" t="s">
        <v>371</v>
      </c>
    </row>
    <row r="591" spans="1:9">
      <c r="A591" s="1" t="s">
        <v>598</v>
      </c>
      <c r="B591">
        <f>HYPERLINK("https://www.suredividend.com/sure-analysis-UAL/","United Airlines Holdings, Inc.")</f>
        <v>0</v>
      </c>
      <c r="C591" t="s">
        <v>613</v>
      </c>
      <c r="E591">
        <v>0.362951730344121</v>
      </c>
      <c r="F591">
        <v>0.07000000000000001</v>
      </c>
      <c r="G591">
        <v>0.4583583514682095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613</v>
      </c>
      <c r="E592">
        <v>0.3195079107728942</v>
      </c>
      <c r="F592">
        <v>0.08</v>
      </c>
      <c r="G592">
        <v>0.4250685436347259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0.08586019789339201</v>
      </c>
      <c r="E593">
        <v>0.1118443616178766</v>
      </c>
      <c r="F593">
        <v>0.03</v>
      </c>
      <c r="G593">
        <v>0.1942174529640426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0.1004789089611764</v>
      </c>
      <c r="F594">
        <v>0.05</v>
      </c>
      <c r="G594">
        <v>0.1555028544092352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-0.2161305938585805</v>
      </c>
      <c r="F595">
        <v>0.38</v>
      </c>
      <c r="G595">
        <v>0.1138969615295153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-0.07647916932281074</v>
      </c>
      <c r="F596">
        <v>0.2</v>
      </c>
      <c r="G596">
        <v>0.1082249968126272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0.01866828423184286</v>
      </c>
      <c r="F597">
        <v>0.05</v>
      </c>
      <c r="G597">
        <v>0.1003132664857993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613</v>
      </c>
      <c r="E598">
        <v>0.04941452284458392</v>
      </c>
      <c r="F598">
        <v>0.04</v>
      </c>
      <c r="G598">
        <v>0.09139110375836723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HYPERLINK("https://www.suredividend.com/sure-analysis-ORC/","Orchid Island Capital, Inc.")</f>
        <v>0</v>
      </c>
      <c r="C599" t="s">
        <v>614</v>
      </c>
      <c r="D599">
        <v>0.264462809917355</v>
      </c>
      <c r="E599">
        <v>-0.0183559986183971</v>
      </c>
      <c r="F599">
        <v>0.015</v>
      </c>
      <c r="G599">
        <v>0.08338946574734574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-0.01286214583560108</v>
      </c>
      <c r="F600">
        <v>0.09</v>
      </c>
      <c r="G600">
        <v>0.07598026103919486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-0.04088780451307195</v>
      </c>
      <c r="F601">
        <v>0.1</v>
      </c>
      <c r="G601">
        <v>0.05502341503562103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-0.06325836833052645</v>
      </c>
      <c r="F602">
        <v>0.12</v>
      </c>
      <c r="G602">
        <v>0.04915062746981036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-0.07544896222746644</v>
      </c>
      <c r="F603">
        <v>0.06</v>
      </c>
      <c r="G603">
        <v>0.0008269341543645226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-0.1739752086288654</v>
      </c>
      <c r="F604">
        <v>0.18</v>
      </c>
      <c r="G604">
        <v>-0.02529074618206117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-0.1240938716887831</v>
      </c>
      <c r="F605">
        <v>0.05</v>
      </c>
      <c r="G605">
        <v>-0.0802985652732221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14.76</v>
      </c>
      <c r="D2">
        <v>2888.564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43941</v>
      </c>
      <c r="L2">
        <v>0.08028169014084501</v>
      </c>
      <c r="M2">
        <v>0.2144947727199029</v>
      </c>
      <c r="N2">
        <v>0.02</v>
      </c>
      <c r="O2">
        <v>0.2718163546270413</v>
      </c>
      <c r="P2" t="s">
        <v>617</v>
      </c>
      <c r="Q2" t="s">
        <v>617</v>
      </c>
      <c r="R2">
        <v>12</v>
      </c>
      <c r="S2">
        <v>0.2326530612244898</v>
      </c>
      <c r="T2">
        <v>39</v>
      </c>
      <c r="U2">
        <v>0.3784615384615385</v>
      </c>
      <c r="V2">
        <v>4.7257</v>
      </c>
      <c r="W2">
        <v>4.9</v>
      </c>
      <c r="X2">
        <v>1.14</v>
      </c>
      <c r="Y2">
        <v>-0.601571</v>
      </c>
      <c r="Z2">
        <v>0.7834179357021996</v>
      </c>
      <c r="AA2">
        <v>0.07960199004975124</v>
      </c>
      <c r="AB2">
        <v>0.130794701986755</v>
      </c>
      <c r="AC2">
        <v>0.978476821192053</v>
      </c>
      <c r="AD2">
        <v>0.9519867549668873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25.68</v>
      </c>
      <c r="D3">
        <v>5707.06015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1278</v>
      </c>
      <c r="K3">
        <v>43864</v>
      </c>
      <c r="L3">
        <v>0.003191065017949</v>
      </c>
      <c r="M3">
        <v>0.1769732565884465</v>
      </c>
      <c r="N3">
        <v>0.06</v>
      </c>
      <c r="O3">
        <v>0.2488749032802342</v>
      </c>
      <c r="P3" t="s">
        <v>617</v>
      </c>
      <c r="Q3" t="s">
        <v>317</v>
      </c>
      <c r="R3">
        <v>0</v>
      </c>
      <c r="S3">
        <v>0.02222222222222222</v>
      </c>
      <c r="T3">
        <v>58</v>
      </c>
      <c r="U3">
        <v>0.4427586206896552</v>
      </c>
      <c r="V3">
        <v>2.9821</v>
      </c>
      <c r="W3">
        <v>3.6</v>
      </c>
      <c r="X3">
        <v>0.08</v>
      </c>
      <c r="Y3">
        <v>-0.515649</v>
      </c>
      <c r="Z3">
        <v>0.01015228426395939</v>
      </c>
      <c r="AA3">
        <v>0.1359867330016584</v>
      </c>
      <c r="AB3">
        <v>0.6423841059602649</v>
      </c>
      <c r="AC3">
        <v>0.9519867549668873</v>
      </c>
      <c r="AD3">
        <v>0.9304635761589404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121.73</v>
      </c>
      <c r="D4">
        <v>13192.11432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43859</v>
      </c>
      <c r="L4">
        <v>0.035514541387024</v>
      </c>
      <c r="M4">
        <v>0.1109484814760395</v>
      </c>
      <c r="N4">
        <v>0.08</v>
      </c>
      <c r="O4">
        <v>0.2187080170122904</v>
      </c>
      <c r="P4" t="s">
        <v>617</v>
      </c>
      <c r="Q4" t="s">
        <v>618</v>
      </c>
      <c r="R4">
        <v>15</v>
      </c>
      <c r="S4">
        <v>0.2128491620111732</v>
      </c>
      <c r="T4">
        <v>206</v>
      </c>
      <c r="U4">
        <v>0.5909223300970874</v>
      </c>
      <c r="V4">
        <v>14.1411</v>
      </c>
      <c r="W4">
        <v>17.9</v>
      </c>
      <c r="X4">
        <v>3.81</v>
      </c>
      <c r="Y4">
        <v>-0.256394</v>
      </c>
      <c r="Z4">
        <v>0.4196277495769881</v>
      </c>
      <c r="AA4">
        <v>0.4361525704809287</v>
      </c>
      <c r="AB4">
        <v>0.8228476821192053</v>
      </c>
      <c r="AC4">
        <v>0.8576158940397351</v>
      </c>
      <c r="AD4">
        <v>0.8841059602649007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33.22</v>
      </c>
      <c r="D5">
        <v>49011.906434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1277</v>
      </c>
      <c r="K5">
        <v>43796</v>
      </c>
      <c r="L5">
        <v>0.019831663676168</v>
      </c>
      <c r="M5">
        <v>0.1020437257425666</v>
      </c>
      <c r="N5">
        <v>0.08</v>
      </c>
      <c r="O5">
        <v>0.2010071109470739</v>
      </c>
      <c r="P5" t="s">
        <v>617</v>
      </c>
      <c r="Q5" t="s">
        <v>371</v>
      </c>
      <c r="R5">
        <v>8</v>
      </c>
      <c r="S5">
        <v>0.1188798061476996</v>
      </c>
      <c r="T5">
        <v>54</v>
      </c>
      <c r="U5">
        <v>0.6151851851851852</v>
      </c>
      <c r="V5">
        <v>2.7349</v>
      </c>
      <c r="W5">
        <v>5.4</v>
      </c>
      <c r="X5">
        <v>0.641950953197578</v>
      </c>
      <c r="Y5">
        <v>0.031986</v>
      </c>
      <c r="Z5">
        <v>0.1895093062605753</v>
      </c>
      <c r="AA5">
        <v>0.7860696517412936</v>
      </c>
      <c r="AB5">
        <v>0.8228476821192053</v>
      </c>
      <c r="AC5">
        <v>0.8360927152317881</v>
      </c>
      <c r="AD5">
        <v>0.8592715231788079</v>
      </c>
    </row>
    <row r="6" spans="1:30">
      <c r="A6" s="1" t="s">
        <v>13</v>
      </c>
      <c r="B6">
        <f>HYPERLINK("https://www.suredividend.com/sure-analysis-CMCSA/","Comcast Corp.")</f>
        <v>0</v>
      </c>
      <c r="C6">
        <v>35.535</v>
      </c>
      <c r="D6">
        <v>160384.384738</v>
      </c>
      <c r="E6" t="s">
        <v>645</v>
      </c>
      <c r="F6" t="s">
        <v>613</v>
      </c>
      <c r="G6" t="s">
        <v>653</v>
      </c>
      <c r="H6" t="s">
        <v>683</v>
      </c>
      <c r="I6" t="s">
        <v>691</v>
      </c>
      <c r="J6" t="s">
        <v>1279</v>
      </c>
      <c r="K6">
        <v>43854</v>
      </c>
      <c r="L6">
        <v>0.024473534433693</v>
      </c>
      <c r="M6">
        <v>0.07068751105090554</v>
      </c>
      <c r="N6">
        <v>0.08</v>
      </c>
      <c r="O6">
        <v>0.1746816234803801</v>
      </c>
      <c r="P6" t="s">
        <v>617</v>
      </c>
      <c r="Q6" t="s">
        <v>618</v>
      </c>
      <c r="R6">
        <v>12</v>
      </c>
      <c r="S6">
        <v>0.2544378698224852</v>
      </c>
      <c r="T6">
        <v>50</v>
      </c>
      <c r="U6">
        <v>0.7106999999999999</v>
      </c>
      <c r="V6">
        <v>2.5593</v>
      </c>
      <c r="W6">
        <v>3.38</v>
      </c>
      <c r="X6">
        <v>0.86</v>
      </c>
      <c r="Y6">
        <v>-0.178204</v>
      </c>
      <c r="Z6">
        <v>0.2808798646362098</v>
      </c>
      <c r="AA6">
        <v>0.560530679933665</v>
      </c>
      <c r="AB6">
        <v>0.8228476821192053</v>
      </c>
      <c r="AC6">
        <v>0.75</v>
      </c>
      <c r="AD6">
        <v>0.8029801324503312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18.14</v>
      </c>
      <c r="D7">
        <v>8786.728440000001</v>
      </c>
      <c r="E7" t="s">
        <v>641</v>
      </c>
      <c r="F7" t="s">
        <v>613</v>
      </c>
      <c r="G7" t="s">
        <v>653</v>
      </c>
      <c r="H7" t="s">
        <v>682</v>
      </c>
      <c r="I7" t="s">
        <v>692</v>
      </c>
      <c r="J7" t="s">
        <v>1277</v>
      </c>
      <c r="K7">
        <v>43861</v>
      </c>
      <c r="L7">
        <v>0.05975197294250201</v>
      </c>
      <c r="M7">
        <v>0.1058514568062134</v>
      </c>
      <c r="N7">
        <v>0.02</v>
      </c>
      <c r="O7">
        <v>0.1650429007580845</v>
      </c>
      <c r="P7" t="s">
        <v>617</v>
      </c>
      <c r="Q7" t="s">
        <v>617</v>
      </c>
      <c r="R7">
        <v>40</v>
      </c>
      <c r="S7">
        <v>0.3854545454545455</v>
      </c>
      <c r="T7">
        <v>30</v>
      </c>
      <c r="U7">
        <v>0.6046666666666667</v>
      </c>
      <c r="V7">
        <v>1.9535</v>
      </c>
      <c r="W7">
        <v>2.75</v>
      </c>
      <c r="X7">
        <v>1.06</v>
      </c>
      <c r="Y7">
        <v>-0.471867</v>
      </c>
      <c r="Z7">
        <v>0.6565143824027072</v>
      </c>
      <c r="AA7">
        <v>0.1807628524046434</v>
      </c>
      <c r="AB7">
        <v>0.130794701986755</v>
      </c>
      <c r="AC7">
        <v>0.8476821192052981</v>
      </c>
      <c r="AD7">
        <v>0.7781456953642385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18.385</v>
      </c>
      <c r="D8">
        <v>181.1421</v>
      </c>
      <c r="E8" t="s">
        <v>642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43909</v>
      </c>
      <c r="L8">
        <v>0.052032520325203</v>
      </c>
      <c r="M8">
        <v>0.1172163140549189</v>
      </c>
      <c r="N8">
        <v>0.01</v>
      </c>
      <c r="O8">
        <v>0.1625775982719897</v>
      </c>
      <c r="P8" t="s">
        <v>617</v>
      </c>
      <c r="Q8" t="s">
        <v>617</v>
      </c>
      <c r="R8">
        <v>38</v>
      </c>
      <c r="S8">
        <v>0.4528301886792452</v>
      </c>
      <c r="T8">
        <v>32</v>
      </c>
      <c r="U8">
        <v>0.57453125</v>
      </c>
      <c r="V8">
        <v>1.8332</v>
      </c>
      <c r="W8">
        <v>2.12</v>
      </c>
      <c r="X8">
        <v>0.96</v>
      </c>
      <c r="Y8">
        <v>-0.44528</v>
      </c>
      <c r="Z8">
        <v>0.6159052453468697</v>
      </c>
      <c r="AA8">
        <v>0.2056384742951907</v>
      </c>
      <c r="AB8">
        <v>0.05711920529801325</v>
      </c>
      <c r="AC8">
        <v>0.8774834437086092</v>
      </c>
      <c r="AD8">
        <v>0.7682119205298014</v>
      </c>
    </row>
    <row r="9" spans="1:30">
      <c r="A9" s="1" t="s">
        <v>16</v>
      </c>
      <c r="B9">
        <f>HYPERLINK("https://www.suredividend.com/sure-analysis-TYCB/","Calvin B. Taylor Bankshares, Inc.")</f>
        <v>0</v>
      </c>
      <c r="C9">
        <v>29.35</v>
      </c>
      <c r="D9">
        <v>81.44419600000001</v>
      </c>
      <c r="E9" t="s">
        <v>646</v>
      </c>
      <c r="F9" t="s">
        <v>613</v>
      </c>
      <c r="G9" t="s">
        <v>653</v>
      </c>
      <c r="H9" t="s">
        <v>684</v>
      </c>
      <c r="I9" t="s">
        <v>694</v>
      </c>
      <c r="J9" t="s">
        <v>1277</v>
      </c>
      <c r="K9">
        <v>43891</v>
      </c>
      <c r="L9">
        <v>0.036115843270868</v>
      </c>
      <c r="M9">
        <v>0.06914140816607572</v>
      </c>
      <c r="N9">
        <v>0.06</v>
      </c>
      <c r="O9">
        <v>0.1615363182638272</v>
      </c>
      <c r="P9" t="s">
        <v>617</v>
      </c>
      <c r="Q9" t="s">
        <v>617</v>
      </c>
      <c r="R9">
        <v>29</v>
      </c>
      <c r="S9">
        <v>0.3212121212121212</v>
      </c>
      <c r="T9">
        <v>41</v>
      </c>
      <c r="U9">
        <v>0.7158536585365854</v>
      </c>
      <c r="V9">
        <v>2.9865</v>
      </c>
      <c r="W9">
        <v>3.3</v>
      </c>
      <c r="X9">
        <v>1.06</v>
      </c>
      <c r="Y9">
        <v>-0.225594</v>
      </c>
      <c r="Z9">
        <v>0.4348561759729273</v>
      </c>
      <c r="AA9">
        <v>0.4809286898839137</v>
      </c>
      <c r="AB9">
        <v>0.6423841059602649</v>
      </c>
      <c r="AC9">
        <v>0.7433774834437087</v>
      </c>
      <c r="AD9">
        <v>0.7649006622516556</v>
      </c>
    </row>
    <row r="10" spans="1:30">
      <c r="A10" s="1" t="s">
        <v>17</v>
      </c>
      <c r="B10">
        <f>HYPERLINK("https://www.suredividend.com/sure-analysis-BANF/","BancFirst Corp. (Oklahoma)")</f>
        <v>0</v>
      </c>
      <c r="C10">
        <v>34.56</v>
      </c>
      <c r="D10">
        <v>1128.28032</v>
      </c>
      <c r="E10" t="s">
        <v>647</v>
      </c>
      <c r="F10" t="s">
        <v>613</v>
      </c>
      <c r="G10" t="s">
        <v>653</v>
      </c>
      <c r="H10" t="s">
        <v>683</v>
      </c>
      <c r="I10" t="s">
        <v>695</v>
      </c>
      <c r="J10" t="s">
        <v>1277</v>
      </c>
      <c r="K10">
        <v>43857</v>
      </c>
      <c r="L10">
        <v>0.036458333333333</v>
      </c>
      <c r="M10">
        <v>0.120343555270638</v>
      </c>
      <c r="N10">
        <v>0.01</v>
      </c>
      <c r="O10">
        <v>0.1588547568566312</v>
      </c>
      <c r="P10" t="s">
        <v>617</v>
      </c>
      <c r="Q10" t="s">
        <v>617</v>
      </c>
      <c r="R10">
        <v>26</v>
      </c>
      <c r="S10">
        <v>0.3118811881188119</v>
      </c>
      <c r="T10">
        <v>61</v>
      </c>
      <c r="U10">
        <v>0.5665573770491804</v>
      </c>
      <c r="V10">
        <v>3.8479</v>
      </c>
      <c r="W10">
        <v>4.04</v>
      </c>
      <c r="X10">
        <v>1.26</v>
      </c>
      <c r="Y10">
        <v>-0.394534</v>
      </c>
      <c r="Z10">
        <v>0.4399323181049069</v>
      </c>
      <c r="AA10">
        <v>0.2669983416252073</v>
      </c>
      <c r="AB10">
        <v>0.05711920529801325</v>
      </c>
      <c r="AC10">
        <v>0.8874172185430463</v>
      </c>
      <c r="AD10">
        <v>0.7549668874172185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34.09</v>
      </c>
      <c r="D11">
        <v>1754.65743</v>
      </c>
      <c r="E11" t="s">
        <v>648</v>
      </c>
      <c r="F11" t="s">
        <v>613</v>
      </c>
      <c r="G11" t="s">
        <v>653</v>
      </c>
      <c r="H11" t="s">
        <v>682</v>
      </c>
      <c r="I11" t="s">
        <v>696</v>
      </c>
      <c r="J11" t="s">
        <v>1281</v>
      </c>
      <c r="K11">
        <v>43853</v>
      </c>
      <c r="L11">
        <v>0.018825080574274</v>
      </c>
      <c r="M11">
        <v>0.07526080600546448</v>
      </c>
      <c r="N11">
        <v>0.065</v>
      </c>
      <c r="O11">
        <v>0.1580899429805545</v>
      </c>
      <c r="P11" t="s">
        <v>617</v>
      </c>
      <c r="Q11" t="s">
        <v>618</v>
      </c>
      <c r="R11">
        <v>50</v>
      </c>
      <c r="S11">
        <v>0.1976923076923077</v>
      </c>
      <c r="T11">
        <v>49</v>
      </c>
      <c r="U11">
        <v>0.6957142857142857</v>
      </c>
      <c r="V11">
        <v>2.5193</v>
      </c>
      <c r="W11">
        <v>3.25</v>
      </c>
      <c r="X11">
        <v>0.6425000000000001</v>
      </c>
      <c r="Y11">
        <v>-0.286729</v>
      </c>
      <c r="Z11">
        <v>0.1708967851099831</v>
      </c>
      <c r="AA11">
        <v>0.3980099502487562</v>
      </c>
      <c r="AB11">
        <v>0.7019867549668873</v>
      </c>
      <c r="AC11">
        <v>0.7599337748344371</v>
      </c>
      <c r="AD11">
        <v>0.7533112582781457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21.26</v>
      </c>
      <c r="D12">
        <v>253.41249</v>
      </c>
      <c r="E12" t="s">
        <v>648</v>
      </c>
      <c r="F12" t="s">
        <v>613</v>
      </c>
      <c r="G12" t="s">
        <v>653</v>
      </c>
      <c r="H12" t="s">
        <v>683</v>
      </c>
      <c r="I12" t="s">
        <v>697</v>
      </c>
      <c r="J12" t="s">
        <v>1277</v>
      </c>
      <c r="K12">
        <v>43951</v>
      </c>
      <c r="L12">
        <v>0.03075117370892</v>
      </c>
      <c r="M12">
        <v>0.04107499986923102</v>
      </c>
      <c r="N12">
        <v>0.09</v>
      </c>
      <c r="O12">
        <v>0.1568800758207733</v>
      </c>
      <c r="P12" t="s">
        <v>617</v>
      </c>
      <c r="Q12" t="s">
        <v>618</v>
      </c>
      <c r="R12">
        <v>26</v>
      </c>
      <c r="S12">
        <v>0.2977272727272727</v>
      </c>
      <c r="T12">
        <v>26</v>
      </c>
      <c r="U12">
        <v>0.8176923076923077</v>
      </c>
      <c r="V12">
        <v>2.4989</v>
      </c>
      <c r="W12">
        <v>2.2</v>
      </c>
      <c r="X12">
        <v>0.655</v>
      </c>
      <c r="Y12">
        <v>-0.308666</v>
      </c>
      <c r="Z12">
        <v>0.3637901861252115</v>
      </c>
      <c r="AA12">
        <v>0.3714759535655058</v>
      </c>
      <c r="AB12">
        <v>0.8766556291390728</v>
      </c>
      <c r="AC12">
        <v>0.6142384105960265</v>
      </c>
      <c r="AD12">
        <v>0.75</v>
      </c>
    </row>
    <row r="13" spans="1:30">
      <c r="A13" s="1" t="s">
        <v>20</v>
      </c>
      <c r="B13">
        <f>HYPERLINK("https://www.suredividend.com/sure-analysis-GD/","General Dynamics Corp.")</f>
        <v>0</v>
      </c>
      <c r="C13">
        <v>127.13</v>
      </c>
      <c r="D13">
        <v>34920.07645</v>
      </c>
      <c r="E13" t="s">
        <v>642</v>
      </c>
      <c r="F13" t="s">
        <v>613</v>
      </c>
      <c r="G13" t="s">
        <v>653</v>
      </c>
      <c r="H13" t="s">
        <v>682</v>
      </c>
      <c r="I13" t="s">
        <v>698</v>
      </c>
      <c r="J13" t="s">
        <v>1278</v>
      </c>
      <c r="K13">
        <v>43909</v>
      </c>
      <c r="L13">
        <v>0.0341739916208</v>
      </c>
      <c r="M13">
        <v>0.06721746576310172</v>
      </c>
      <c r="N13">
        <v>0.06</v>
      </c>
      <c r="O13">
        <v>0.156406164360757</v>
      </c>
      <c r="P13" t="s">
        <v>617</v>
      </c>
      <c r="Q13" t="s">
        <v>618</v>
      </c>
      <c r="R13">
        <v>28</v>
      </c>
      <c r="S13">
        <v>0.3306836248012719</v>
      </c>
      <c r="T13">
        <v>176</v>
      </c>
      <c r="U13">
        <v>0.7223295454545454</v>
      </c>
      <c r="V13">
        <v>11.9444</v>
      </c>
      <c r="W13">
        <v>12.58</v>
      </c>
      <c r="X13">
        <v>4.16</v>
      </c>
      <c r="Y13">
        <v>-0.285957</v>
      </c>
      <c r="Z13">
        <v>0.4043993231810491</v>
      </c>
      <c r="AA13">
        <v>0.3996683250414593</v>
      </c>
      <c r="AB13">
        <v>0.6423841059602649</v>
      </c>
      <c r="AC13">
        <v>0.7384105960264901</v>
      </c>
      <c r="AD13">
        <v>0.7450331125827815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26.4</v>
      </c>
      <c r="D14">
        <v>89.608464</v>
      </c>
      <c r="E14" t="s">
        <v>646</v>
      </c>
      <c r="F14" t="s">
        <v>613</v>
      </c>
      <c r="G14" t="s">
        <v>653</v>
      </c>
      <c r="H14" t="s">
        <v>684</v>
      </c>
      <c r="I14" t="s">
        <v>699</v>
      </c>
      <c r="J14" t="s">
        <v>1277</v>
      </c>
      <c r="K14">
        <v>43860</v>
      </c>
      <c r="L14">
        <v>0.039015151515151</v>
      </c>
      <c r="M14">
        <v>0.0698417929634616</v>
      </c>
      <c r="N14">
        <v>0.055</v>
      </c>
      <c r="O14">
        <v>0.1552131003727308</v>
      </c>
      <c r="P14" t="s">
        <v>617</v>
      </c>
      <c r="Q14" t="s">
        <v>617</v>
      </c>
      <c r="R14">
        <v>33</v>
      </c>
      <c r="S14">
        <v>0.3377049180327869</v>
      </c>
      <c r="T14">
        <v>37</v>
      </c>
      <c r="U14">
        <v>0.7135135135135134</v>
      </c>
      <c r="V14">
        <v>2.8015</v>
      </c>
      <c r="W14">
        <v>3.05</v>
      </c>
      <c r="X14">
        <v>1.03</v>
      </c>
      <c r="Y14">
        <v>-0.223529</v>
      </c>
      <c r="Z14">
        <v>0.4686971235194586</v>
      </c>
      <c r="AA14">
        <v>0.48424543946932</v>
      </c>
      <c r="AB14">
        <v>0.5786423841059603</v>
      </c>
      <c r="AC14">
        <v>0.7466887417218543</v>
      </c>
      <c r="AD14">
        <v>0.7367549668874172</v>
      </c>
    </row>
    <row r="15" spans="1:30">
      <c r="A15" s="1" t="s">
        <v>22</v>
      </c>
      <c r="B15">
        <f>HYPERLINK("https://www.suredividend.com/sure-analysis-CTBI/","Community Trust Bancorp, Inc. (Kentucky)")</f>
        <v>0</v>
      </c>
      <c r="C15">
        <v>30.37</v>
      </c>
      <c r="D15">
        <v>541.61415</v>
      </c>
      <c r="E15" t="s">
        <v>648</v>
      </c>
      <c r="F15" t="s">
        <v>613</v>
      </c>
      <c r="G15" t="s">
        <v>653</v>
      </c>
      <c r="H15" t="s">
        <v>683</v>
      </c>
      <c r="I15" t="s">
        <v>700</v>
      </c>
      <c r="J15" t="s">
        <v>1277</v>
      </c>
      <c r="K15">
        <v>43854</v>
      </c>
      <c r="L15">
        <v>0.04926108374384201</v>
      </c>
      <c r="M15">
        <v>0.07696496877304226</v>
      </c>
      <c r="N15">
        <v>0.04</v>
      </c>
      <c r="O15">
        <v>0.1540515986595012</v>
      </c>
      <c r="P15" t="s">
        <v>617</v>
      </c>
      <c r="Q15" t="s">
        <v>617</v>
      </c>
      <c r="R15">
        <v>39</v>
      </c>
      <c r="S15">
        <v>0.4109589041095891</v>
      </c>
      <c r="T15">
        <v>44</v>
      </c>
      <c r="U15">
        <v>0.6902272727272728</v>
      </c>
      <c r="V15">
        <v>3.1686</v>
      </c>
      <c r="W15">
        <v>3.65</v>
      </c>
      <c r="X15">
        <v>1.5</v>
      </c>
      <c r="Y15">
        <v>-0.276894</v>
      </c>
      <c r="Z15">
        <v>0.5871404399323181</v>
      </c>
      <c r="AA15">
        <v>0.4129353233830846</v>
      </c>
      <c r="AB15">
        <v>0.3501655629139073</v>
      </c>
      <c r="AC15">
        <v>0.7698675496688742</v>
      </c>
      <c r="AD15">
        <v>0.7268211920529801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55.21</v>
      </c>
      <c r="D16">
        <v>1064.65428</v>
      </c>
      <c r="E16" t="s">
        <v>646</v>
      </c>
      <c r="F16" t="s">
        <v>613</v>
      </c>
      <c r="G16" t="s">
        <v>653</v>
      </c>
      <c r="H16" t="s">
        <v>682</v>
      </c>
      <c r="I16" t="s">
        <v>701</v>
      </c>
      <c r="J16" t="s">
        <v>1278</v>
      </c>
      <c r="K16">
        <v>43884</v>
      </c>
      <c r="L16">
        <v>0.015230183454482</v>
      </c>
      <c r="M16">
        <v>0.05745287571154956</v>
      </c>
      <c r="N16">
        <v>0.08</v>
      </c>
      <c r="O16">
        <v>0.1527021746327604</v>
      </c>
      <c r="P16" t="s">
        <v>617</v>
      </c>
      <c r="Q16" t="s">
        <v>618</v>
      </c>
      <c r="R16">
        <v>47</v>
      </c>
      <c r="S16">
        <v>0.2156862745098039</v>
      </c>
      <c r="T16">
        <v>73</v>
      </c>
      <c r="U16">
        <v>0.7563013698630137</v>
      </c>
      <c r="V16">
        <v>2.5214</v>
      </c>
      <c r="W16">
        <v>4.08</v>
      </c>
      <c r="X16">
        <v>0.88</v>
      </c>
      <c r="Y16">
        <v>-0.118132</v>
      </c>
      <c r="Z16">
        <v>0.1150592216582064</v>
      </c>
      <c r="AA16">
        <v>0.6351575456053068</v>
      </c>
      <c r="AB16">
        <v>0.8228476821192053</v>
      </c>
      <c r="AC16">
        <v>0.695364238410596</v>
      </c>
      <c r="AD16">
        <v>0.7185430463576159</v>
      </c>
    </row>
    <row r="17" spans="1:30">
      <c r="A17" s="1" t="s">
        <v>24</v>
      </c>
      <c r="B17">
        <f>HYPERLINK("https://www.suredividend.com/sure-analysis-FRT/","Federal Realty Investment Trust")</f>
        <v>0</v>
      </c>
      <c r="C17">
        <v>74.98999999999999</v>
      </c>
      <c r="D17">
        <v>5368.651409</v>
      </c>
      <c r="E17" t="s">
        <v>649</v>
      </c>
      <c r="F17" t="s">
        <v>614</v>
      </c>
      <c r="G17" t="s">
        <v>653</v>
      </c>
      <c r="H17" t="s">
        <v>682</v>
      </c>
      <c r="I17" t="s">
        <v>702</v>
      </c>
      <c r="J17" t="s">
        <v>1282</v>
      </c>
      <c r="K17">
        <v>43908</v>
      </c>
      <c r="L17">
        <v>0.05647251398172101</v>
      </c>
      <c r="M17">
        <v>0.05281890829892832</v>
      </c>
      <c r="N17">
        <v>0.055</v>
      </c>
      <c r="O17">
        <v>0.1510280774586528</v>
      </c>
      <c r="P17" t="s">
        <v>617</v>
      </c>
      <c r="Q17" t="s">
        <v>617</v>
      </c>
      <c r="R17">
        <v>51</v>
      </c>
      <c r="S17">
        <v>0.6379044684129429</v>
      </c>
      <c r="T17">
        <v>97</v>
      </c>
      <c r="U17">
        <v>0.7730927835051545</v>
      </c>
      <c r="V17">
        <v>4.6039</v>
      </c>
      <c r="W17">
        <v>6.49</v>
      </c>
      <c r="X17">
        <v>4.14</v>
      </c>
      <c r="Y17">
        <v>-0.435034</v>
      </c>
      <c r="Z17">
        <v>0.6480541455160744</v>
      </c>
      <c r="AA17">
        <v>0.2189054726368159</v>
      </c>
      <c r="AB17">
        <v>0.5786423841059603</v>
      </c>
      <c r="AC17">
        <v>0.6672185430463575</v>
      </c>
      <c r="AD17">
        <v>0.7102649006622517</v>
      </c>
    </row>
    <row r="18" spans="1:30">
      <c r="A18" s="1" t="s">
        <v>25</v>
      </c>
      <c r="B18">
        <f>HYPERLINK("https://www.suredividend.com/sure-analysis-WBA/","Walgreens Boots Alliance, Inc.")</f>
        <v>0</v>
      </c>
      <c r="C18">
        <v>40.635</v>
      </c>
      <c r="D18">
        <v>36141.464</v>
      </c>
      <c r="E18" t="s">
        <v>641</v>
      </c>
      <c r="F18" t="s">
        <v>613</v>
      </c>
      <c r="G18" t="s">
        <v>653</v>
      </c>
      <c r="H18" t="s">
        <v>683</v>
      </c>
      <c r="I18" t="s">
        <v>703</v>
      </c>
      <c r="J18" t="s">
        <v>1283</v>
      </c>
      <c r="K18">
        <v>43930</v>
      </c>
      <c r="L18">
        <v>0.04399271844660101</v>
      </c>
      <c r="M18">
        <v>0.06241082003116905</v>
      </c>
      <c r="N18">
        <v>0.05</v>
      </c>
      <c r="O18">
        <v>0.148311472110958</v>
      </c>
      <c r="P18" t="s">
        <v>617</v>
      </c>
      <c r="Q18" t="s">
        <v>617</v>
      </c>
      <c r="R18">
        <v>44</v>
      </c>
      <c r="S18">
        <v>0.3295454545454545</v>
      </c>
      <c r="T18">
        <v>55</v>
      </c>
      <c r="U18">
        <v>0.7388181818181818</v>
      </c>
      <c r="V18">
        <v>3.9</v>
      </c>
      <c r="W18">
        <v>5.5</v>
      </c>
      <c r="X18">
        <v>1.8125</v>
      </c>
      <c r="Y18">
        <v>-0.22176</v>
      </c>
      <c r="Z18">
        <v>0.5262267343485617</v>
      </c>
      <c r="AA18">
        <v>0.4875621890547264</v>
      </c>
      <c r="AB18">
        <v>0.5033112582781457</v>
      </c>
      <c r="AC18">
        <v>0.716887417218543</v>
      </c>
      <c r="AD18">
        <v>0.7019867549668873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34.76</v>
      </c>
      <c r="D19">
        <v>19109.0624</v>
      </c>
      <c r="E19" t="s">
        <v>647</v>
      </c>
      <c r="F19" t="s">
        <v>613</v>
      </c>
      <c r="G19" t="s">
        <v>653</v>
      </c>
      <c r="H19" t="s">
        <v>682</v>
      </c>
      <c r="I19" t="s">
        <v>704</v>
      </c>
      <c r="J19" t="s">
        <v>1284</v>
      </c>
      <c r="K19">
        <v>43875</v>
      </c>
      <c r="L19">
        <v>0.040988372093023</v>
      </c>
      <c r="M19">
        <v>0.07541984734909857</v>
      </c>
      <c r="N19">
        <v>0.04</v>
      </c>
      <c r="O19">
        <v>0.1471482921507818</v>
      </c>
      <c r="P19" t="s">
        <v>617</v>
      </c>
      <c r="Q19" t="s">
        <v>617</v>
      </c>
      <c r="R19">
        <v>45</v>
      </c>
      <c r="S19">
        <v>0.4259818731117825</v>
      </c>
      <c r="T19">
        <v>50</v>
      </c>
      <c r="U19">
        <v>0.6951999999999999</v>
      </c>
      <c r="V19">
        <v>2.7395</v>
      </c>
      <c r="W19">
        <v>3.31</v>
      </c>
      <c r="X19">
        <v>1.41</v>
      </c>
      <c r="Y19">
        <v>-0.194568</v>
      </c>
      <c r="Z19">
        <v>0.4890016920473774</v>
      </c>
      <c r="AA19">
        <v>0.5306799336650083</v>
      </c>
      <c r="AB19">
        <v>0.3501655629139073</v>
      </c>
      <c r="AC19">
        <v>0.7649006622516556</v>
      </c>
      <c r="AD19">
        <v>0.6970198675496688</v>
      </c>
    </row>
    <row r="20" spans="1:30">
      <c r="A20" s="1" t="s">
        <v>27</v>
      </c>
      <c r="B20">
        <f>HYPERLINK("https://www.suredividend.com/sure-analysis-PNR/","Pentair Plc")</f>
        <v>0</v>
      </c>
      <c r="C20">
        <v>34.23</v>
      </c>
      <c r="D20">
        <v>5558.4165</v>
      </c>
      <c r="E20" t="s">
        <v>646</v>
      </c>
      <c r="F20" t="s">
        <v>613</v>
      </c>
      <c r="G20" t="s">
        <v>655</v>
      </c>
      <c r="H20" t="s">
        <v>682</v>
      </c>
      <c r="I20" t="s">
        <v>705</v>
      </c>
      <c r="J20" t="s">
        <v>1278</v>
      </c>
      <c r="K20">
        <v>43859</v>
      </c>
      <c r="L20">
        <v>0.021765056648777</v>
      </c>
      <c r="M20">
        <v>0.06088958658167343</v>
      </c>
      <c r="N20">
        <v>0.065</v>
      </c>
      <c r="O20">
        <v>0.1457076550465048</v>
      </c>
      <c r="P20" t="s">
        <v>617</v>
      </c>
      <c r="Q20" t="s">
        <v>618</v>
      </c>
      <c r="R20">
        <v>43</v>
      </c>
      <c r="S20">
        <v>0.2885375494071146</v>
      </c>
      <c r="T20">
        <v>46</v>
      </c>
      <c r="U20">
        <v>0.7441304347826087</v>
      </c>
      <c r="V20">
        <v>2.2369</v>
      </c>
      <c r="W20">
        <v>2.53</v>
      </c>
      <c r="X20">
        <v>0.73</v>
      </c>
      <c r="Y20">
        <v>-0.11504</v>
      </c>
      <c r="Z20">
        <v>0.2301184433164128</v>
      </c>
      <c r="AA20">
        <v>0.6451077943615258</v>
      </c>
      <c r="AB20">
        <v>0.7019867549668873</v>
      </c>
      <c r="AC20">
        <v>0.7119205298013245</v>
      </c>
      <c r="AD20">
        <v>0.6937086092715232</v>
      </c>
    </row>
    <row r="21" spans="1:30">
      <c r="A21" s="1" t="s">
        <v>28</v>
      </c>
      <c r="B21">
        <f>HYPERLINK("https://www.suredividend.com/sure-analysis-CB/","Chubb Ltd.")</f>
        <v>0</v>
      </c>
      <c r="C21">
        <v>98.98999999999999</v>
      </c>
      <c r="D21">
        <v>42991.75425</v>
      </c>
      <c r="E21" t="s">
        <v>646</v>
      </c>
      <c r="F21" t="s">
        <v>613</v>
      </c>
      <c r="G21" t="s">
        <v>656</v>
      </c>
      <c r="H21" t="s">
        <v>682</v>
      </c>
      <c r="I21" t="s">
        <v>706</v>
      </c>
      <c r="J21" t="s">
        <v>1277</v>
      </c>
      <c r="K21">
        <v>43946</v>
      </c>
      <c r="L21">
        <v>0.03149606299212501</v>
      </c>
      <c r="M21">
        <v>0.06715093340646416</v>
      </c>
      <c r="N21">
        <v>0.05</v>
      </c>
      <c r="O21">
        <v>0.1422822155679557</v>
      </c>
      <c r="P21" t="s">
        <v>617</v>
      </c>
      <c r="Q21" t="s">
        <v>618</v>
      </c>
      <c r="R21">
        <v>26</v>
      </c>
      <c r="S21">
        <v>0.2857142857142857</v>
      </c>
      <c r="T21">
        <v>137</v>
      </c>
      <c r="U21">
        <v>0.7225547445255474</v>
      </c>
      <c r="V21">
        <v>8.066599999999999</v>
      </c>
      <c r="W21">
        <v>10.5</v>
      </c>
      <c r="X21">
        <v>3</v>
      </c>
      <c r="Y21">
        <v>-0.332936</v>
      </c>
      <c r="Z21">
        <v>0.3739424703891709</v>
      </c>
      <c r="AA21">
        <v>0.3449419568822554</v>
      </c>
      <c r="AB21">
        <v>0.5033112582781457</v>
      </c>
      <c r="AC21">
        <v>0.7350993377483444</v>
      </c>
      <c r="AD21">
        <v>0.6738410596026491</v>
      </c>
    </row>
    <row r="22" spans="1:30">
      <c r="A22" s="1" t="s">
        <v>29</v>
      </c>
      <c r="B22">
        <f>HYPERLINK("https://www.suredividend.com/sure-analysis-TDS/","Telephone &amp; Data Systems, Inc.")</f>
        <v>0</v>
      </c>
      <c r="C22">
        <v>18.03</v>
      </c>
      <c r="D22">
        <v>1961.748156</v>
      </c>
      <c r="E22" t="s">
        <v>650</v>
      </c>
      <c r="F22" t="s">
        <v>613</v>
      </c>
      <c r="G22" t="s">
        <v>653</v>
      </c>
      <c r="H22" t="s">
        <v>682</v>
      </c>
      <c r="I22" t="s">
        <v>707</v>
      </c>
      <c r="J22" t="s">
        <v>1279</v>
      </c>
      <c r="K22">
        <v>43901</v>
      </c>
      <c r="L22">
        <v>0.038820782253356</v>
      </c>
      <c r="M22">
        <v>0.09971577335160187</v>
      </c>
      <c r="N22">
        <v>0.015</v>
      </c>
      <c r="O22">
        <v>0.1416334104642012</v>
      </c>
      <c r="P22" t="s">
        <v>617</v>
      </c>
      <c r="Q22" t="s">
        <v>618</v>
      </c>
      <c r="R22">
        <v>45</v>
      </c>
      <c r="S22">
        <v>0.5541666666666667</v>
      </c>
      <c r="T22">
        <v>29</v>
      </c>
      <c r="U22">
        <v>0.6217241379310345</v>
      </c>
      <c r="V22">
        <v>1.1416</v>
      </c>
      <c r="W22">
        <v>1.2</v>
      </c>
      <c r="X22">
        <v>0.665</v>
      </c>
      <c r="Y22">
        <v>-0.466521</v>
      </c>
      <c r="Z22">
        <v>0.4619289340101523</v>
      </c>
      <c r="AA22">
        <v>0.1857379767827529</v>
      </c>
      <c r="AB22">
        <v>0.07615894039735099</v>
      </c>
      <c r="AC22">
        <v>0.8278145695364238</v>
      </c>
      <c r="AD22">
        <v>0.6705298013245033</v>
      </c>
    </row>
    <row r="23" spans="1:30">
      <c r="A23" s="1" t="s">
        <v>30</v>
      </c>
      <c r="B23">
        <f>HYPERLINK("https://www.suredividend.com/sure-analysis-AIZ/","Assurant, Inc.")</f>
        <v>0</v>
      </c>
      <c r="C23">
        <v>98.59</v>
      </c>
      <c r="D23">
        <v>5857.946496</v>
      </c>
      <c r="E23" t="s">
        <v>648</v>
      </c>
      <c r="F23" t="s">
        <v>613</v>
      </c>
      <c r="G23" t="s">
        <v>653</v>
      </c>
      <c r="H23" t="s">
        <v>682</v>
      </c>
      <c r="I23" t="s">
        <v>708</v>
      </c>
      <c r="J23" t="s">
        <v>1277</v>
      </c>
      <c r="K23">
        <v>43873</v>
      </c>
      <c r="L23">
        <v>0.025122549019607</v>
      </c>
      <c r="M23">
        <v>0.06801546187925056</v>
      </c>
      <c r="N23">
        <v>0.05</v>
      </c>
      <c r="O23">
        <v>0.1402446586813737</v>
      </c>
      <c r="P23" t="s">
        <v>617</v>
      </c>
      <c r="Q23" t="s">
        <v>618</v>
      </c>
      <c r="R23">
        <v>15</v>
      </c>
      <c r="S23">
        <v>0.2510204081632653</v>
      </c>
      <c r="T23">
        <v>137</v>
      </c>
      <c r="U23">
        <v>0.7196350364963504</v>
      </c>
      <c r="V23">
        <v>5.7636</v>
      </c>
      <c r="W23">
        <v>9.800000000000001</v>
      </c>
      <c r="X23">
        <v>2.46</v>
      </c>
      <c r="Y23">
        <v>0.018091</v>
      </c>
      <c r="Z23">
        <v>0.2893401015228426</v>
      </c>
      <c r="AA23">
        <v>0.7777777777777777</v>
      </c>
      <c r="AB23">
        <v>0.5033112582781457</v>
      </c>
      <c r="AC23">
        <v>0.7417218543046357</v>
      </c>
      <c r="AD23">
        <v>0.6639072847682119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84.22</v>
      </c>
      <c r="D24">
        <v>126137.1514</v>
      </c>
      <c r="E24" t="s">
        <v>646</v>
      </c>
      <c r="F24" t="s">
        <v>613</v>
      </c>
      <c r="G24" t="s">
        <v>653</v>
      </c>
      <c r="H24" t="s">
        <v>682</v>
      </c>
      <c r="I24" t="s">
        <v>709</v>
      </c>
      <c r="J24" t="s">
        <v>1283</v>
      </c>
      <c r="K24">
        <v>43870</v>
      </c>
      <c r="L24">
        <v>0.0526808709904</v>
      </c>
      <c r="M24">
        <v>0.03700590010513172</v>
      </c>
      <c r="N24">
        <v>0.055</v>
      </c>
      <c r="O24">
        <v>0.1378465086833782</v>
      </c>
      <c r="P24" t="s">
        <v>617</v>
      </c>
      <c r="Q24" t="s">
        <v>617</v>
      </c>
      <c r="R24">
        <v>48</v>
      </c>
      <c r="S24">
        <v>0.4658385093167702</v>
      </c>
      <c r="T24">
        <v>101</v>
      </c>
      <c r="U24">
        <v>0.8338613861386138</v>
      </c>
      <c r="W24">
        <v>9.66</v>
      </c>
      <c r="X24">
        <v>4.5</v>
      </c>
      <c r="Y24">
        <v>0.095831</v>
      </c>
      <c r="Z24">
        <v>0.6260575296108292</v>
      </c>
      <c r="AA24">
        <v>0.8590381426202321</v>
      </c>
      <c r="AB24">
        <v>0.5786423841059603</v>
      </c>
      <c r="AC24">
        <v>0.6009933774834437</v>
      </c>
      <c r="AD24">
        <v>0.6589403973509934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134.58</v>
      </c>
      <c r="D25">
        <v>23349.90066</v>
      </c>
      <c r="E25" t="s">
        <v>644</v>
      </c>
      <c r="F25" t="s">
        <v>613</v>
      </c>
      <c r="G25" t="s">
        <v>653</v>
      </c>
      <c r="H25" t="s">
        <v>682</v>
      </c>
      <c r="I25" t="s">
        <v>710</v>
      </c>
      <c r="J25" t="s">
        <v>1283</v>
      </c>
      <c r="K25">
        <v>43876</v>
      </c>
      <c r="L25">
        <v>0.012134081601698</v>
      </c>
      <c r="M25">
        <v>0.05632740829395044</v>
      </c>
      <c r="N25">
        <v>0.06</v>
      </c>
      <c r="O25">
        <v>0.1290887975499828</v>
      </c>
      <c r="P25" t="s">
        <v>617</v>
      </c>
      <c r="Q25" t="s">
        <v>371</v>
      </c>
      <c r="R25">
        <v>12</v>
      </c>
      <c r="S25">
        <v>0.1084745762711865</v>
      </c>
      <c r="T25">
        <v>177</v>
      </c>
      <c r="U25">
        <v>0.7603389830508476</v>
      </c>
      <c r="V25">
        <v>-4.8675</v>
      </c>
      <c r="W25">
        <v>14.75</v>
      </c>
      <c r="X25">
        <v>1.6</v>
      </c>
      <c r="Y25">
        <v>0.04917299999999999</v>
      </c>
      <c r="Z25">
        <v>0.07952622673434856</v>
      </c>
      <c r="AA25">
        <v>0.8126036484245439</v>
      </c>
      <c r="AB25">
        <v>0.6423841059602649</v>
      </c>
      <c r="AC25">
        <v>0.6837748344370861</v>
      </c>
      <c r="AD25">
        <v>0.6208609271523179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324.14</v>
      </c>
      <c r="D26">
        <v>53850.07009</v>
      </c>
      <c r="E26" t="s">
        <v>642</v>
      </c>
      <c r="F26" t="s">
        <v>613</v>
      </c>
      <c r="G26" t="s">
        <v>653</v>
      </c>
      <c r="H26" t="s">
        <v>682</v>
      </c>
      <c r="I26" t="s">
        <v>711</v>
      </c>
      <c r="J26" t="s">
        <v>1278</v>
      </c>
      <c r="K26">
        <v>43871</v>
      </c>
      <c r="L26">
        <v>0.016345231093087</v>
      </c>
      <c r="M26">
        <v>0.01372316162398057</v>
      </c>
      <c r="N26">
        <v>0.1</v>
      </c>
      <c r="O26">
        <v>0.1288319712606243</v>
      </c>
      <c r="P26" t="s">
        <v>617</v>
      </c>
      <c r="Q26" t="s">
        <v>371</v>
      </c>
      <c r="R26">
        <v>16</v>
      </c>
      <c r="S26">
        <v>0.2280777537796977</v>
      </c>
      <c r="T26">
        <v>347</v>
      </c>
      <c r="U26">
        <v>0.9341210374639769</v>
      </c>
      <c r="V26">
        <v>13.3266</v>
      </c>
      <c r="W26">
        <v>23.15</v>
      </c>
      <c r="X26">
        <v>5.28</v>
      </c>
      <c r="Y26">
        <v>0.120154</v>
      </c>
      <c r="Z26">
        <v>0.1302876480541455</v>
      </c>
      <c r="AA26">
        <v>0.8822553897180763</v>
      </c>
      <c r="AB26">
        <v>0.9097682119205298</v>
      </c>
      <c r="AC26">
        <v>0.5</v>
      </c>
      <c r="AD26">
        <v>0.6192052980132451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40.78</v>
      </c>
      <c r="D27">
        <v>3352.50753</v>
      </c>
      <c r="E27" t="s">
        <v>648</v>
      </c>
      <c r="F27" t="s">
        <v>613</v>
      </c>
      <c r="G27" t="s">
        <v>653</v>
      </c>
      <c r="H27" t="s">
        <v>682</v>
      </c>
      <c r="I27" t="s">
        <v>712</v>
      </c>
      <c r="J27" t="s">
        <v>1285</v>
      </c>
      <c r="K27">
        <v>43874</v>
      </c>
      <c r="L27">
        <v>0.04492641363284201</v>
      </c>
      <c r="M27">
        <v>0.05381828452452053</v>
      </c>
      <c r="N27">
        <v>0.04</v>
      </c>
      <c r="O27">
        <v>0.1261827554473531</v>
      </c>
      <c r="P27" t="s">
        <v>617</v>
      </c>
      <c r="Q27" t="s">
        <v>617</v>
      </c>
      <c r="R27">
        <v>49</v>
      </c>
      <c r="S27">
        <v>0.5704918032786885</v>
      </c>
      <c r="T27">
        <v>53</v>
      </c>
      <c r="U27">
        <v>0.769433962264151</v>
      </c>
      <c r="V27">
        <v>1.0636</v>
      </c>
      <c r="W27">
        <v>3.05</v>
      </c>
      <c r="X27">
        <v>1.74</v>
      </c>
      <c r="Y27">
        <v>-0.321716</v>
      </c>
      <c r="Z27">
        <v>0.5397631133671743</v>
      </c>
      <c r="AA27">
        <v>0.3548922056384743</v>
      </c>
      <c r="AB27">
        <v>0.3501655629139073</v>
      </c>
      <c r="AC27">
        <v>0.6738410596026491</v>
      </c>
      <c r="AD27">
        <v>0.6059602649006622</v>
      </c>
    </row>
    <row r="28" spans="1:30">
      <c r="A28" s="1" t="s">
        <v>35</v>
      </c>
      <c r="B28">
        <f>HYPERLINK("https://www.suredividend.com/sure-analysis-PNGAY/","Ping An Insurance (Group) Co. of China Ltd.")</f>
        <v>0</v>
      </c>
      <c r="C28">
        <v>20.21</v>
      </c>
      <c r="D28">
        <v>75257.7959</v>
      </c>
      <c r="E28" t="s">
        <v>646</v>
      </c>
      <c r="F28" t="s">
        <v>613</v>
      </c>
      <c r="G28" t="s">
        <v>657</v>
      </c>
      <c r="H28" t="s">
        <v>684</v>
      </c>
      <c r="I28" t="s">
        <v>713</v>
      </c>
      <c r="J28" t="s">
        <v>1277</v>
      </c>
      <c r="K28">
        <v>43955</v>
      </c>
      <c r="L28">
        <v>0.023917565561603</v>
      </c>
      <c r="M28">
        <v>0.02620069512450929</v>
      </c>
      <c r="N28">
        <v>0.07000000000000001</v>
      </c>
      <c r="O28">
        <v>0.1210173690193761</v>
      </c>
      <c r="P28" t="s">
        <v>617</v>
      </c>
      <c r="Q28" t="s">
        <v>618</v>
      </c>
      <c r="R28">
        <v>9</v>
      </c>
      <c r="S28">
        <v>0.2101626086956522</v>
      </c>
      <c r="T28">
        <v>23</v>
      </c>
      <c r="U28">
        <v>0.8786956521739131</v>
      </c>
      <c r="V28">
        <v>2.3842</v>
      </c>
      <c r="W28">
        <v>2.3</v>
      </c>
      <c r="X28">
        <v>0.483374</v>
      </c>
      <c r="Y28">
        <v>-0.118237</v>
      </c>
      <c r="Z28">
        <v>0.272419627749577</v>
      </c>
      <c r="AA28">
        <v>0.6334991708126037</v>
      </c>
      <c r="AB28">
        <v>0.7442052980132451</v>
      </c>
      <c r="AC28">
        <v>0.5562913907284769</v>
      </c>
      <c r="AD28">
        <v>0.5794701986754967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35.98</v>
      </c>
      <c r="D29">
        <v>4027.221069</v>
      </c>
      <c r="E29" t="s">
        <v>646</v>
      </c>
      <c r="F29" t="s">
        <v>613</v>
      </c>
      <c r="G29" t="s">
        <v>653</v>
      </c>
      <c r="H29" t="s">
        <v>682</v>
      </c>
      <c r="I29" t="s">
        <v>714</v>
      </c>
      <c r="J29" t="s">
        <v>1277</v>
      </c>
      <c r="K29">
        <v>43893</v>
      </c>
      <c r="L29">
        <v>0.042022792022792</v>
      </c>
      <c r="M29">
        <v>0.0162503065432904</v>
      </c>
      <c r="N29">
        <v>0.065</v>
      </c>
      <c r="O29">
        <v>0.1182898020750949</v>
      </c>
      <c r="P29" t="s">
        <v>617</v>
      </c>
      <c r="Q29" t="s">
        <v>617</v>
      </c>
      <c r="R29">
        <v>38</v>
      </c>
      <c r="S29">
        <v>0.4154929577464789</v>
      </c>
      <c r="T29">
        <v>39</v>
      </c>
      <c r="U29">
        <v>0.9225641025641025</v>
      </c>
      <c r="V29">
        <v>3.8146</v>
      </c>
      <c r="W29">
        <v>3.55</v>
      </c>
      <c r="X29">
        <v>1.475</v>
      </c>
      <c r="Y29">
        <v>-0.120741</v>
      </c>
      <c r="Z29">
        <v>0.5042301184433164</v>
      </c>
      <c r="AA29">
        <v>0.6301824212271974</v>
      </c>
      <c r="AB29">
        <v>0.7019867549668873</v>
      </c>
      <c r="AC29">
        <v>0.5099337748344371</v>
      </c>
      <c r="AD29">
        <v>0.5695364238410596</v>
      </c>
    </row>
    <row r="30" spans="1:30">
      <c r="A30" s="1" t="s">
        <v>37</v>
      </c>
      <c r="B30">
        <f>HYPERLINK("https://www.suredividend.com/sure-analysis-FMCB/","Farmers &amp; Merchants Bancorp (California)")</f>
        <v>0</v>
      </c>
      <c r="C30">
        <v>670</v>
      </c>
      <c r="D30">
        <v>531.98</v>
      </c>
      <c r="E30" t="s">
        <v>648</v>
      </c>
      <c r="F30" t="s">
        <v>613</v>
      </c>
      <c r="G30" t="s">
        <v>653</v>
      </c>
      <c r="H30" t="s">
        <v>684</v>
      </c>
      <c r="I30" t="s">
        <v>715</v>
      </c>
      <c r="J30" t="s">
        <v>1277</v>
      </c>
      <c r="K30">
        <v>43950</v>
      </c>
      <c r="L30">
        <v>0.021194029850746</v>
      </c>
      <c r="M30">
        <v>0.04923545713620436</v>
      </c>
      <c r="N30">
        <v>0.05</v>
      </c>
      <c r="O30">
        <v>0.1182634230359245</v>
      </c>
      <c r="P30" t="s">
        <v>617</v>
      </c>
      <c r="Q30" t="s">
        <v>618</v>
      </c>
      <c r="R30">
        <v>55</v>
      </c>
      <c r="S30">
        <v>0.2</v>
      </c>
      <c r="T30">
        <v>852</v>
      </c>
      <c r="U30">
        <v>0.7863849765258216</v>
      </c>
      <c r="V30">
        <v>71.70489999999999</v>
      </c>
      <c r="W30">
        <v>71</v>
      </c>
      <c r="X30">
        <v>14.2</v>
      </c>
      <c r="Y30">
        <v>-0.1625</v>
      </c>
      <c r="Z30">
        <v>0.2148900169204738</v>
      </c>
      <c r="AA30">
        <v>0.5804311774461028</v>
      </c>
      <c r="AB30">
        <v>0.5033112582781457</v>
      </c>
      <c r="AC30">
        <v>0.6539735099337749</v>
      </c>
      <c r="AD30">
        <v>0.5678807947019867</v>
      </c>
    </row>
    <row r="31" spans="1:30">
      <c r="A31" s="1" t="s">
        <v>38</v>
      </c>
      <c r="B31">
        <f>HYPERLINK("https://www.suredividend.com/sure-analysis-LHX/","L3Harris Technologies, Inc.")</f>
        <v>0</v>
      </c>
      <c r="C31">
        <v>182.49</v>
      </c>
      <c r="D31">
        <v>39585.68896</v>
      </c>
      <c r="E31" t="s">
        <v>642</v>
      </c>
      <c r="F31" t="s">
        <v>613</v>
      </c>
      <c r="G31" t="s">
        <v>653</v>
      </c>
      <c r="H31" t="s">
        <v>682</v>
      </c>
      <c r="I31" t="s">
        <v>716</v>
      </c>
      <c r="J31" t="s">
        <v>1278</v>
      </c>
      <c r="K31">
        <v>43878</v>
      </c>
      <c r="L31">
        <v>0.015725165744342</v>
      </c>
      <c r="M31">
        <v>0.002735825173538986</v>
      </c>
      <c r="N31">
        <v>0.1</v>
      </c>
      <c r="O31">
        <v>0.1175356846711106</v>
      </c>
      <c r="P31" t="s">
        <v>617</v>
      </c>
      <c r="Q31" t="s">
        <v>371</v>
      </c>
      <c r="R31">
        <v>18</v>
      </c>
      <c r="S31">
        <v>0.2484848484848485</v>
      </c>
      <c r="T31">
        <v>185</v>
      </c>
      <c r="U31">
        <v>0.9864324324324325</v>
      </c>
      <c r="V31">
        <v>8.0398</v>
      </c>
      <c r="W31">
        <v>11.55</v>
      </c>
      <c r="X31">
        <v>2.87</v>
      </c>
      <c r="Y31">
        <v>0.032939</v>
      </c>
      <c r="Z31">
        <v>0.1218274111675127</v>
      </c>
      <c r="AA31">
        <v>0.7877280265339967</v>
      </c>
      <c r="AB31">
        <v>0.9097682119205298</v>
      </c>
      <c r="AC31">
        <v>0.4387417218543046</v>
      </c>
      <c r="AD31">
        <v>0.5596026490066225</v>
      </c>
    </row>
    <row r="32" spans="1:30">
      <c r="A32" s="1" t="s">
        <v>39</v>
      </c>
      <c r="B32">
        <f>HYPERLINK("https://www.suredividend.com/sure-analysis-GPC/","Genuine Parts Co.")</f>
        <v>0</v>
      </c>
      <c r="C32">
        <v>73.72</v>
      </c>
      <c r="D32">
        <v>10556.18702</v>
      </c>
      <c r="E32" t="s">
        <v>644</v>
      </c>
      <c r="F32" t="s">
        <v>613</v>
      </c>
      <c r="G32" t="s">
        <v>653</v>
      </c>
      <c r="H32" t="s">
        <v>682</v>
      </c>
      <c r="I32" t="s">
        <v>717</v>
      </c>
      <c r="J32" t="s">
        <v>1280</v>
      </c>
      <c r="K32">
        <v>43888</v>
      </c>
      <c r="L32">
        <v>0.04200523343892</v>
      </c>
      <c r="M32">
        <v>0.04980468217892442</v>
      </c>
      <c r="N32">
        <v>0.03</v>
      </c>
      <c r="O32">
        <v>0.1164208131382742</v>
      </c>
      <c r="P32" t="s">
        <v>617</v>
      </c>
      <c r="Q32" t="s">
        <v>617</v>
      </c>
      <c r="R32">
        <v>63</v>
      </c>
      <c r="S32">
        <v>0.5213675213675214</v>
      </c>
      <c r="T32">
        <v>94</v>
      </c>
      <c r="U32">
        <v>0.7842553191489362</v>
      </c>
      <c r="V32">
        <v>4.2582</v>
      </c>
      <c r="W32">
        <v>5.85</v>
      </c>
      <c r="X32">
        <v>3.05</v>
      </c>
      <c r="Y32">
        <v>-0.267232</v>
      </c>
      <c r="Z32">
        <v>0.5025380710659898</v>
      </c>
      <c r="AA32">
        <v>0.4228855721393034</v>
      </c>
      <c r="AB32">
        <v>0.2185430463576159</v>
      </c>
      <c r="AC32">
        <v>0.6589403973509934</v>
      </c>
      <c r="AD32">
        <v>0.554635761589404</v>
      </c>
    </row>
    <row r="33" spans="1:30">
      <c r="A33" s="1" t="s">
        <v>40</v>
      </c>
      <c r="B33">
        <f>HYPERLINK("https://www.suredividend.com/sure-analysis-PSBQ/","PSB Holdings, Inc. (Wisconsin)")</f>
        <v>0</v>
      </c>
      <c r="C33">
        <v>19.72</v>
      </c>
      <c r="D33">
        <v>89.11468000000001</v>
      </c>
      <c r="E33" t="s">
        <v>644</v>
      </c>
      <c r="F33" t="s">
        <v>613</v>
      </c>
      <c r="G33" t="s">
        <v>653</v>
      </c>
      <c r="H33" t="s">
        <v>684</v>
      </c>
      <c r="I33" t="s">
        <v>718</v>
      </c>
      <c r="J33" t="s">
        <v>1277</v>
      </c>
      <c r="K33">
        <v>43949</v>
      </c>
      <c r="L33">
        <v>0.010141987829614</v>
      </c>
      <c r="M33">
        <v>0.05684984360807754</v>
      </c>
      <c r="N33">
        <v>0.04</v>
      </c>
      <c r="O33">
        <v>0.1164144266469398</v>
      </c>
      <c r="P33" t="s">
        <v>617</v>
      </c>
      <c r="Q33" t="s">
        <v>371</v>
      </c>
      <c r="R33">
        <v>26</v>
      </c>
      <c r="S33">
        <v>0.08888888888888889</v>
      </c>
      <c r="T33">
        <v>26</v>
      </c>
      <c r="U33">
        <v>0.7584615384615384</v>
      </c>
      <c r="V33">
        <v>2.264</v>
      </c>
      <c r="W33">
        <v>2.25</v>
      </c>
      <c r="X33">
        <v>0.2</v>
      </c>
      <c r="Y33">
        <v>-0.157265</v>
      </c>
      <c r="Z33">
        <v>0.05752961082910321</v>
      </c>
      <c r="AA33">
        <v>0.5854063018242123</v>
      </c>
      <c r="AB33">
        <v>0.3501655629139073</v>
      </c>
      <c r="AC33">
        <v>0.6870860927152317</v>
      </c>
      <c r="AD33">
        <v>0.5529801324503311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55.26</v>
      </c>
      <c r="D34">
        <v>32610.1855</v>
      </c>
      <c r="E34" t="s">
        <v>644</v>
      </c>
      <c r="F34" t="s">
        <v>613</v>
      </c>
      <c r="G34" t="s">
        <v>653</v>
      </c>
      <c r="H34" t="s">
        <v>682</v>
      </c>
      <c r="I34" t="s">
        <v>719</v>
      </c>
      <c r="J34" t="s">
        <v>1278</v>
      </c>
      <c r="K34">
        <v>43874</v>
      </c>
      <c r="L34">
        <v>0.036277024551117</v>
      </c>
      <c r="M34">
        <v>0.03615949480907532</v>
      </c>
      <c r="N34">
        <v>0.05</v>
      </c>
      <c r="O34">
        <v>0.1148666951729906</v>
      </c>
      <c r="P34" t="s">
        <v>617</v>
      </c>
      <c r="Q34" t="s">
        <v>617</v>
      </c>
      <c r="R34">
        <v>66</v>
      </c>
      <c r="S34">
        <v>0.5424657534246575</v>
      </c>
      <c r="T34">
        <v>66</v>
      </c>
      <c r="U34">
        <v>0.8372727272727273</v>
      </c>
      <c r="V34">
        <v>3.5356</v>
      </c>
      <c r="W34">
        <v>3.65</v>
      </c>
      <c r="X34">
        <v>1.98</v>
      </c>
      <c r="Y34">
        <v>-0.191767</v>
      </c>
      <c r="Z34">
        <v>0.4365482233502538</v>
      </c>
      <c r="AA34">
        <v>0.5373134328358209</v>
      </c>
      <c r="AB34">
        <v>0.5033112582781457</v>
      </c>
      <c r="AC34">
        <v>0.597682119205298</v>
      </c>
      <c r="AD34">
        <v>0.5463576158940397</v>
      </c>
    </row>
    <row r="35" spans="1:30">
      <c r="A35" s="1" t="s">
        <v>42</v>
      </c>
      <c r="B35">
        <f>HYPERLINK("https://www.suredividend.com/sure-analysis-VFC/","VF Corp.")</f>
        <v>0</v>
      </c>
      <c r="C35">
        <v>57.28</v>
      </c>
      <c r="D35">
        <v>22112.2144</v>
      </c>
      <c r="E35" t="s">
        <v>641</v>
      </c>
      <c r="F35" t="s">
        <v>613</v>
      </c>
      <c r="G35" t="s">
        <v>653</v>
      </c>
      <c r="H35" t="s">
        <v>682</v>
      </c>
      <c r="I35" t="s">
        <v>720</v>
      </c>
      <c r="J35" t="s">
        <v>1280</v>
      </c>
      <c r="K35">
        <v>43853</v>
      </c>
      <c r="L35">
        <v>0.034451981435201</v>
      </c>
      <c r="M35">
        <v>0.00593472536633155</v>
      </c>
      <c r="N35">
        <v>0.08</v>
      </c>
      <c r="O35">
        <v>0.1129796163561558</v>
      </c>
      <c r="P35" t="s">
        <v>617</v>
      </c>
      <c r="Q35" t="s">
        <v>618</v>
      </c>
      <c r="R35">
        <v>46</v>
      </c>
      <c r="S35">
        <v>0.584848484848485</v>
      </c>
      <c r="T35">
        <v>59</v>
      </c>
      <c r="U35">
        <v>0.9708474576271187</v>
      </c>
      <c r="V35">
        <v>3.2559</v>
      </c>
      <c r="W35">
        <v>3.3</v>
      </c>
      <c r="X35">
        <v>1.93</v>
      </c>
      <c r="Y35">
        <v>-0.364409</v>
      </c>
      <c r="Z35">
        <v>0.4094754653130288</v>
      </c>
      <c r="AA35">
        <v>0.3001658374792703</v>
      </c>
      <c r="AB35">
        <v>0.8228476821192053</v>
      </c>
      <c r="AC35">
        <v>0.4685430463576158</v>
      </c>
      <c r="AD35">
        <v>0.5380794701986755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35.87</v>
      </c>
      <c r="D36">
        <v>24596.17424</v>
      </c>
      <c r="E36" t="s">
        <v>641</v>
      </c>
      <c r="F36" t="s">
        <v>613</v>
      </c>
      <c r="G36" t="s">
        <v>653</v>
      </c>
      <c r="H36" t="s">
        <v>682</v>
      </c>
      <c r="I36" t="s">
        <v>721</v>
      </c>
      <c r="J36" t="s">
        <v>1277</v>
      </c>
      <c r="K36">
        <v>43865</v>
      </c>
      <c r="L36">
        <v>0.031796966161026</v>
      </c>
      <c r="M36">
        <v>0.04170382769883529</v>
      </c>
      <c r="N36">
        <v>0.04</v>
      </c>
      <c r="O36">
        <v>0.1092105032810033</v>
      </c>
      <c r="P36" t="s">
        <v>617</v>
      </c>
      <c r="Q36" t="s">
        <v>617</v>
      </c>
      <c r="R36">
        <v>38</v>
      </c>
      <c r="S36">
        <v>0.246606334841629</v>
      </c>
      <c r="T36">
        <v>44</v>
      </c>
      <c r="U36">
        <v>0.8152272727272727</v>
      </c>
      <c r="V36">
        <v>3.9964</v>
      </c>
      <c r="W36">
        <v>4.42</v>
      </c>
      <c r="X36">
        <v>1.09</v>
      </c>
      <c r="Y36">
        <v>-0.315905</v>
      </c>
      <c r="Z36">
        <v>0.3756345177664975</v>
      </c>
      <c r="AA36">
        <v>0.3598673300165837</v>
      </c>
      <c r="AB36">
        <v>0.3501655629139073</v>
      </c>
      <c r="AC36">
        <v>0.6192052980132451</v>
      </c>
      <c r="AD36">
        <v>0.5215231788079471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115.03</v>
      </c>
      <c r="D37">
        <v>6149.146542</v>
      </c>
      <c r="E37" t="s">
        <v>646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43946</v>
      </c>
      <c r="L37">
        <v>0.01696731559207</v>
      </c>
      <c r="M37">
        <v>0.02159737884965862</v>
      </c>
      <c r="N37">
        <v>0.07000000000000001</v>
      </c>
      <c r="O37">
        <v>0.1085628601557187</v>
      </c>
      <c r="P37" t="s">
        <v>617</v>
      </c>
      <c r="Q37" t="s">
        <v>618</v>
      </c>
      <c r="R37">
        <v>43</v>
      </c>
      <c r="S37">
        <v>0.2533333333333333</v>
      </c>
      <c r="T37">
        <v>128</v>
      </c>
      <c r="U37">
        <v>0.898671875</v>
      </c>
      <c r="V37">
        <v>8.026300000000001</v>
      </c>
      <c r="W37">
        <v>7.5</v>
      </c>
      <c r="X37">
        <v>1.9</v>
      </c>
      <c r="Y37">
        <v>-0.186487</v>
      </c>
      <c r="Z37">
        <v>0.1404399323181049</v>
      </c>
      <c r="AA37">
        <v>0.5422885572139303</v>
      </c>
      <c r="AB37">
        <v>0.7442052980132451</v>
      </c>
      <c r="AC37">
        <v>0.5380794701986755</v>
      </c>
      <c r="AD37">
        <v>0.5182119205298013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47.18</v>
      </c>
      <c r="D38">
        <v>4678.76094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1280</v>
      </c>
      <c r="K38">
        <v>43937</v>
      </c>
      <c r="L38">
        <v>0.036886124812352</v>
      </c>
      <c r="M38">
        <v>0.02737067376423874</v>
      </c>
      <c r="N38">
        <v>0.05</v>
      </c>
      <c r="O38">
        <v>0.1083502378658876</v>
      </c>
      <c r="P38" t="s">
        <v>617</v>
      </c>
      <c r="Q38" t="s">
        <v>618</v>
      </c>
      <c r="R38">
        <v>37</v>
      </c>
      <c r="S38">
        <v>0.5</v>
      </c>
      <c r="T38">
        <v>54</v>
      </c>
      <c r="U38">
        <v>0.8737037037037036</v>
      </c>
      <c r="W38">
        <v>3.44</v>
      </c>
      <c r="X38">
        <v>1.72</v>
      </c>
      <c r="Y38">
        <v>-0.263349</v>
      </c>
      <c r="Z38">
        <v>0.4467005076142132</v>
      </c>
      <c r="AA38">
        <v>0.4278606965174129</v>
      </c>
      <c r="AB38">
        <v>0.5033112582781457</v>
      </c>
      <c r="AC38">
        <v>0.5612582781456954</v>
      </c>
      <c r="AD38">
        <v>0.5132450331125827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30.87</v>
      </c>
      <c r="D39">
        <v>792.114312</v>
      </c>
      <c r="E39" t="s">
        <v>644</v>
      </c>
      <c r="F39" t="s">
        <v>613</v>
      </c>
      <c r="G39" t="s">
        <v>653</v>
      </c>
      <c r="H39" t="s">
        <v>683</v>
      </c>
      <c r="I39" t="s">
        <v>724</v>
      </c>
      <c r="J39" t="s">
        <v>1277</v>
      </c>
      <c r="K39">
        <v>43949</v>
      </c>
      <c r="L39">
        <v>0.036105738233397</v>
      </c>
      <c r="M39">
        <v>0.05839905995011185</v>
      </c>
      <c r="N39">
        <v>0.02</v>
      </c>
      <c r="O39">
        <v>0.1068009440920297</v>
      </c>
      <c r="P39" t="s">
        <v>617</v>
      </c>
      <c r="Q39" t="s">
        <v>618</v>
      </c>
      <c r="R39">
        <v>32</v>
      </c>
      <c r="S39">
        <v>0.4480000000000001</v>
      </c>
      <c r="T39">
        <v>41</v>
      </c>
      <c r="U39">
        <v>0.7529268292682927</v>
      </c>
      <c r="V39">
        <v>3.3556</v>
      </c>
      <c r="W39">
        <v>2.5</v>
      </c>
      <c r="X39">
        <v>1.12</v>
      </c>
      <c r="Y39">
        <v>-0.354288</v>
      </c>
      <c r="Z39">
        <v>0.4331641285956007</v>
      </c>
      <c r="AA39">
        <v>0.3134328358208955</v>
      </c>
      <c r="AB39">
        <v>0.130794701986755</v>
      </c>
      <c r="AC39">
        <v>0.6986754966887417</v>
      </c>
      <c r="AD39">
        <v>0.5033112582781457</v>
      </c>
    </row>
    <row r="40" spans="1:30">
      <c r="A40" s="1" t="s">
        <v>47</v>
      </c>
      <c r="B40">
        <f>HYPERLINK("https://www.suredividend.com/sure-analysis-TJX/","The TJX Cos., Inc.")</f>
        <v>0</v>
      </c>
      <c r="C40">
        <v>48.5</v>
      </c>
      <c r="D40">
        <v>57820.1056</v>
      </c>
      <c r="E40" t="s">
        <v>645</v>
      </c>
      <c r="F40" t="s">
        <v>613</v>
      </c>
      <c r="G40" t="s">
        <v>653</v>
      </c>
      <c r="H40" t="s">
        <v>682</v>
      </c>
      <c r="I40" t="s">
        <v>725</v>
      </c>
      <c r="J40" t="s">
        <v>1280</v>
      </c>
      <c r="K40">
        <v>43909</v>
      </c>
      <c r="L40">
        <v>0.019295302013422</v>
      </c>
      <c r="M40">
        <v>0.006110434499387196</v>
      </c>
      <c r="N40">
        <v>0.08</v>
      </c>
      <c r="O40">
        <v>0.1064795303285206</v>
      </c>
      <c r="P40" t="s">
        <v>617</v>
      </c>
      <c r="Q40" t="s">
        <v>371</v>
      </c>
      <c r="R40">
        <v>23</v>
      </c>
      <c r="S40">
        <v>0.3285714285714286</v>
      </c>
      <c r="T40">
        <v>50</v>
      </c>
      <c r="U40">
        <v>0.97</v>
      </c>
      <c r="V40">
        <v>2.7136</v>
      </c>
      <c r="W40">
        <v>2.8</v>
      </c>
      <c r="X40">
        <v>0.92</v>
      </c>
      <c r="Y40">
        <v>-0.10745</v>
      </c>
      <c r="Z40">
        <v>0.1776649746192893</v>
      </c>
      <c r="AA40">
        <v>0.6500829187396352</v>
      </c>
      <c r="AB40">
        <v>0.8228476821192053</v>
      </c>
      <c r="AC40">
        <v>0.4701986754966888</v>
      </c>
      <c r="AD40">
        <v>0.4983443708609271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90.36</v>
      </c>
      <c r="D41">
        <v>20949.9624</v>
      </c>
      <c r="E41" t="s">
        <v>643</v>
      </c>
      <c r="F41" t="s">
        <v>613</v>
      </c>
      <c r="G41" t="s">
        <v>653</v>
      </c>
      <c r="H41" t="s">
        <v>682</v>
      </c>
      <c r="I41" t="s">
        <v>726</v>
      </c>
      <c r="J41" t="s">
        <v>1281</v>
      </c>
      <c r="K41">
        <v>43949</v>
      </c>
      <c r="L41">
        <v>0.022635135135135</v>
      </c>
      <c r="M41">
        <v>0.005776178467283177</v>
      </c>
      <c r="N41">
        <v>0.08</v>
      </c>
      <c r="O41">
        <v>0.1060616731349417</v>
      </c>
      <c r="P41" t="s">
        <v>617</v>
      </c>
      <c r="Q41" t="s">
        <v>618</v>
      </c>
      <c r="R41">
        <v>48</v>
      </c>
      <c r="S41">
        <v>0.3681318681318681</v>
      </c>
      <c r="T41">
        <v>93</v>
      </c>
      <c r="U41">
        <v>0.9716129032258064</v>
      </c>
      <c r="V41">
        <v>4.9556</v>
      </c>
      <c r="W41">
        <v>5.46</v>
      </c>
      <c r="X41">
        <v>2.01</v>
      </c>
      <c r="Y41">
        <v>-0.224183</v>
      </c>
      <c r="Z41">
        <v>0.2504230118443316</v>
      </c>
      <c r="AA41">
        <v>0.4825870646766169</v>
      </c>
      <c r="AB41">
        <v>0.8228476821192053</v>
      </c>
      <c r="AC41">
        <v>0.4602649006622517</v>
      </c>
      <c r="AD41">
        <v>0.4950331125827814</v>
      </c>
    </row>
    <row r="42" spans="1:30">
      <c r="A42" s="1" t="s">
        <v>49</v>
      </c>
      <c r="B42">
        <f>HYPERLINK("https://www.suredividend.com/sure-analysis-CINF/","Cincinnati Financial Corp.")</f>
        <v>0</v>
      </c>
      <c r="C42">
        <v>54.98</v>
      </c>
      <c r="D42">
        <v>8541.802240000001</v>
      </c>
      <c r="E42" t="s">
        <v>647</v>
      </c>
      <c r="F42" t="s">
        <v>613</v>
      </c>
      <c r="G42" t="s">
        <v>653</v>
      </c>
      <c r="H42" t="s">
        <v>683</v>
      </c>
      <c r="I42" t="s">
        <v>727</v>
      </c>
      <c r="J42" t="s">
        <v>1277</v>
      </c>
      <c r="K42">
        <v>43886</v>
      </c>
      <c r="L42">
        <v>0.042921686746987</v>
      </c>
      <c r="M42">
        <v>0.07518815475805951</v>
      </c>
      <c r="N42">
        <v>0.01</v>
      </c>
      <c r="O42">
        <v>0.1043126652905622</v>
      </c>
      <c r="P42" t="s">
        <v>617</v>
      </c>
      <c r="Q42" t="s">
        <v>617</v>
      </c>
      <c r="R42">
        <v>59</v>
      </c>
      <c r="S42">
        <v>0.5772151898734178</v>
      </c>
      <c r="T42">
        <v>79</v>
      </c>
      <c r="U42">
        <v>0.6959493670886076</v>
      </c>
      <c r="V42">
        <v>0.4239</v>
      </c>
      <c r="W42">
        <v>3.95</v>
      </c>
      <c r="X42">
        <v>2.28</v>
      </c>
      <c r="Y42">
        <v>-0.440901</v>
      </c>
      <c r="Z42">
        <v>0.5126903553299492</v>
      </c>
      <c r="AA42">
        <v>0.2139303482587065</v>
      </c>
      <c r="AB42">
        <v>0.05711920529801325</v>
      </c>
      <c r="AC42">
        <v>0.7582781456953643</v>
      </c>
      <c r="AD42">
        <v>0.4884105960264901</v>
      </c>
    </row>
    <row r="43" spans="1:30">
      <c r="A43" s="1" t="s">
        <v>50</v>
      </c>
      <c r="B43">
        <f>HYPERLINK("https://www.suredividend.com/sure-analysis-SYY/","Sysco Corp.")</f>
        <v>0</v>
      </c>
      <c r="C43">
        <v>52.28</v>
      </c>
      <c r="D43">
        <v>26381.44692</v>
      </c>
      <c r="E43" t="s">
        <v>649</v>
      </c>
      <c r="F43" t="s">
        <v>613</v>
      </c>
      <c r="G43" t="s">
        <v>653</v>
      </c>
      <c r="H43" t="s">
        <v>682</v>
      </c>
      <c r="I43" t="s">
        <v>728</v>
      </c>
      <c r="J43" t="s">
        <v>1284</v>
      </c>
      <c r="K43">
        <v>43910</v>
      </c>
      <c r="L43">
        <v>0.032382420971472</v>
      </c>
      <c r="M43">
        <v>0.002739350140800401</v>
      </c>
      <c r="N43">
        <v>0.07000000000000001</v>
      </c>
      <c r="O43">
        <v>0.1031205130060759</v>
      </c>
      <c r="P43" t="s">
        <v>617</v>
      </c>
      <c r="Q43" t="s">
        <v>617</v>
      </c>
      <c r="R43">
        <v>51</v>
      </c>
      <c r="S43">
        <v>0.48</v>
      </c>
      <c r="T43">
        <v>53</v>
      </c>
      <c r="U43">
        <v>0.9864150943396227</v>
      </c>
      <c r="V43">
        <v>2.669</v>
      </c>
      <c r="W43">
        <v>3.5</v>
      </c>
      <c r="X43">
        <v>1.68</v>
      </c>
      <c r="Y43">
        <v>-0.28834</v>
      </c>
      <c r="Z43">
        <v>0.3840947546531303</v>
      </c>
      <c r="AA43">
        <v>0.3930348258706468</v>
      </c>
      <c r="AB43">
        <v>0.7442052980132451</v>
      </c>
      <c r="AC43">
        <v>0.4403973509933775</v>
      </c>
      <c r="AD43">
        <v>0.4801324503311258</v>
      </c>
    </row>
    <row r="44" spans="1:30">
      <c r="A44" s="1" t="s">
        <v>51</v>
      </c>
      <c r="B44">
        <f>HYPERLINK("https://www.suredividend.com/sure-analysis-ORCL/","Oracle Corp.")</f>
        <v>0</v>
      </c>
      <c r="C44">
        <v>52.6</v>
      </c>
      <c r="D44">
        <v>163544.6588</v>
      </c>
      <c r="E44" t="s">
        <v>646</v>
      </c>
      <c r="F44" t="s">
        <v>613</v>
      </c>
      <c r="G44" t="s">
        <v>653</v>
      </c>
      <c r="H44" t="s">
        <v>682</v>
      </c>
      <c r="I44" t="s">
        <v>729</v>
      </c>
      <c r="J44" t="s">
        <v>1286</v>
      </c>
      <c r="K44">
        <v>43923</v>
      </c>
      <c r="L44">
        <v>0.018511376783648</v>
      </c>
      <c r="M44">
        <v>0.005267409642116805</v>
      </c>
      <c r="N44">
        <v>0.08</v>
      </c>
      <c r="O44">
        <v>0.1014190082658011</v>
      </c>
      <c r="P44" t="s">
        <v>617</v>
      </c>
      <c r="Q44" t="s">
        <v>371</v>
      </c>
      <c r="R44">
        <v>11</v>
      </c>
      <c r="S44">
        <v>0.2474226804123711</v>
      </c>
      <c r="T44">
        <v>54</v>
      </c>
      <c r="U44">
        <v>0.9740740740740741</v>
      </c>
      <c r="V44">
        <v>3.2624</v>
      </c>
      <c r="W44">
        <v>3.88</v>
      </c>
      <c r="X44">
        <v>0.96</v>
      </c>
      <c r="Y44">
        <v>-0.03963000000000001</v>
      </c>
      <c r="Z44">
        <v>0.1607445008460237</v>
      </c>
      <c r="AA44">
        <v>0.714759535655058</v>
      </c>
      <c r="AB44">
        <v>0.8228476821192053</v>
      </c>
      <c r="AC44">
        <v>0.4552980132450331</v>
      </c>
      <c r="AD44">
        <v>0.4701986754966888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50.855</v>
      </c>
      <c r="D45">
        <v>1234.52244</v>
      </c>
      <c r="E45" t="s">
        <v>643</v>
      </c>
      <c r="F45" t="s">
        <v>613</v>
      </c>
      <c r="G45" t="s">
        <v>653</v>
      </c>
      <c r="H45" t="s">
        <v>683</v>
      </c>
      <c r="I45" t="s">
        <v>730</v>
      </c>
      <c r="J45" t="s">
        <v>1278</v>
      </c>
      <c r="K45">
        <v>43950</v>
      </c>
      <c r="L45">
        <v>0.030223004694835</v>
      </c>
      <c r="M45">
        <v>0.043761751522015</v>
      </c>
      <c r="N45">
        <v>0.03</v>
      </c>
      <c r="O45">
        <v>0.1008734571922685</v>
      </c>
      <c r="P45" t="s">
        <v>617</v>
      </c>
      <c r="Q45" t="s">
        <v>618</v>
      </c>
      <c r="R45">
        <v>29</v>
      </c>
      <c r="S45">
        <v>0.4339887640449438</v>
      </c>
      <c r="T45">
        <v>63</v>
      </c>
      <c r="U45">
        <v>0.8072222222222222</v>
      </c>
      <c r="V45">
        <v>4.0584</v>
      </c>
      <c r="W45">
        <v>3.56</v>
      </c>
      <c r="X45">
        <v>1.545</v>
      </c>
      <c r="Y45">
        <v>-0.189601</v>
      </c>
      <c r="Z45">
        <v>0.3587140439932318</v>
      </c>
      <c r="AA45">
        <v>0.538971807628524</v>
      </c>
      <c r="AB45">
        <v>0.2185430463576159</v>
      </c>
      <c r="AC45">
        <v>0.6274834437086093</v>
      </c>
      <c r="AD45">
        <v>0.466887417218543</v>
      </c>
    </row>
    <row r="46" spans="1:30">
      <c r="A46" s="1" t="s">
        <v>53</v>
      </c>
      <c r="B46">
        <f>HYPERLINK("https://www.suredividend.com/sure-analysis-THFF/","First Financial Corp. (Indiana)")</f>
        <v>0</v>
      </c>
      <c r="C46">
        <v>32.13</v>
      </c>
      <c r="D46">
        <v>434.886795</v>
      </c>
      <c r="E46" t="s">
        <v>644</v>
      </c>
      <c r="F46" t="s">
        <v>613</v>
      </c>
      <c r="G46" t="s">
        <v>653</v>
      </c>
      <c r="H46" t="s">
        <v>683</v>
      </c>
      <c r="I46" t="s">
        <v>731</v>
      </c>
      <c r="J46" t="s">
        <v>1277</v>
      </c>
      <c r="K46">
        <v>43870</v>
      </c>
      <c r="L46">
        <v>0.032797224850204</v>
      </c>
      <c r="M46">
        <v>0.05503705446947205</v>
      </c>
      <c r="N46">
        <v>0.02</v>
      </c>
      <c r="O46">
        <v>0.1006424441401881</v>
      </c>
      <c r="P46" t="s">
        <v>617</v>
      </c>
      <c r="Q46" t="s">
        <v>617</v>
      </c>
      <c r="R46">
        <v>31</v>
      </c>
      <c r="S46">
        <v>0.2736842105263158</v>
      </c>
      <c r="T46">
        <v>42</v>
      </c>
      <c r="U46">
        <v>0.765</v>
      </c>
      <c r="V46">
        <v>3.8884</v>
      </c>
      <c r="W46">
        <v>3.8</v>
      </c>
      <c r="X46">
        <v>1.04</v>
      </c>
      <c r="Y46">
        <v>-0.22903</v>
      </c>
      <c r="Z46">
        <v>0.38917089678511</v>
      </c>
      <c r="AA46">
        <v>0.4759535655058043</v>
      </c>
      <c r="AB46">
        <v>0.130794701986755</v>
      </c>
      <c r="AC46">
        <v>0.6788079470198676</v>
      </c>
      <c r="AD46">
        <v>0.4652317880794702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58.21</v>
      </c>
      <c r="D47">
        <v>3657.12828</v>
      </c>
      <c r="E47" t="s">
        <v>646</v>
      </c>
      <c r="F47" t="s">
        <v>613</v>
      </c>
      <c r="G47" t="s">
        <v>653</v>
      </c>
      <c r="H47" t="s">
        <v>682</v>
      </c>
      <c r="I47" t="s">
        <v>732</v>
      </c>
      <c r="J47" t="s">
        <v>1287</v>
      </c>
      <c r="K47">
        <v>43867</v>
      </c>
      <c r="L47">
        <v>0.035689773507206</v>
      </c>
      <c r="M47">
        <v>0.02231127699376212</v>
      </c>
      <c r="N47">
        <v>0.045</v>
      </c>
      <c r="O47">
        <v>0.1000718843689379</v>
      </c>
      <c r="P47" t="s">
        <v>617</v>
      </c>
      <c r="Q47" t="s">
        <v>618</v>
      </c>
      <c r="R47">
        <v>48</v>
      </c>
      <c r="S47">
        <v>0.5777777777777778</v>
      </c>
      <c r="T47">
        <v>65</v>
      </c>
      <c r="U47">
        <v>0.8955384615384615</v>
      </c>
      <c r="V47">
        <v>3.0711</v>
      </c>
      <c r="W47">
        <v>3.6</v>
      </c>
      <c r="X47">
        <v>2.08</v>
      </c>
      <c r="Y47">
        <v>-0.21929</v>
      </c>
      <c r="Z47">
        <v>0.4213197969543148</v>
      </c>
      <c r="AA47">
        <v>0.4908789386401327</v>
      </c>
      <c r="AB47">
        <v>0.4205298013245033</v>
      </c>
      <c r="AC47">
        <v>0.5413907284768212</v>
      </c>
      <c r="AD47">
        <v>0.4602649006622517</v>
      </c>
    </row>
    <row r="48" spans="1:30">
      <c r="A48" s="1" t="s">
        <v>55</v>
      </c>
      <c r="B48">
        <f>HYPERLINK("https://www.suredividend.com/sure-analysis-PRGO/","Perrigo Co. Plc")</f>
        <v>0</v>
      </c>
      <c r="C48">
        <v>51.69</v>
      </c>
      <c r="D48">
        <v>7131.216</v>
      </c>
      <c r="E48" t="s">
        <v>643</v>
      </c>
      <c r="F48" t="s">
        <v>613</v>
      </c>
      <c r="G48" t="s">
        <v>658</v>
      </c>
      <c r="H48" t="s">
        <v>682</v>
      </c>
      <c r="I48" t="s">
        <v>733</v>
      </c>
      <c r="J48" t="s">
        <v>1283</v>
      </c>
      <c r="K48">
        <v>43953</v>
      </c>
      <c r="L48">
        <v>0.016341743119266</v>
      </c>
      <c r="M48">
        <v>0.03367654189265212</v>
      </c>
      <c r="N48">
        <v>0.05</v>
      </c>
      <c r="O48">
        <v>0.09955414496449655</v>
      </c>
      <c r="P48" t="s">
        <v>617</v>
      </c>
      <c r="Q48" t="s">
        <v>371</v>
      </c>
      <c r="R48">
        <v>18</v>
      </c>
      <c r="S48">
        <v>0.2111111111111111</v>
      </c>
      <c r="T48">
        <v>61</v>
      </c>
      <c r="U48">
        <v>0.8473770491803279</v>
      </c>
      <c r="V48">
        <v>1.3857</v>
      </c>
      <c r="W48">
        <v>4.05</v>
      </c>
      <c r="X48">
        <v>0.855</v>
      </c>
      <c r="Y48">
        <v>0.069064</v>
      </c>
      <c r="Z48">
        <v>0.128595600676819</v>
      </c>
      <c r="AA48">
        <v>0.8275290215588723</v>
      </c>
      <c r="AB48">
        <v>0.5033112582781457</v>
      </c>
      <c r="AC48">
        <v>0.5860927152317881</v>
      </c>
      <c r="AD48">
        <v>0.456953642384106</v>
      </c>
    </row>
    <row r="49" spans="1:30">
      <c r="A49" s="1" t="s">
        <v>56</v>
      </c>
      <c r="B49">
        <f>HYPERLINK("https://www.suredividend.com/sure-analysis-ALB/","Albemarle Corp.")</f>
        <v>0</v>
      </c>
      <c r="C49">
        <v>59.74</v>
      </c>
      <c r="D49">
        <v>6159.05967</v>
      </c>
      <c r="E49" t="s">
        <v>643</v>
      </c>
      <c r="F49" t="s">
        <v>613</v>
      </c>
      <c r="G49" t="s">
        <v>653</v>
      </c>
      <c r="H49" t="s">
        <v>682</v>
      </c>
      <c r="I49" t="s">
        <v>734</v>
      </c>
      <c r="J49" t="s">
        <v>1281</v>
      </c>
      <c r="K49">
        <v>43877</v>
      </c>
      <c r="L49">
        <v>0.025375453133091</v>
      </c>
      <c r="M49">
        <v>-0.002489769146968523</v>
      </c>
      <c r="N49">
        <v>0.08</v>
      </c>
      <c r="O49">
        <v>0.09952521587827023</v>
      </c>
      <c r="P49" t="s">
        <v>617</v>
      </c>
      <c r="Q49" t="s">
        <v>618</v>
      </c>
      <c r="R49">
        <v>25</v>
      </c>
      <c r="S49">
        <v>0.2969696969696969</v>
      </c>
      <c r="T49">
        <v>59</v>
      </c>
      <c r="U49">
        <v>1.012542372881356</v>
      </c>
      <c r="V49">
        <v>5.0331</v>
      </c>
      <c r="W49">
        <v>4.95</v>
      </c>
      <c r="X49">
        <v>1.47</v>
      </c>
      <c r="Y49">
        <v>-0.236256</v>
      </c>
      <c r="Z49">
        <v>0.2944162436548223</v>
      </c>
      <c r="AA49">
        <v>0.4693200663349917</v>
      </c>
      <c r="AB49">
        <v>0.8228476821192053</v>
      </c>
      <c r="AC49">
        <v>0.4122516556291391</v>
      </c>
      <c r="AD49">
        <v>0.4552980132450331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155.99</v>
      </c>
      <c r="D50">
        <v>19685.74968</v>
      </c>
      <c r="E50" t="s">
        <v>648</v>
      </c>
      <c r="F50" t="s">
        <v>613</v>
      </c>
      <c r="G50" t="s">
        <v>653</v>
      </c>
      <c r="H50" t="s">
        <v>682</v>
      </c>
      <c r="I50" t="s">
        <v>735</v>
      </c>
      <c r="J50" t="s">
        <v>1278</v>
      </c>
      <c r="K50">
        <v>43861</v>
      </c>
      <c r="L50">
        <v>0.022952529994783</v>
      </c>
      <c r="M50">
        <v>0.002563907282243649</v>
      </c>
      <c r="N50">
        <v>0.075</v>
      </c>
      <c r="O50">
        <v>0.09726067993082732</v>
      </c>
      <c r="P50" t="s">
        <v>617</v>
      </c>
      <c r="Q50" t="s">
        <v>618</v>
      </c>
      <c r="R50">
        <v>63</v>
      </c>
      <c r="S50">
        <v>0.3336492890995261</v>
      </c>
      <c r="T50">
        <v>158</v>
      </c>
      <c r="U50">
        <v>0.9872784810126582</v>
      </c>
      <c r="V50">
        <v>10.3109</v>
      </c>
      <c r="W50">
        <v>10.55</v>
      </c>
      <c r="X50">
        <v>3.52</v>
      </c>
      <c r="Y50">
        <v>-0.115469</v>
      </c>
      <c r="Z50">
        <v>0.2538071065989848</v>
      </c>
      <c r="AA50">
        <v>0.6434494195688225</v>
      </c>
      <c r="AB50">
        <v>0.7839403973509934</v>
      </c>
      <c r="AC50">
        <v>0.4370860927152318</v>
      </c>
      <c r="AD50">
        <v>0.4437086092715232</v>
      </c>
    </row>
    <row r="51" spans="1:30">
      <c r="A51" s="1" t="s">
        <v>58</v>
      </c>
      <c r="B51">
        <f>HYPERLINK("https://www.suredividend.com/sure-analysis-SEIC/","SEI Investments Co.")</f>
        <v>0</v>
      </c>
      <c r="C51">
        <v>50.42</v>
      </c>
      <c r="D51">
        <v>7278.2544</v>
      </c>
      <c r="E51" t="s">
        <v>644</v>
      </c>
      <c r="F51" t="s">
        <v>613</v>
      </c>
      <c r="G51" t="s">
        <v>653</v>
      </c>
      <c r="H51" t="s">
        <v>683</v>
      </c>
      <c r="I51" t="s">
        <v>736</v>
      </c>
      <c r="J51" t="s">
        <v>1277</v>
      </c>
      <c r="K51">
        <v>43954</v>
      </c>
      <c r="L51">
        <v>0.013821138211382</v>
      </c>
      <c r="M51">
        <v>-0.01394985040031249</v>
      </c>
      <c r="N51">
        <v>0.1</v>
      </c>
      <c r="O51">
        <v>0.09708894943898461</v>
      </c>
      <c r="P51" t="s">
        <v>617</v>
      </c>
      <c r="Q51" t="s">
        <v>371</v>
      </c>
      <c r="R51">
        <v>29</v>
      </c>
      <c r="S51">
        <v>0.2472727272727273</v>
      </c>
      <c r="T51">
        <v>47</v>
      </c>
      <c r="U51">
        <v>1.072765957446808</v>
      </c>
      <c r="V51">
        <v>3.2978</v>
      </c>
      <c r="W51">
        <v>2.75</v>
      </c>
      <c r="X51">
        <v>0.68</v>
      </c>
      <c r="Y51">
        <v>-0.074666</v>
      </c>
      <c r="Z51">
        <v>0.09644670050761421</v>
      </c>
      <c r="AA51">
        <v>0.6766169154228855</v>
      </c>
      <c r="AB51">
        <v>0.9097682119205298</v>
      </c>
      <c r="AC51">
        <v>0.3675496688741722</v>
      </c>
      <c r="AD51">
        <v>0.4420529801324504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38.29</v>
      </c>
      <c r="D52">
        <v>23216.536391</v>
      </c>
      <c r="E52" t="s">
        <v>643</v>
      </c>
      <c r="F52" t="s">
        <v>613</v>
      </c>
      <c r="G52" t="s">
        <v>659</v>
      </c>
      <c r="H52" t="s">
        <v>682</v>
      </c>
      <c r="I52" t="s">
        <v>737</v>
      </c>
      <c r="J52" t="s">
        <v>1283</v>
      </c>
      <c r="K52">
        <v>43888</v>
      </c>
      <c r="L52">
        <v>0.016761757902852</v>
      </c>
      <c r="M52">
        <v>0.01866828423184286</v>
      </c>
      <c r="N52">
        <v>0.06</v>
      </c>
      <c r="O52">
        <v>0.09431704162585475</v>
      </c>
      <c r="P52" t="s">
        <v>617</v>
      </c>
      <c r="Q52" t="s">
        <v>371</v>
      </c>
      <c r="R52">
        <v>23</v>
      </c>
      <c r="S52">
        <v>0.2479847908745247</v>
      </c>
      <c r="T52">
        <v>42</v>
      </c>
      <c r="U52">
        <v>0.9116666666666666</v>
      </c>
      <c r="V52">
        <v>2.2189</v>
      </c>
      <c r="W52">
        <v>2.63</v>
      </c>
      <c r="X52">
        <v>0.6522</v>
      </c>
      <c r="Y52">
        <v>-0.04912</v>
      </c>
      <c r="Z52">
        <v>0.1353637901861252</v>
      </c>
      <c r="AA52">
        <v>0.7097844112769487</v>
      </c>
      <c r="AB52">
        <v>0.6423841059602649</v>
      </c>
      <c r="AC52">
        <v>0.5190397350993378</v>
      </c>
      <c r="AD52">
        <v>0.4271523178807947</v>
      </c>
    </row>
    <row r="53" spans="1:30">
      <c r="A53" s="1" t="s">
        <v>60</v>
      </c>
      <c r="B53">
        <f>HYPERLINK("https://www.suredividend.com/sure-analysis-ROST/","Ross Stores, Inc.")</f>
        <v>0</v>
      </c>
      <c r="C53">
        <v>89.87</v>
      </c>
      <c r="D53">
        <v>31579.68882</v>
      </c>
      <c r="E53" t="s">
        <v>648</v>
      </c>
      <c r="F53" t="s">
        <v>613</v>
      </c>
      <c r="G53" t="s">
        <v>653</v>
      </c>
      <c r="H53" t="s">
        <v>683</v>
      </c>
      <c r="I53" t="s">
        <v>738</v>
      </c>
      <c r="J53" t="s">
        <v>1280</v>
      </c>
      <c r="K53">
        <v>43895</v>
      </c>
      <c r="L53">
        <v>0.01147873058744</v>
      </c>
      <c r="M53">
        <v>-0.01816203259159777</v>
      </c>
      <c r="N53">
        <v>0.1</v>
      </c>
      <c r="O53">
        <v>0.09297822773954967</v>
      </c>
      <c r="P53" t="s">
        <v>617</v>
      </c>
      <c r="Q53" t="s">
        <v>371</v>
      </c>
      <c r="R53">
        <v>26</v>
      </c>
      <c r="S53">
        <v>0.2103092783505155</v>
      </c>
      <c r="T53">
        <v>82</v>
      </c>
      <c r="U53">
        <v>1.095975609756098</v>
      </c>
      <c r="V53">
        <v>4.6346</v>
      </c>
      <c r="W53">
        <v>4.85</v>
      </c>
      <c r="X53">
        <v>1.02</v>
      </c>
      <c r="Y53">
        <v>-0.07205499999999999</v>
      </c>
      <c r="Z53">
        <v>0.07106598984771574</v>
      </c>
      <c r="AA53">
        <v>0.6849087893864013</v>
      </c>
      <c r="AB53">
        <v>0.9097682119205298</v>
      </c>
      <c r="AC53">
        <v>0.347682119205298</v>
      </c>
      <c r="AD53">
        <v>0.4188741721854305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48.52</v>
      </c>
      <c r="D54">
        <v>13830.5616</v>
      </c>
      <c r="E54" t="s">
        <v>641</v>
      </c>
      <c r="F54" t="s">
        <v>613</v>
      </c>
      <c r="G54" t="s">
        <v>653</v>
      </c>
      <c r="H54" t="s">
        <v>682</v>
      </c>
      <c r="I54" t="s">
        <v>739</v>
      </c>
      <c r="J54" t="s">
        <v>1283</v>
      </c>
      <c r="K54">
        <v>43867</v>
      </c>
      <c r="L54">
        <v>0.040497890295358</v>
      </c>
      <c r="M54">
        <v>0.0178200821276393</v>
      </c>
      <c r="N54">
        <v>0.04</v>
      </c>
      <c r="O54">
        <v>0.09140921808708868</v>
      </c>
      <c r="P54" t="s">
        <v>617</v>
      </c>
      <c r="Q54" t="s">
        <v>617</v>
      </c>
      <c r="R54">
        <v>32</v>
      </c>
      <c r="S54">
        <v>0.362188679245283</v>
      </c>
      <c r="T54">
        <v>53</v>
      </c>
      <c r="U54">
        <v>0.9154716981132076</v>
      </c>
      <c r="V54">
        <v>-14.2307</v>
      </c>
      <c r="W54">
        <v>5.3</v>
      </c>
      <c r="X54">
        <v>1.9196</v>
      </c>
      <c r="Y54">
        <v>-0.031467</v>
      </c>
      <c r="Z54">
        <v>0.4856175972927242</v>
      </c>
      <c r="AA54">
        <v>0.7213930348258707</v>
      </c>
      <c r="AB54">
        <v>0.3501655629139073</v>
      </c>
      <c r="AC54">
        <v>0.5149006622516556</v>
      </c>
      <c r="AD54">
        <v>0.4089403973509934</v>
      </c>
    </row>
    <row r="55" spans="1:30">
      <c r="A55" s="1" t="s">
        <v>62</v>
      </c>
      <c r="B55">
        <f>HYPERLINK("https://www.suredividend.com/sure-analysis-ABM/","ABM Industries, Inc.")</f>
        <v>0</v>
      </c>
      <c r="C55">
        <v>31.58</v>
      </c>
      <c r="D55">
        <v>2069.55886</v>
      </c>
      <c r="E55" t="s">
        <v>646</v>
      </c>
      <c r="F55" t="s">
        <v>613</v>
      </c>
      <c r="G55" t="s">
        <v>653</v>
      </c>
      <c r="H55" t="s">
        <v>682</v>
      </c>
      <c r="I55" t="s">
        <v>740</v>
      </c>
      <c r="J55" t="s">
        <v>1278</v>
      </c>
      <c r="K55">
        <v>43907</v>
      </c>
      <c r="L55">
        <v>0.023341918866709</v>
      </c>
      <c r="M55">
        <v>0.02077772324708871</v>
      </c>
      <c r="N55">
        <v>0.05</v>
      </c>
      <c r="O55">
        <v>0.09059560796848376</v>
      </c>
      <c r="P55" t="s">
        <v>617</v>
      </c>
      <c r="Q55" t="s">
        <v>618</v>
      </c>
      <c r="R55">
        <v>52</v>
      </c>
      <c r="S55">
        <v>0.3625</v>
      </c>
      <c r="T55">
        <v>35</v>
      </c>
      <c r="U55">
        <v>0.9022857142857142</v>
      </c>
      <c r="V55">
        <v>2.1348</v>
      </c>
      <c r="W55">
        <v>2</v>
      </c>
      <c r="X55">
        <v>0.725</v>
      </c>
      <c r="Y55">
        <v>-0.18177</v>
      </c>
      <c r="Z55">
        <v>0.2639593908629442</v>
      </c>
      <c r="AA55">
        <v>0.5522388059701493</v>
      </c>
      <c r="AB55">
        <v>0.5033112582781457</v>
      </c>
      <c r="AC55">
        <v>0.5364238410596027</v>
      </c>
      <c r="AD55">
        <v>0.3990066225165563</v>
      </c>
    </row>
    <row r="56" spans="1:30">
      <c r="A56" s="1" t="s">
        <v>63</v>
      </c>
      <c r="B56">
        <f>HYPERLINK("https://www.suredividend.com/sure-analysis-GRC/","The Gorman-Rupp Co.")</f>
        <v>0</v>
      </c>
      <c r="C56">
        <v>27.92</v>
      </c>
      <c r="D56">
        <v>739.694025</v>
      </c>
      <c r="E56" t="s">
        <v>644</v>
      </c>
      <c r="F56" t="s">
        <v>613</v>
      </c>
      <c r="G56" t="s">
        <v>653</v>
      </c>
      <c r="H56" t="s">
        <v>682</v>
      </c>
      <c r="I56" t="s">
        <v>741</v>
      </c>
      <c r="J56" t="s">
        <v>1278</v>
      </c>
      <c r="K56">
        <v>43878</v>
      </c>
      <c r="L56">
        <v>0.019753086419753</v>
      </c>
      <c r="M56">
        <v>0.02765399021467529</v>
      </c>
      <c r="N56">
        <v>0.045</v>
      </c>
      <c r="O56">
        <v>0.09028052392026575</v>
      </c>
      <c r="P56" t="s">
        <v>617</v>
      </c>
      <c r="Q56" t="s">
        <v>618</v>
      </c>
      <c r="R56">
        <v>47</v>
      </c>
      <c r="S56">
        <v>0.3862068965517242</v>
      </c>
      <c r="T56">
        <v>32</v>
      </c>
      <c r="U56">
        <v>0.8725000000000001</v>
      </c>
      <c r="V56">
        <v>1.3055</v>
      </c>
      <c r="W56">
        <v>1.45</v>
      </c>
      <c r="X56">
        <v>0.5600000000000001</v>
      </c>
      <c r="Y56">
        <v>-0.152973</v>
      </c>
      <c r="Z56">
        <v>0.1878172588832487</v>
      </c>
      <c r="AA56">
        <v>0.5920398009950248</v>
      </c>
      <c r="AB56">
        <v>0.4205298013245033</v>
      </c>
      <c r="AC56">
        <v>0.5645695364238411</v>
      </c>
      <c r="AD56">
        <v>0.3973509933774835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42.79</v>
      </c>
      <c r="D57">
        <v>2258.289753</v>
      </c>
      <c r="E57" t="s">
        <v>643</v>
      </c>
      <c r="F57" t="s">
        <v>613</v>
      </c>
      <c r="G57" t="s">
        <v>653</v>
      </c>
      <c r="H57" t="s">
        <v>682</v>
      </c>
      <c r="I57" t="s">
        <v>742</v>
      </c>
      <c r="J57" t="s">
        <v>1278</v>
      </c>
      <c r="K57">
        <v>43882</v>
      </c>
      <c r="L57">
        <v>0.020316560359083</v>
      </c>
      <c r="M57">
        <v>0.02324537461906373</v>
      </c>
      <c r="N57">
        <v>0.05</v>
      </c>
      <c r="O57">
        <v>0.08974385460908252</v>
      </c>
      <c r="P57" t="s">
        <v>617</v>
      </c>
      <c r="Q57" t="s">
        <v>618</v>
      </c>
      <c r="R57">
        <v>34</v>
      </c>
      <c r="S57">
        <v>0.3307692307692308</v>
      </c>
      <c r="T57">
        <v>48</v>
      </c>
      <c r="U57">
        <v>0.8914583333333334</v>
      </c>
      <c r="V57">
        <v>2.6864</v>
      </c>
      <c r="W57">
        <v>2.6</v>
      </c>
      <c r="X57">
        <v>0.86</v>
      </c>
      <c r="Y57">
        <v>-0.130265</v>
      </c>
      <c r="Z57">
        <v>0.1979695431472081</v>
      </c>
      <c r="AA57">
        <v>0.6218905472636816</v>
      </c>
      <c r="AB57">
        <v>0.5033112582781457</v>
      </c>
      <c r="AC57">
        <v>0.5447019867549669</v>
      </c>
      <c r="AD57">
        <v>0.3956953642384106</v>
      </c>
    </row>
    <row r="58" spans="1:30">
      <c r="A58" s="1" t="s">
        <v>65</v>
      </c>
      <c r="B58">
        <f>HYPERLINK("https://www.suredividend.com/sure-analysis-SWK/","Stanley Black &amp; Decker, Inc.")</f>
        <v>0</v>
      </c>
      <c r="C58">
        <v>109.98</v>
      </c>
      <c r="D58">
        <v>16354.41597</v>
      </c>
      <c r="E58" t="s">
        <v>643</v>
      </c>
      <c r="F58" t="s">
        <v>613</v>
      </c>
      <c r="G58" t="s">
        <v>653</v>
      </c>
      <c r="H58" t="s">
        <v>682</v>
      </c>
      <c r="I58" t="s">
        <v>743</v>
      </c>
      <c r="J58" t="s">
        <v>1278</v>
      </c>
      <c r="K58">
        <v>43951</v>
      </c>
      <c r="L58">
        <v>0.02572801809443</v>
      </c>
      <c r="M58">
        <v>-0.01495223200456863</v>
      </c>
      <c r="N58">
        <v>0.08</v>
      </c>
      <c r="O58">
        <v>0.08761063854161533</v>
      </c>
      <c r="P58" t="s">
        <v>617</v>
      </c>
      <c r="Q58" t="s">
        <v>618</v>
      </c>
      <c r="R58">
        <v>52</v>
      </c>
      <c r="S58">
        <v>0.4193548387096774</v>
      </c>
      <c r="T58">
        <v>102</v>
      </c>
      <c r="U58">
        <v>1.078235294117647</v>
      </c>
      <c r="V58">
        <v>6.1817</v>
      </c>
      <c r="W58">
        <v>6.51</v>
      </c>
      <c r="X58">
        <v>2.73</v>
      </c>
      <c r="Y58">
        <v>-0.261227</v>
      </c>
      <c r="Z58">
        <v>0.3028764805414552</v>
      </c>
      <c r="AA58">
        <v>0.4311774461028193</v>
      </c>
      <c r="AB58">
        <v>0.8228476821192053</v>
      </c>
      <c r="AC58">
        <v>0.3609271523178808</v>
      </c>
      <c r="AD58">
        <v>0.380794701986755</v>
      </c>
    </row>
    <row r="59" spans="1:30">
      <c r="A59" s="1" t="s">
        <v>66</v>
      </c>
      <c r="B59">
        <f>HYPERLINK("https://www.suredividend.com/sure-analysis-TGT/","Target Corp.")</f>
        <v>0</v>
      </c>
      <c r="C59">
        <v>113.36</v>
      </c>
      <c r="D59">
        <v>56770.57782</v>
      </c>
      <c r="E59" t="s">
        <v>644</v>
      </c>
      <c r="F59" t="s">
        <v>613</v>
      </c>
      <c r="G59" t="s">
        <v>653</v>
      </c>
      <c r="H59" t="s">
        <v>682</v>
      </c>
      <c r="I59" t="s">
        <v>744</v>
      </c>
      <c r="J59" t="s">
        <v>1284</v>
      </c>
      <c r="K59">
        <v>43898</v>
      </c>
      <c r="L59">
        <v>0.023067441450959</v>
      </c>
      <c r="M59">
        <v>0.006341087993253058</v>
      </c>
      <c r="N59">
        <v>0.06</v>
      </c>
      <c r="O59">
        <v>0.08738867648732729</v>
      </c>
      <c r="P59" t="s">
        <v>617</v>
      </c>
      <c r="Q59" t="s">
        <v>618</v>
      </c>
      <c r="R59">
        <v>48</v>
      </c>
      <c r="S59">
        <v>0.3797101449275362</v>
      </c>
      <c r="T59">
        <v>117</v>
      </c>
      <c r="U59">
        <v>0.9688888888888889</v>
      </c>
      <c r="V59">
        <v>6.4217</v>
      </c>
      <c r="W59">
        <v>6.9</v>
      </c>
      <c r="X59">
        <v>2.62</v>
      </c>
      <c r="Y59">
        <v>0.513593</v>
      </c>
      <c r="Z59">
        <v>0.2571912013536379</v>
      </c>
      <c r="AA59">
        <v>0.9850746268656717</v>
      </c>
      <c r="AB59">
        <v>0.6423841059602649</v>
      </c>
      <c r="AC59">
        <v>0.4718543046357616</v>
      </c>
      <c r="AD59">
        <v>0.3741721854304636</v>
      </c>
    </row>
    <row r="60" spans="1:30">
      <c r="A60" s="1" t="s">
        <v>67</v>
      </c>
      <c r="B60">
        <f>HYPERLINK("https://www.suredividend.com/sure-analysis-NVS/","Novartis AG")</f>
        <v>0</v>
      </c>
      <c r="C60">
        <v>84.67</v>
      </c>
      <c r="D60">
        <v>193318.063064</v>
      </c>
      <c r="E60" t="s">
        <v>643</v>
      </c>
      <c r="F60" t="s">
        <v>613</v>
      </c>
      <c r="G60" t="s">
        <v>656</v>
      </c>
      <c r="H60" t="s">
        <v>682</v>
      </c>
      <c r="I60" t="s">
        <v>745</v>
      </c>
      <c r="J60" t="s">
        <v>1283</v>
      </c>
      <c r="K60">
        <v>43951</v>
      </c>
      <c r="L60">
        <v>0.023512478031634</v>
      </c>
      <c r="M60">
        <v>0.01452409617154693</v>
      </c>
      <c r="N60">
        <v>0.04</v>
      </c>
      <c r="O60">
        <v>0.08637411567960096</v>
      </c>
      <c r="P60" t="s">
        <v>617</v>
      </c>
      <c r="Q60" t="s">
        <v>618</v>
      </c>
      <c r="R60">
        <v>24</v>
      </c>
      <c r="S60">
        <v>0.3514518388791594</v>
      </c>
      <c r="T60">
        <v>91</v>
      </c>
      <c r="U60">
        <v>0.9304395604395604</v>
      </c>
      <c r="V60">
        <v>5.1085</v>
      </c>
      <c r="W60">
        <v>5.71</v>
      </c>
      <c r="X60">
        <v>2.00679</v>
      </c>
      <c r="Y60">
        <v>0.052794</v>
      </c>
      <c r="Z60">
        <v>0.2673434856175973</v>
      </c>
      <c r="AA60">
        <v>0.8175787728026533</v>
      </c>
      <c r="AB60">
        <v>0.3501655629139073</v>
      </c>
      <c r="AC60">
        <v>0.5049668874172185</v>
      </c>
      <c r="AD60">
        <v>0.369205298013245</v>
      </c>
    </row>
    <row r="61" spans="1:30">
      <c r="A61" s="1" t="s">
        <v>68</v>
      </c>
      <c r="B61">
        <f>HYPERLINK("https://www.suredividend.com/sure-analysis-AOS/","A. O. Smith Corp.")</f>
        <v>0</v>
      </c>
      <c r="C61">
        <v>43.31</v>
      </c>
      <c r="D61">
        <v>5934.654</v>
      </c>
      <c r="E61" t="s">
        <v>646</v>
      </c>
      <c r="F61" t="s">
        <v>613</v>
      </c>
      <c r="G61" t="s">
        <v>653</v>
      </c>
      <c r="H61" t="s">
        <v>682</v>
      </c>
      <c r="I61" t="s">
        <v>746</v>
      </c>
      <c r="J61" t="s">
        <v>1278</v>
      </c>
      <c r="K61">
        <v>43860</v>
      </c>
      <c r="L61">
        <v>0.021076746849942</v>
      </c>
      <c r="M61">
        <v>0.003166217650135916</v>
      </c>
      <c r="N61">
        <v>0.06</v>
      </c>
      <c r="O61">
        <v>0.08633313335549153</v>
      </c>
      <c r="P61" t="s">
        <v>617</v>
      </c>
      <c r="Q61" t="s">
        <v>371</v>
      </c>
      <c r="R61">
        <v>26</v>
      </c>
      <c r="S61">
        <v>0.3755102040816327</v>
      </c>
      <c r="T61">
        <v>44</v>
      </c>
      <c r="U61">
        <v>0.9843181818181819</v>
      </c>
      <c r="V61">
        <v>2.0251</v>
      </c>
      <c r="W61">
        <v>2.45</v>
      </c>
      <c r="X61">
        <v>0.92</v>
      </c>
      <c r="Y61">
        <v>-0.150613</v>
      </c>
      <c r="Z61">
        <v>0.2098138747884941</v>
      </c>
      <c r="AA61">
        <v>0.593698175787728</v>
      </c>
      <c r="AB61">
        <v>0.6423841059602649</v>
      </c>
      <c r="AC61">
        <v>0.445364238410596</v>
      </c>
      <c r="AD61">
        <v>0.3675496688741722</v>
      </c>
    </row>
    <row r="62" spans="1:30">
      <c r="A62" s="1" t="s">
        <v>69</v>
      </c>
      <c r="B62">
        <f>HYPERLINK("https://www.suredividend.com/sure-analysis-AAP/","Advance Auto Parts, Inc.")</f>
        <v>0</v>
      </c>
      <c r="C62">
        <v>119.61</v>
      </c>
      <c r="D62">
        <v>8370.82324</v>
      </c>
      <c r="E62" t="s">
        <v>641</v>
      </c>
      <c r="F62" t="s">
        <v>613</v>
      </c>
      <c r="G62" t="s">
        <v>653</v>
      </c>
      <c r="H62" t="s">
        <v>682</v>
      </c>
      <c r="I62" t="s">
        <v>747</v>
      </c>
      <c r="J62" t="s">
        <v>1280</v>
      </c>
      <c r="K62">
        <v>43880</v>
      </c>
      <c r="L62">
        <v>0.001980851766259</v>
      </c>
      <c r="M62">
        <v>0.02601635496675514</v>
      </c>
      <c r="N62">
        <v>0.05</v>
      </c>
      <c r="O62">
        <v>0.08443752499719892</v>
      </c>
      <c r="P62" t="s">
        <v>617</v>
      </c>
      <c r="Q62" t="s">
        <v>317</v>
      </c>
      <c r="R62">
        <v>1</v>
      </c>
      <c r="S62">
        <v>0.02823529411764706</v>
      </c>
      <c r="T62">
        <v>136</v>
      </c>
      <c r="U62">
        <v>0.8794852941176471</v>
      </c>
      <c r="V62">
        <v>6.8668</v>
      </c>
      <c r="W62">
        <v>8.5</v>
      </c>
      <c r="X62">
        <v>0.24</v>
      </c>
      <c r="Y62">
        <v>-0.245861</v>
      </c>
      <c r="Z62">
        <v>0.00338409475465313</v>
      </c>
      <c r="AA62">
        <v>0.451077943615257</v>
      </c>
      <c r="AB62">
        <v>0.5033112582781457</v>
      </c>
      <c r="AC62">
        <v>0.554635761589404</v>
      </c>
      <c r="AD62">
        <v>0.3526490066225165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256.25</v>
      </c>
      <c r="D63">
        <v>73301.39874999999</v>
      </c>
      <c r="E63" t="s">
        <v>643</v>
      </c>
      <c r="F63" t="s">
        <v>613</v>
      </c>
      <c r="G63" t="s">
        <v>653</v>
      </c>
      <c r="H63" t="s">
        <v>682</v>
      </c>
      <c r="I63" t="s">
        <v>748</v>
      </c>
      <c r="J63" t="s">
        <v>1283</v>
      </c>
      <c r="K63">
        <v>43867</v>
      </c>
      <c r="L63">
        <v>0.011963107320649</v>
      </c>
      <c r="M63">
        <v>-0.02916442987446066</v>
      </c>
      <c r="N63">
        <v>0.1</v>
      </c>
      <c r="O63">
        <v>0.08005190328295231</v>
      </c>
      <c r="P63" t="s">
        <v>617</v>
      </c>
      <c r="Q63" t="s">
        <v>371</v>
      </c>
      <c r="R63">
        <v>48</v>
      </c>
      <c r="S63">
        <v>0.2583333333333334</v>
      </c>
      <c r="T63">
        <v>221</v>
      </c>
      <c r="U63">
        <v>1.159502262443439</v>
      </c>
      <c r="V63">
        <v>2.7553</v>
      </c>
      <c r="W63">
        <v>12</v>
      </c>
      <c r="X63">
        <v>3.1</v>
      </c>
      <c r="Y63">
        <v>0.114298</v>
      </c>
      <c r="Z63">
        <v>0.077834179357022</v>
      </c>
      <c r="AA63">
        <v>0.8772802653399668</v>
      </c>
      <c r="AB63">
        <v>0.9097682119205298</v>
      </c>
      <c r="AC63">
        <v>0.2781456953642384</v>
      </c>
      <c r="AD63">
        <v>0.3294701986754967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88.73999999999999</v>
      </c>
      <c r="D64">
        <v>17603.766</v>
      </c>
      <c r="E64" t="s">
        <v>641</v>
      </c>
      <c r="F64" t="s">
        <v>613</v>
      </c>
      <c r="G64" t="s">
        <v>653</v>
      </c>
      <c r="H64" t="s">
        <v>682</v>
      </c>
      <c r="I64" t="s">
        <v>749</v>
      </c>
      <c r="J64" t="s">
        <v>1283</v>
      </c>
      <c r="K64">
        <v>43861</v>
      </c>
      <c r="L64">
        <v>0.018713450292397</v>
      </c>
      <c r="M64">
        <v>0.007241661143049027</v>
      </c>
      <c r="N64">
        <v>0.05</v>
      </c>
      <c r="O64">
        <v>0.07617178718160211</v>
      </c>
      <c r="P64" t="s">
        <v>617</v>
      </c>
      <c r="Q64" t="s">
        <v>371</v>
      </c>
      <c r="R64">
        <v>15</v>
      </c>
      <c r="S64">
        <v>0.2083333333333333</v>
      </c>
      <c r="T64">
        <v>92</v>
      </c>
      <c r="U64">
        <v>0.9645652173913043</v>
      </c>
      <c r="V64">
        <v>3.1185</v>
      </c>
      <c r="W64">
        <v>7.68</v>
      </c>
      <c r="X64">
        <v>1.6</v>
      </c>
      <c r="Y64">
        <v>0.103796</v>
      </c>
      <c r="Z64">
        <v>0.16751269035533</v>
      </c>
      <c r="AA64">
        <v>0.8656716417910448</v>
      </c>
      <c r="AB64">
        <v>0.5033112582781457</v>
      </c>
      <c r="AC64">
        <v>0.4751655629139073</v>
      </c>
      <c r="AD64">
        <v>0.3145695364238411</v>
      </c>
    </row>
    <row r="65" spans="1:30">
      <c r="A65" s="1" t="s">
        <v>72</v>
      </c>
      <c r="B65">
        <f>HYPERLINK("https://www.suredividend.com/sure-analysis-CPKF/","Chesapeake Financial Shares, Inc. (Maryland)")</f>
        <v>0</v>
      </c>
      <c r="C65">
        <v>18.9</v>
      </c>
      <c r="D65">
        <v>93.28151699999999</v>
      </c>
      <c r="E65" t="s">
        <v>644</v>
      </c>
      <c r="F65" t="s">
        <v>613</v>
      </c>
      <c r="G65" t="s">
        <v>653</v>
      </c>
      <c r="H65" t="s">
        <v>684</v>
      </c>
      <c r="I65" t="s">
        <v>750</v>
      </c>
      <c r="J65" t="s">
        <v>1277</v>
      </c>
      <c r="K65">
        <v>43953</v>
      </c>
      <c r="L65">
        <v>0.026013932820767</v>
      </c>
      <c r="M65">
        <v>0.0308421672439656</v>
      </c>
      <c r="N65">
        <v>0.02</v>
      </c>
      <c r="O65">
        <v>0.07482276473756699</v>
      </c>
      <c r="P65" t="s">
        <v>617</v>
      </c>
      <c r="Q65" t="s">
        <v>618</v>
      </c>
      <c r="R65">
        <v>28</v>
      </c>
      <c r="S65">
        <v>0.2092184384308511</v>
      </c>
      <c r="T65">
        <v>22</v>
      </c>
      <c r="U65">
        <v>0.859090909090909</v>
      </c>
      <c r="V65">
        <v>2.3917</v>
      </c>
      <c r="W65">
        <v>2.35</v>
      </c>
      <c r="X65">
        <v>0.4916633303125</v>
      </c>
      <c r="Y65">
        <v>-0.14415</v>
      </c>
      <c r="Z65">
        <v>0.3079526226734349</v>
      </c>
      <c r="AA65">
        <v>0.5986733001658375</v>
      </c>
      <c r="AB65">
        <v>0.130794701986755</v>
      </c>
      <c r="AC65">
        <v>0.5761589403973509</v>
      </c>
      <c r="AD65">
        <v>0.3013245033112583</v>
      </c>
    </row>
    <row r="66" spans="1:30">
      <c r="A66" s="1" t="s">
        <v>73</v>
      </c>
      <c r="B66">
        <f>HYPERLINK("https://www.suredividend.com/sure-analysis-MMM/","3M Co.")</f>
        <v>0</v>
      </c>
      <c r="C66">
        <v>145.74</v>
      </c>
      <c r="D66">
        <v>84093.65519999999</v>
      </c>
      <c r="E66" t="s">
        <v>643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43949</v>
      </c>
      <c r="L66">
        <v>0.039603283173734</v>
      </c>
      <c r="M66">
        <v>-0.009425356058021972</v>
      </c>
      <c r="N66">
        <v>0.05</v>
      </c>
      <c r="O66">
        <v>0.07436259358741037</v>
      </c>
      <c r="P66" t="s">
        <v>617</v>
      </c>
      <c r="Q66" t="s">
        <v>617</v>
      </c>
      <c r="R66">
        <v>62</v>
      </c>
      <c r="S66">
        <v>0.6868327402135231</v>
      </c>
      <c r="T66">
        <v>139</v>
      </c>
      <c r="U66">
        <v>1.048489208633094</v>
      </c>
      <c r="V66">
        <v>8.6172</v>
      </c>
      <c r="W66">
        <v>8.43</v>
      </c>
      <c r="X66">
        <v>5.79</v>
      </c>
      <c r="Y66">
        <v>-0.183787</v>
      </c>
      <c r="Z66">
        <v>0.4754653130287648</v>
      </c>
      <c r="AA66">
        <v>0.5489220563847429</v>
      </c>
      <c r="AB66">
        <v>0.5033112582781457</v>
      </c>
      <c r="AC66">
        <v>0.3874172185430463</v>
      </c>
      <c r="AD66">
        <v>0.2996688741721855</v>
      </c>
    </row>
    <row r="67" spans="1:30">
      <c r="A67" s="1" t="s">
        <v>74</v>
      </c>
      <c r="B67">
        <f>HYPERLINK("https://www.suredividend.com/sure-analysis-SYK/","Stryker Corp.")</f>
        <v>0</v>
      </c>
      <c r="C67">
        <v>192.19</v>
      </c>
      <c r="D67">
        <v>69658.03552</v>
      </c>
      <c r="E67" t="s">
        <v>643</v>
      </c>
      <c r="F67" t="s">
        <v>613</v>
      </c>
      <c r="G67" t="s">
        <v>653</v>
      </c>
      <c r="H67" t="s">
        <v>682</v>
      </c>
      <c r="I67" t="s">
        <v>752</v>
      </c>
      <c r="J67" t="s">
        <v>1283</v>
      </c>
      <c r="K67">
        <v>43953</v>
      </c>
      <c r="L67">
        <v>0.011784330606973</v>
      </c>
      <c r="M67">
        <v>-0.05349172806007607</v>
      </c>
      <c r="N67">
        <v>0.12</v>
      </c>
      <c r="O67">
        <v>0.07323659525125326</v>
      </c>
      <c r="P67" t="s">
        <v>617</v>
      </c>
      <c r="Q67" t="s">
        <v>371</v>
      </c>
      <c r="R67">
        <v>26</v>
      </c>
      <c r="S67">
        <v>0.3459715639810426</v>
      </c>
      <c r="T67">
        <v>146</v>
      </c>
      <c r="U67">
        <v>1.316369863013699</v>
      </c>
      <c r="V67">
        <v>5.7809</v>
      </c>
      <c r="W67">
        <v>6.33</v>
      </c>
      <c r="X67">
        <v>2.19</v>
      </c>
      <c r="Y67">
        <v>-0.009011999999999999</v>
      </c>
      <c r="Z67">
        <v>0.07445008460236886</v>
      </c>
      <c r="AA67">
        <v>0.7529021558872305</v>
      </c>
      <c r="AB67">
        <v>0.9354304635761589</v>
      </c>
      <c r="AC67">
        <v>0.1837748344370861</v>
      </c>
      <c r="AD67">
        <v>0.2963576158940397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111.35</v>
      </c>
      <c r="D68">
        <v>24620.8018</v>
      </c>
      <c r="E68" t="s">
        <v>641</v>
      </c>
      <c r="F68" t="s">
        <v>613</v>
      </c>
      <c r="G68" t="s">
        <v>653</v>
      </c>
      <c r="H68" t="s">
        <v>683</v>
      </c>
      <c r="I68" t="s">
        <v>753</v>
      </c>
      <c r="J68" t="s">
        <v>1277</v>
      </c>
      <c r="K68">
        <v>43951</v>
      </c>
      <c r="L68">
        <v>0.029390018484288</v>
      </c>
      <c r="M68">
        <v>-0.004257015406908593</v>
      </c>
      <c r="N68">
        <v>0.05</v>
      </c>
      <c r="O68">
        <v>0.07281516324017767</v>
      </c>
      <c r="P68" t="s">
        <v>617</v>
      </c>
      <c r="Q68" t="s">
        <v>618</v>
      </c>
      <c r="R68">
        <v>34</v>
      </c>
      <c r="S68">
        <v>0.4386206896551724</v>
      </c>
      <c r="T68">
        <v>109</v>
      </c>
      <c r="U68">
        <v>1.021559633027523</v>
      </c>
      <c r="V68">
        <v>8.1348</v>
      </c>
      <c r="W68">
        <v>7.25</v>
      </c>
      <c r="X68">
        <v>3.18</v>
      </c>
      <c r="Y68">
        <v>0.047435</v>
      </c>
      <c r="Z68">
        <v>0.3468697123519459</v>
      </c>
      <c r="AA68">
        <v>0.8109452736318409</v>
      </c>
      <c r="AB68">
        <v>0.5033112582781457</v>
      </c>
      <c r="AC68">
        <v>0.4006622516556291</v>
      </c>
      <c r="AD68">
        <v>0.2897350993377483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43.29</v>
      </c>
      <c r="D69">
        <v>5473.97178</v>
      </c>
      <c r="E69" t="s">
        <v>644</v>
      </c>
      <c r="F69" t="s">
        <v>613</v>
      </c>
      <c r="G69" t="s">
        <v>653</v>
      </c>
      <c r="H69" t="s">
        <v>682</v>
      </c>
      <c r="I69" t="s">
        <v>754</v>
      </c>
      <c r="J69" t="s">
        <v>1278</v>
      </c>
      <c r="K69">
        <v>43899</v>
      </c>
      <c r="L69">
        <v>0.019453450671607</v>
      </c>
      <c r="M69">
        <v>-0.006032141771013966</v>
      </c>
      <c r="N69">
        <v>0.06</v>
      </c>
      <c r="O69">
        <v>0.07280375409921658</v>
      </c>
      <c r="P69" t="s">
        <v>617</v>
      </c>
      <c r="Q69" t="s">
        <v>371</v>
      </c>
      <c r="R69">
        <v>33</v>
      </c>
      <c r="S69">
        <v>0.4</v>
      </c>
      <c r="T69">
        <v>42</v>
      </c>
      <c r="U69">
        <v>1.030714285714286</v>
      </c>
      <c r="V69">
        <v>2.0586</v>
      </c>
      <c r="W69">
        <v>2.1</v>
      </c>
      <c r="X69">
        <v>0.84</v>
      </c>
      <c r="Y69">
        <v>-0.181577</v>
      </c>
      <c r="Z69">
        <v>0.182741116751269</v>
      </c>
      <c r="AA69">
        <v>0.5538971807628524</v>
      </c>
      <c r="AB69">
        <v>0.6423841059602649</v>
      </c>
      <c r="AC69">
        <v>0.3956953642384106</v>
      </c>
      <c r="AD69">
        <v>0.2880794701986755</v>
      </c>
    </row>
    <row r="70" spans="1:30">
      <c r="A70" s="1" t="s">
        <v>77</v>
      </c>
      <c r="B70">
        <f>HYPERLINK("https://www.suredividend.com/sure-analysis-ADP/","Automatic Data Processing, Inc.")</f>
        <v>0</v>
      </c>
      <c r="C70">
        <v>147.71</v>
      </c>
      <c r="D70">
        <v>62128.12944</v>
      </c>
      <c r="E70" t="s">
        <v>644</v>
      </c>
      <c r="F70" t="s">
        <v>613</v>
      </c>
      <c r="G70" t="s">
        <v>653</v>
      </c>
      <c r="H70" t="s">
        <v>683</v>
      </c>
      <c r="I70" t="s">
        <v>755</v>
      </c>
      <c r="J70" t="s">
        <v>1278</v>
      </c>
      <c r="K70">
        <v>43953</v>
      </c>
      <c r="L70">
        <v>0.023519645821804</v>
      </c>
      <c r="M70">
        <v>-0.02976091756576416</v>
      </c>
      <c r="N70">
        <v>0.08</v>
      </c>
      <c r="O70">
        <v>0.07257106365526678</v>
      </c>
      <c r="P70" t="s">
        <v>617</v>
      </c>
      <c r="Q70" t="s">
        <v>371</v>
      </c>
      <c r="R70">
        <v>44</v>
      </c>
      <c r="S70">
        <v>0.591304347826087</v>
      </c>
      <c r="T70">
        <v>127</v>
      </c>
      <c r="U70">
        <v>1.163070866141732</v>
      </c>
      <c r="V70">
        <v>5.8651</v>
      </c>
      <c r="W70">
        <v>5.75</v>
      </c>
      <c r="X70">
        <v>3.4</v>
      </c>
      <c r="Y70">
        <v>-0.087086</v>
      </c>
      <c r="Z70">
        <v>0.2690355329949239</v>
      </c>
      <c r="AA70">
        <v>0.6666666666666667</v>
      </c>
      <c r="AB70">
        <v>0.8228476821192053</v>
      </c>
      <c r="AC70">
        <v>0.2748344370860927</v>
      </c>
      <c r="AD70">
        <v>0.2847682119205298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91.06999999999999</v>
      </c>
      <c r="D71">
        <v>13008.49039</v>
      </c>
      <c r="E71" t="s">
        <v>643</v>
      </c>
      <c r="F71" t="s">
        <v>613</v>
      </c>
      <c r="G71" t="s">
        <v>653</v>
      </c>
      <c r="H71" t="s">
        <v>682</v>
      </c>
      <c r="I71" t="s">
        <v>756</v>
      </c>
      <c r="J71" t="s">
        <v>1278</v>
      </c>
      <c r="K71">
        <v>43944</v>
      </c>
      <c r="L71">
        <v>0.02157795728671</v>
      </c>
      <c r="M71">
        <v>-0.02803561663585996</v>
      </c>
      <c r="N71">
        <v>0.08</v>
      </c>
      <c r="O71">
        <v>0.06952044338501895</v>
      </c>
      <c r="P71" t="s">
        <v>617</v>
      </c>
      <c r="Q71" t="s">
        <v>618</v>
      </c>
      <c r="R71">
        <v>64</v>
      </c>
      <c r="S71">
        <v>0.4012345679012346</v>
      </c>
      <c r="T71">
        <v>79</v>
      </c>
      <c r="U71">
        <v>1.152784810126582</v>
      </c>
      <c r="V71">
        <v>5.1614</v>
      </c>
      <c r="W71">
        <v>4.86</v>
      </c>
      <c r="X71">
        <v>1.95</v>
      </c>
      <c r="Y71">
        <v>-0.07065</v>
      </c>
      <c r="Z71">
        <v>0.2267343485617597</v>
      </c>
      <c r="AA71">
        <v>0.6865671641791045</v>
      </c>
      <c r="AB71">
        <v>0.8228476821192053</v>
      </c>
      <c r="AC71">
        <v>0.2814569536423841</v>
      </c>
      <c r="AD71">
        <v>0.2748344370860927</v>
      </c>
    </row>
    <row r="72" spans="1:30">
      <c r="A72" s="1" t="s">
        <v>79</v>
      </c>
      <c r="B72">
        <f>HYPERLINK("https://www.suredividend.com/sure-analysis-LOW/","Lowe's Cos., Inc.")</f>
        <v>0</v>
      </c>
      <c r="C72">
        <v>111.92</v>
      </c>
      <c r="D72">
        <v>82757.50938</v>
      </c>
      <c r="E72" t="s">
        <v>650</v>
      </c>
      <c r="F72" t="s">
        <v>613</v>
      </c>
      <c r="G72" t="s">
        <v>653</v>
      </c>
      <c r="H72" t="s">
        <v>682</v>
      </c>
      <c r="I72" t="s">
        <v>757</v>
      </c>
      <c r="J72" t="s">
        <v>1280</v>
      </c>
      <c r="K72">
        <v>43922</v>
      </c>
      <c r="L72">
        <v>0.019430760810071</v>
      </c>
      <c r="M72">
        <v>-0.0108101925793711</v>
      </c>
      <c r="N72">
        <v>0.06</v>
      </c>
      <c r="O72">
        <v>0.06796767168334483</v>
      </c>
      <c r="P72" t="s">
        <v>617</v>
      </c>
      <c r="Q72" t="s">
        <v>618</v>
      </c>
      <c r="R72">
        <v>57</v>
      </c>
      <c r="S72">
        <v>0.3408</v>
      </c>
      <c r="T72">
        <v>106</v>
      </c>
      <c r="U72">
        <v>1.055849056603774</v>
      </c>
      <c r="V72">
        <v>5.4746</v>
      </c>
      <c r="W72">
        <v>6.25</v>
      </c>
      <c r="X72">
        <v>2.13</v>
      </c>
      <c r="Y72">
        <v>0.023338</v>
      </c>
      <c r="Z72">
        <v>0.1810490693739425</v>
      </c>
      <c r="AA72">
        <v>0.7794361525704809</v>
      </c>
      <c r="AB72">
        <v>0.6423841059602649</v>
      </c>
      <c r="AC72">
        <v>0.3791390728476822</v>
      </c>
      <c r="AD72">
        <v>0.2682119205298014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63.935</v>
      </c>
      <c r="D73">
        <v>47941.13558</v>
      </c>
      <c r="E73" t="s">
        <v>644</v>
      </c>
      <c r="F73" t="s">
        <v>613</v>
      </c>
      <c r="G73" t="s">
        <v>653</v>
      </c>
      <c r="H73" t="s">
        <v>683</v>
      </c>
      <c r="I73" t="s">
        <v>758</v>
      </c>
      <c r="J73" t="s">
        <v>1278</v>
      </c>
      <c r="K73">
        <v>43947</v>
      </c>
      <c r="L73">
        <v>0.015647453297141</v>
      </c>
      <c r="M73">
        <v>-0.03682003561785907</v>
      </c>
      <c r="N73">
        <v>0.09</v>
      </c>
      <c r="O73">
        <v>0.0677420089104035</v>
      </c>
      <c r="P73" t="s">
        <v>617</v>
      </c>
      <c r="Q73" t="s">
        <v>371</v>
      </c>
      <c r="R73">
        <v>16</v>
      </c>
      <c r="S73">
        <v>0.276056338028169</v>
      </c>
      <c r="T73">
        <v>53</v>
      </c>
      <c r="U73">
        <v>1.206320754716981</v>
      </c>
      <c r="V73">
        <v>4.1517</v>
      </c>
      <c r="W73">
        <v>3.55</v>
      </c>
      <c r="X73">
        <v>0.98</v>
      </c>
      <c r="Y73">
        <v>-0.199821</v>
      </c>
      <c r="Z73">
        <v>0.1201353637901861</v>
      </c>
      <c r="AA73">
        <v>0.5190713101160863</v>
      </c>
      <c r="AB73">
        <v>0.8766556291390728</v>
      </c>
      <c r="AC73">
        <v>0.2433774834437086</v>
      </c>
      <c r="AD73">
        <v>0.2665562913907285</v>
      </c>
    </row>
    <row r="74" spans="1:30">
      <c r="A74" s="1" t="s">
        <v>81</v>
      </c>
      <c r="B74">
        <f>HYPERLINK("https://www.suredividend.com/sure-analysis-GWW/","W.W. Grainger, Inc.")</f>
        <v>0</v>
      </c>
      <c r="C74">
        <v>281.11</v>
      </c>
      <c r="D74">
        <v>14997.74595</v>
      </c>
      <c r="E74" t="s">
        <v>649</v>
      </c>
      <c r="F74" t="s">
        <v>613</v>
      </c>
      <c r="G74" t="s">
        <v>653</v>
      </c>
      <c r="H74" t="s">
        <v>682</v>
      </c>
      <c r="I74" t="s">
        <v>759</v>
      </c>
      <c r="J74" t="s">
        <v>1278</v>
      </c>
      <c r="K74">
        <v>43913</v>
      </c>
      <c r="L74">
        <v>0.020534759358288</v>
      </c>
      <c r="M74">
        <v>-0.03112669680171609</v>
      </c>
      <c r="N74">
        <v>0.08</v>
      </c>
      <c r="O74">
        <v>0.06500191720640358</v>
      </c>
      <c r="P74" t="s">
        <v>617</v>
      </c>
      <c r="Q74" t="s">
        <v>618</v>
      </c>
      <c r="R74">
        <v>48</v>
      </c>
      <c r="S74">
        <v>0.36</v>
      </c>
      <c r="T74">
        <v>240</v>
      </c>
      <c r="U74">
        <v>1.171291666666667</v>
      </c>
      <c r="V74">
        <v>14.1622</v>
      </c>
      <c r="W74">
        <v>16</v>
      </c>
      <c r="X74">
        <v>5.76</v>
      </c>
      <c r="Y74">
        <v>0.014613</v>
      </c>
      <c r="Z74">
        <v>0.2013536379018613</v>
      </c>
      <c r="AA74">
        <v>0.7744610281923715</v>
      </c>
      <c r="AB74">
        <v>0.8228476821192053</v>
      </c>
      <c r="AC74">
        <v>0.2615894039735099</v>
      </c>
      <c r="AD74">
        <v>0.2566225165562914</v>
      </c>
    </row>
    <row r="75" spans="1:30">
      <c r="A75" s="1" t="s">
        <v>82</v>
      </c>
      <c r="B75">
        <f>HYPERLINK("https://www.suredividend.com/sure-analysis-KMB/","Kimberly-Clark Corp.")</f>
        <v>0</v>
      </c>
      <c r="C75">
        <v>136.7</v>
      </c>
      <c r="D75">
        <v>45895.51919</v>
      </c>
      <c r="E75" t="s">
        <v>644</v>
      </c>
      <c r="F75" t="s">
        <v>613</v>
      </c>
      <c r="G75" t="s">
        <v>653</v>
      </c>
      <c r="H75" t="s">
        <v>682</v>
      </c>
      <c r="I75" t="s">
        <v>760</v>
      </c>
      <c r="J75" t="s">
        <v>1284</v>
      </c>
      <c r="K75">
        <v>43945</v>
      </c>
      <c r="L75">
        <v>0.030867403724864</v>
      </c>
      <c r="M75">
        <v>-0.003981840123275848</v>
      </c>
      <c r="N75">
        <v>0.04</v>
      </c>
      <c r="O75">
        <v>0.06477303528480038</v>
      </c>
      <c r="P75" t="s">
        <v>617</v>
      </c>
      <c r="Q75" t="s">
        <v>618</v>
      </c>
      <c r="R75">
        <v>48</v>
      </c>
      <c r="S75">
        <v>0.5583892617449665</v>
      </c>
      <c r="T75">
        <v>134</v>
      </c>
      <c r="U75">
        <v>1.020149253731343</v>
      </c>
      <c r="V75">
        <v>6.8949</v>
      </c>
      <c r="W75">
        <v>7.45</v>
      </c>
      <c r="X75">
        <v>4.16</v>
      </c>
      <c r="Y75">
        <v>0.068077</v>
      </c>
      <c r="Z75">
        <v>0.3671742808798646</v>
      </c>
      <c r="AA75">
        <v>0.8258706467661692</v>
      </c>
      <c r="AB75">
        <v>0.3501655629139073</v>
      </c>
      <c r="AC75">
        <v>0.402317880794702</v>
      </c>
      <c r="AD75">
        <v>0.2549668874172186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37.13</v>
      </c>
      <c r="D76">
        <v>10100.51856</v>
      </c>
      <c r="E76" t="s">
        <v>644</v>
      </c>
      <c r="F76" t="s">
        <v>613</v>
      </c>
      <c r="G76" t="s">
        <v>653</v>
      </c>
      <c r="H76" t="s">
        <v>682</v>
      </c>
      <c r="I76" t="s">
        <v>761</v>
      </c>
      <c r="J76" t="s">
        <v>1277</v>
      </c>
      <c r="K76">
        <v>43949</v>
      </c>
      <c r="L76">
        <v>0.009259259259259</v>
      </c>
      <c r="M76">
        <v>-0.02330762293384014</v>
      </c>
      <c r="N76">
        <v>0.08</v>
      </c>
      <c r="O76">
        <v>0.06427050931093636</v>
      </c>
      <c r="P76" t="s">
        <v>617</v>
      </c>
      <c r="Q76" t="s">
        <v>371</v>
      </c>
      <c r="R76">
        <v>26</v>
      </c>
      <c r="S76">
        <v>0.2171052631578947</v>
      </c>
      <c r="T76">
        <v>33</v>
      </c>
      <c r="U76">
        <v>1.125151515151515</v>
      </c>
      <c r="V76">
        <v>1.5491</v>
      </c>
      <c r="W76">
        <v>1.52</v>
      </c>
      <c r="X76">
        <v>0.33</v>
      </c>
      <c r="Y76">
        <v>0.11236</v>
      </c>
      <c r="Z76">
        <v>0.04906937394247039</v>
      </c>
      <c r="AA76">
        <v>0.8739635157545605</v>
      </c>
      <c r="AB76">
        <v>0.8228476821192053</v>
      </c>
      <c r="AC76">
        <v>0.3145695364238411</v>
      </c>
      <c r="AD76">
        <v>0.2533112582781457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98.94</v>
      </c>
      <c r="D77">
        <v>129674.8492</v>
      </c>
      <c r="E77" t="s">
        <v>641</v>
      </c>
      <c r="F77" t="s">
        <v>613</v>
      </c>
      <c r="G77" t="s">
        <v>658</v>
      </c>
      <c r="H77" t="s">
        <v>682</v>
      </c>
      <c r="I77" t="s">
        <v>762</v>
      </c>
      <c r="J77" t="s">
        <v>1283</v>
      </c>
      <c r="K77">
        <v>43881</v>
      </c>
      <c r="L77">
        <v>0.02190988011575</v>
      </c>
      <c r="M77">
        <v>-0.01876253755558654</v>
      </c>
      <c r="N77">
        <v>0.06</v>
      </c>
      <c r="O77">
        <v>0.06251052576290861</v>
      </c>
      <c r="P77" t="s">
        <v>617</v>
      </c>
      <c r="Q77" t="s">
        <v>618</v>
      </c>
      <c r="R77">
        <v>42</v>
      </c>
      <c r="S77">
        <v>0.3758865248226951</v>
      </c>
      <c r="T77">
        <v>90</v>
      </c>
      <c r="U77">
        <v>1.099333333333333</v>
      </c>
      <c r="V77">
        <v>3.9603</v>
      </c>
      <c r="W77">
        <v>5.64</v>
      </c>
      <c r="X77">
        <v>2.12</v>
      </c>
      <c r="Y77">
        <v>0.08390299999999999</v>
      </c>
      <c r="Z77">
        <v>0.233502538071066</v>
      </c>
      <c r="AA77">
        <v>0.8457711442786069</v>
      </c>
      <c r="AB77">
        <v>0.6423841059602649</v>
      </c>
      <c r="AC77">
        <v>0.3427152317880794</v>
      </c>
      <c r="AD77">
        <v>0.25</v>
      </c>
    </row>
    <row r="78" spans="1:30">
      <c r="A78" s="1" t="s">
        <v>85</v>
      </c>
      <c r="B78">
        <f>HYPERLINK("https://www.suredividend.com/sure-analysis-SPGI/","S&amp;P Global, Inc.")</f>
        <v>0</v>
      </c>
      <c r="C78">
        <v>295.58</v>
      </c>
      <c r="D78">
        <v>69706.82399999999</v>
      </c>
      <c r="E78" t="s">
        <v>644</v>
      </c>
      <c r="F78" t="s">
        <v>613</v>
      </c>
      <c r="G78" t="s">
        <v>653</v>
      </c>
      <c r="H78" t="s">
        <v>682</v>
      </c>
      <c r="I78" t="s">
        <v>763</v>
      </c>
      <c r="J78" t="s">
        <v>1277</v>
      </c>
      <c r="K78">
        <v>43950</v>
      </c>
      <c r="L78">
        <v>0.008225048382637001</v>
      </c>
      <c r="M78">
        <v>-0.04080426422927763</v>
      </c>
      <c r="N78">
        <v>0.09</v>
      </c>
      <c r="O78">
        <v>0.05610057500431154</v>
      </c>
      <c r="P78" t="s">
        <v>617</v>
      </c>
      <c r="Q78" t="s">
        <v>371</v>
      </c>
      <c r="R78">
        <v>47</v>
      </c>
      <c r="S78">
        <v>0.238</v>
      </c>
      <c r="T78">
        <v>240</v>
      </c>
      <c r="U78">
        <v>1.231583333333333</v>
      </c>
      <c r="V78">
        <v>9.6302</v>
      </c>
      <c r="W78">
        <v>10</v>
      </c>
      <c r="X78">
        <v>2.38</v>
      </c>
      <c r="Y78">
        <v>0.348369</v>
      </c>
      <c r="Z78">
        <v>0.0338409475465313</v>
      </c>
      <c r="AA78">
        <v>0.9635157545605307</v>
      </c>
      <c r="AB78">
        <v>0.8766556291390728</v>
      </c>
      <c r="AC78">
        <v>0.2218543046357616</v>
      </c>
      <c r="AD78">
        <v>0.2235099337748344</v>
      </c>
    </row>
    <row r="79" spans="1:30">
      <c r="A79" s="1" t="s">
        <v>86</v>
      </c>
      <c r="B79">
        <f>HYPERLINK("https://www.suredividend.com/sure-analysis-ATO/","Atmos Energy Corp.")</f>
        <v>0</v>
      </c>
      <c r="C79">
        <v>96.38</v>
      </c>
      <c r="D79">
        <v>11808.74085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1287</v>
      </c>
      <c r="K79">
        <v>43878</v>
      </c>
      <c r="L79">
        <v>0.022268254790264</v>
      </c>
      <c r="M79">
        <v>-0.02712179804050208</v>
      </c>
      <c r="N79">
        <v>0.06</v>
      </c>
      <c r="O79">
        <v>0.05532671635956121</v>
      </c>
      <c r="P79" t="s">
        <v>617</v>
      </c>
      <c r="Q79" t="s">
        <v>618</v>
      </c>
      <c r="R79">
        <v>36</v>
      </c>
      <c r="S79">
        <v>0.4623655913978494</v>
      </c>
      <c r="T79">
        <v>84</v>
      </c>
      <c r="U79">
        <v>1.147380952380952</v>
      </c>
      <c r="V79">
        <v>4.4704</v>
      </c>
      <c r="W79">
        <v>4.65</v>
      </c>
      <c r="X79">
        <v>2.15</v>
      </c>
      <c r="Y79">
        <v>-0.055561</v>
      </c>
      <c r="Z79">
        <v>0.2402707275803722</v>
      </c>
      <c r="AA79">
        <v>0.7048092868988391</v>
      </c>
      <c r="AB79">
        <v>0.6423841059602649</v>
      </c>
      <c r="AC79">
        <v>0.2880794701986755</v>
      </c>
      <c r="AD79">
        <v>0.2201986754966887</v>
      </c>
    </row>
    <row r="80" spans="1:30">
      <c r="A80" s="1" t="s">
        <v>87</v>
      </c>
      <c r="B80">
        <f>HYPERLINK("https://www.suredividend.com/sure-analysis-DG/","Dollar General Corp.")</f>
        <v>0</v>
      </c>
      <c r="C80">
        <v>173.6</v>
      </c>
      <c r="D80">
        <v>43738.4585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1284</v>
      </c>
      <c r="K80">
        <v>43909</v>
      </c>
      <c r="L80">
        <v>0.007360552041403</v>
      </c>
      <c r="M80">
        <v>-0.0504649169650202</v>
      </c>
      <c r="N80">
        <v>0.1</v>
      </c>
      <c r="O80">
        <v>0.05317260027753123</v>
      </c>
      <c r="P80" t="s">
        <v>617</v>
      </c>
      <c r="Q80" t="s">
        <v>317</v>
      </c>
      <c r="R80">
        <v>4</v>
      </c>
      <c r="S80">
        <v>0.1722745625841184</v>
      </c>
      <c r="T80">
        <v>134</v>
      </c>
      <c r="U80">
        <v>1.295522388059702</v>
      </c>
      <c r="V80">
        <v>6.6834</v>
      </c>
      <c r="W80">
        <v>7.43</v>
      </c>
      <c r="X80">
        <v>1.28</v>
      </c>
      <c r="Y80">
        <v>0.422495</v>
      </c>
      <c r="Z80">
        <v>0.02538071065989848</v>
      </c>
      <c r="AA80">
        <v>0.9718076285240465</v>
      </c>
      <c r="AB80">
        <v>0.9097682119205298</v>
      </c>
      <c r="AC80">
        <v>0.1986754966887417</v>
      </c>
      <c r="AD80">
        <v>0.2119205298013245</v>
      </c>
    </row>
    <row r="81" spans="1:30">
      <c r="A81" s="1" t="s">
        <v>88</v>
      </c>
      <c r="B81">
        <f>HYPERLINK("https://www.suredividend.com/sure-analysis-ITW/","Illinois Tool Works, Inc.")</f>
        <v>0</v>
      </c>
      <c r="C81">
        <v>156.95</v>
      </c>
      <c r="D81">
        <v>50415.34926</v>
      </c>
      <c r="E81" t="s">
        <v>641</v>
      </c>
      <c r="F81" t="s">
        <v>613</v>
      </c>
      <c r="G81" t="s">
        <v>653</v>
      </c>
      <c r="H81" t="s">
        <v>682</v>
      </c>
      <c r="I81" t="s">
        <v>766</v>
      </c>
      <c r="J81" t="s">
        <v>1278</v>
      </c>
      <c r="K81">
        <v>43864</v>
      </c>
      <c r="L81">
        <v>0.02651467439224</v>
      </c>
      <c r="M81">
        <v>-0.03257331140696074</v>
      </c>
      <c r="N81">
        <v>0.06</v>
      </c>
      <c r="O81">
        <v>0.05201646902235946</v>
      </c>
      <c r="P81" t="s">
        <v>617</v>
      </c>
      <c r="Q81" t="s">
        <v>618</v>
      </c>
      <c r="R81">
        <v>45</v>
      </c>
      <c r="S81">
        <v>0.5363057324840764</v>
      </c>
      <c r="T81">
        <v>133</v>
      </c>
      <c r="U81">
        <v>1.180075187969925</v>
      </c>
      <c r="V81">
        <v>7.7397</v>
      </c>
      <c r="W81">
        <v>7.85</v>
      </c>
      <c r="X81">
        <v>4.21</v>
      </c>
      <c r="Y81">
        <v>0.04708499999999999</v>
      </c>
      <c r="Z81">
        <v>0.3130287648054146</v>
      </c>
      <c r="AA81">
        <v>0.8092868988391376</v>
      </c>
      <c r="AB81">
        <v>0.6423841059602649</v>
      </c>
      <c r="AC81">
        <v>0.2566225165562914</v>
      </c>
      <c r="AD81">
        <v>0.2036423841059603</v>
      </c>
    </row>
    <row r="82" spans="1:30">
      <c r="A82" s="1" t="s">
        <v>89</v>
      </c>
      <c r="B82">
        <f>HYPERLINK("https://www.suredividend.com/sure-analysis-JNJ/","Johnson &amp; Johnson")</f>
        <v>0</v>
      </c>
      <c r="C82">
        <v>147.59</v>
      </c>
      <c r="D82">
        <v>390130.0872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1283</v>
      </c>
      <c r="K82">
        <v>43936</v>
      </c>
      <c r="L82">
        <v>0.025661804430037</v>
      </c>
      <c r="M82">
        <v>-0.03736736805672891</v>
      </c>
      <c r="N82">
        <v>0.06</v>
      </c>
      <c r="O82">
        <v>0.04893577582643283</v>
      </c>
      <c r="P82" t="s">
        <v>617</v>
      </c>
      <c r="Q82" t="s">
        <v>618</v>
      </c>
      <c r="R82">
        <v>58</v>
      </c>
      <c r="S82">
        <v>0.4935064935064934</v>
      </c>
      <c r="T82">
        <v>122</v>
      </c>
      <c r="U82">
        <v>1.209754098360656</v>
      </c>
      <c r="V82">
        <v>6.503</v>
      </c>
      <c r="W82">
        <v>7.7</v>
      </c>
      <c r="X82">
        <v>3.8</v>
      </c>
      <c r="Y82">
        <v>0.057941</v>
      </c>
      <c r="Z82">
        <v>0.3011844331641286</v>
      </c>
      <c r="AA82">
        <v>0.8192371475953566</v>
      </c>
      <c r="AB82">
        <v>0.6423841059602649</v>
      </c>
      <c r="AC82">
        <v>0.2400662251655629</v>
      </c>
      <c r="AD82">
        <v>0.1920529801324503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47.525</v>
      </c>
      <c r="D83">
        <v>2172.02561</v>
      </c>
      <c r="E83" t="s">
        <v>648</v>
      </c>
      <c r="F83" t="s">
        <v>613</v>
      </c>
      <c r="G83" t="s">
        <v>653</v>
      </c>
      <c r="H83" t="s">
        <v>683</v>
      </c>
      <c r="I83" t="s">
        <v>768</v>
      </c>
      <c r="J83" t="s">
        <v>1278</v>
      </c>
      <c r="K83">
        <v>43956</v>
      </c>
      <c r="L83">
        <v>0.012539851222104</v>
      </c>
      <c r="M83">
        <v>-0.07605616804439963</v>
      </c>
      <c r="N83">
        <v>0.12</v>
      </c>
      <c r="O83">
        <v>0.04836177599105684</v>
      </c>
      <c r="P83" t="s">
        <v>617</v>
      </c>
      <c r="Q83" t="s">
        <v>371</v>
      </c>
      <c r="R83">
        <v>28</v>
      </c>
      <c r="S83">
        <v>0.3470588235294118</v>
      </c>
      <c r="T83">
        <v>32</v>
      </c>
      <c r="U83">
        <v>1.48515625</v>
      </c>
      <c r="V83">
        <v>2.0807</v>
      </c>
      <c r="W83">
        <v>1.7</v>
      </c>
      <c r="X83">
        <v>0.59</v>
      </c>
      <c r="Y83">
        <v>-0.011139</v>
      </c>
      <c r="Z83">
        <v>0.0829103214890017</v>
      </c>
      <c r="AA83">
        <v>0.747927031509121</v>
      </c>
      <c r="AB83">
        <v>0.9354304635761589</v>
      </c>
      <c r="AC83">
        <v>0.1026490066225166</v>
      </c>
      <c r="AD83">
        <v>0.1887417218543046</v>
      </c>
    </row>
    <row r="84" spans="1:30">
      <c r="A84" s="1" t="s">
        <v>91</v>
      </c>
      <c r="B84">
        <f>HYPERLINK("https://www.suredividend.com/sure-analysis-MCD/","McDonald's Corp.")</f>
        <v>0</v>
      </c>
      <c r="C84">
        <v>181.12</v>
      </c>
      <c r="D84">
        <v>131579.84955</v>
      </c>
      <c r="E84" t="s">
        <v>641</v>
      </c>
      <c r="F84" t="s">
        <v>613</v>
      </c>
      <c r="G84" t="s">
        <v>653</v>
      </c>
      <c r="H84" t="s">
        <v>682</v>
      </c>
      <c r="I84" t="s">
        <v>769</v>
      </c>
      <c r="J84" t="s">
        <v>1280</v>
      </c>
      <c r="K84">
        <v>43859</v>
      </c>
      <c r="L84">
        <v>0.02723625473244</v>
      </c>
      <c r="M84">
        <v>-0.03829035462973052</v>
      </c>
      <c r="N84">
        <v>0.06</v>
      </c>
      <c r="O84">
        <v>0.04748158885700771</v>
      </c>
      <c r="P84" t="s">
        <v>617</v>
      </c>
      <c r="Q84" t="s">
        <v>618</v>
      </c>
      <c r="R84">
        <v>44</v>
      </c>
      <c r="S84">
        <v>0.5842424242424242</v>
      </c>
      <c r="T84">
        <v>149</v>
      </c>
      <c r="U84">
        <v>1.215570469798658</v>
      </c>
      <c r="W84">
        <v>8.25</v>
      </c>
      <c r="X84">
        <v>4.82</v>
      </c>
      <c r="Y84">
        <v>-0.106393</v>
      </c>
      <c r="Z84">
        <v>0.3197969543147208</v>
      </c>
      <c r="AA84">
        <v>0.6517412935323383</v>
      </c>
      <c r="AB84">
        <v>0.6423841059602649</v>
      </c>
      <c r="AC84">
        <v>0.2367549668874172</v>
      </c>
      <c r="AD84">
        <v>0.1870860927152318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117.35</v>
      </c>
      <c r="D85">
        <v>4463.92245</v>
      </c>
      <c r="E85" t="s">
        <v>641</v>
      </c>
      <c r="F85" t="s">
        <v>613</v>
      </c>
      <c r="G85" t="s">
        <v>653</v>
      </c>
      <c r="H85" t="s">
        <v>682</v>
      </c>
      <c r="I85" t="s">
        <v>770</v>
      </c>
      <c r="J85" t="s">
        <v>1278</v>
      </c>
      <c r="K85">
        <v>43881</v>
      </c>
      <c r="L85">
        <v>0.014621409921671</v>
      </c>
      <c r="M85">
        <v>-0.02764821551374241</v>
      </c>
      <c r="N85">
        <v>0.06</v>
      </c>
      <c r="O85">
        <v>0.04671736006361393</v>
      </c>
      <c r="P85" t="s">
        <v>617</v>
      </c>
      <c r="Q85" t="s">
        <v>371</v>
      </c>
      <c r="R85">
        <v>48</v>
      </c>
      <c r="S85">
        <v>0.3294117647058824</v>
      </c>
      <c r="T85">
        <v>102</v>
      </c>
      <c r="U85">
        <v>1.150490196078431</v>
      </c>
      <c r="V85">
        <v>4.0452</v>
      </c>
      <c r="W85">
        <v>5.1</v>
      </c>
      <c r="X85">
        <v>1.68</v>
      </c>
      <c r="Y85">
        <v>0.042744</v>
      </c>
      <c r="Z85">
        <v>0.104906937394247</v>
      </c>
      <c r="AA85">
        <v>0.8043117744610282</v>
      </c>
      <c r="AB85">
        <v>0.6423841059602649</v>
      </c>
      <c r="AC85">
        <v>0.283112582781457</v>
      </c>
      <c r="AD85">
        <v>0.1854304635761589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112.17</v>
      </c>
      <c r="D86">
        <v>279994.884</v>
      </c>
      <c r="E86" t="s">
        <v>649</v>
      </c>
      <c r="F86" t="s">
        <v>613</v>
      </c>
      <c r="G86" t="s">
        <v>653</v>
      </c>
      <c r="H86" t="s">
        <v>682</v>
      </c>
      <c r="I86" t="s">
        <v>771</v>
      </c>
      <c r="J86" t="s">
        <v>1284</v>
      </c>
      <c r="K86">
        <v>43950</v>
      </c>
      <c r="L86">
        <v>0.026380194518125</v>
      </c>
      <c r="M86">
        <v>-0.03065382120985216</v>
      </c>
      <c r="N86">
        <v>0.05</v>
      </c>
      <c r="O86">
        <v>0.04468588512988325</v>
      </c>
      <c r="P86" t="s">
        <v>617</v>
      </c>
      <c r="Q86" t="s">
        <v>618</v>
      </c>
      <c r="R86">
        <v>63</v>
      </c>
      <c r="S86">
        <v>0.6190041493775933</v>
      </c>
      <c r="T86">
        <v>96</v>
      </c>
      <c r="U86">
        <v>1.1684375</v>
      </c>
      <c r="V86">
        <v>1.911</v>
      </c>
      <c r="W86">
        <v>4.82</v>
      </c>
      <c r="X86">
        <v>2.9836</v>
      </c>
      <c r="Y86">
        <v>0.08022899999999999</v>
      </c>
      <c r="Z86">
        <v>0.3096446700507614</v>
      </c>
      <c r="AA86">
        <v>0.8407960199004976</v>
      </c>
      <c r="AB86">
        <v>0.5033112582781457</v>
      </c>
      <c r="AC86">
        <v>0.2665562913907285</v>
      </c>
      <c r="AD86">
        <v>0.173841059602649</v>
      </c>
    </row>
    <row r="87" spans="1:30">
      <c r="A87" s="1" t="s">
        <v>94</v>
      </c>
      <c r="B87">
        <f>HYPERLINK("https://www.suredividend.com/sure-analysis-NUE/","Nucor Corp.")</f>
        <v>0</v>
      </c>
      <c r="C87">
        <v>40.91</v>
      </c>
      <c r="D87">
        <v>12195.9675</v>
      </c>
      <c r="E87" t="s">
        <v>649</v>
      </c>
      <c r="F87" t="s">
        <v>613</v>
      </c>
      <c r="G87" t="s">
        <v>653</v>
      </c>
      <c r="H87" t="s">
        <v>682</v>
      </c>
      <c r="I87" t="s">
        <v>772</v>
      </c>
      <c r="J87" t="s">
        <v>1281</v>
      </c>
      <c r="K87">
        <v>43908</v>
      </c>
      <c r="L87">
        <v>0.039629629629629</v>
      </c>
      <c r="M87">
        <v>-0.0252469466664923</v>
      </c>
      <c r="N87">
        <v>0.03</v>
      </c>
      <c r="O87">
        <v>0.04404450047763686</v>
      </c>
      <c r="P87" t="s">
        <v>617</v>
      </c>
      <c r="Q87" t="s">
        <v>617</v>
      </c>
      <c r="R87">
        <v>46</v>
      </c>
      <c r="S87">
        <v>0.293418647166362</v>
      </c>
      <c r="T87">
        <v>36</v>
      </c>
      <c r="U87">
        <v>1.136388888888889</v>
      </c>
      <c r="V87">
        <v>2.5746</v>
      </c>
      <c r="W87">
        <v>5.47</v>
      </c>
      <c r="X87">
        <v>1.605</v>
      </c>
      <c r="Y87">
        <v>-0.279103</v>
      </c>
      <c r="Z87">
        <v>0.4771573604060914</v>
      </c>
      <c r="AA87">
        <v>0.406301824212272</v>
      </c>
      <c r="AB87">
        <v>0.2185430463576159</v>
      </c>
      <c r="AC87">
        <v>0.3029801324503311</v>
      </c>
      <c r="AD87">
        <v>0.1705298013245033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72.38</v>
      </c>
      <c r="D88">
        <v>17667.41205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1284</v>
      </c>
      <c r="K88">
        <v>43874</v>
      </c>
      <c r="L88">
        <v>0.012839248434237</v>
      </c>
      <c r="M88">
        <v>-0.0400542579793377</v>
      </c>
      <c r="N88">
        <v>0.07000000000000001</v>
      </c>
      <c r="O88">
        <v>0.04142776475399446</v>
      </c>
      <c r="P88" t="s">
        <v>617</v>
      </c>
      <c r="Q88" t="s">
        <v>371</v>
      </c>
      <c r="R88">
        <v>24</v>
      </c>
      <c r="S88">
        <v>0.3416666666666667</v>
      </c>
      <c r="T88">
        <v>59</v>
      </c>
      <c r="U88">
        <v>1.226779661016949</v>
      </c>
      <c r="V88">
        <v>2.7238</v>
      </c>
      <c r="W88">
        <v>2.7</v>
      </c>
      <c r="X88">
        <v>0.9225000000000001</v>
      </c>
      <c r="Y88">
        <v>-0.014133</v>
      </c>
      <c r="Z88">
        <v>0.08460236886632826</v>
      </c>
      <c r="AA88">
        <v>0.7429519071310117</v>
      </c>
      <c r="AB88">
        <v>0.7442052980132451</v>
      </c>
      <c r="AC88">
        <v>0.2268211920529801</v>
      </c>
      <c r="AD88">
        <v>0.1605960264900662</v>
      </c>
    </row>
    <row r="89" spans="1:30">
      <c r="A89" s="1" t="s">
        <v>96</v>
      </c>
      <c r="B89">
        <f>HYPERLINK("https://www.suredividend.com/sure-analysis-KR/","The Kroger Co.")</f>
        <v>0</v>
      </c>
      <c r="C89">
        <v>32.68</v>
      </c>
      <c r="D89">
        <v>26169.15906</v>
      </c>
      <c r="E89" t="s">
        <v>641</v>
      </c>
      <c r="F89" t="s">
        <v>613</v>
      </c>
      <c r="G89" t="s">
        <v>653</v>
      </c>
      <c r="H89" t="s">
        <v>682</v>
      </c>
      <c r="I89" t="s">
        <v>774</v>
      </c>
      <c r="J89" t="s">
        <v>1284</v>
      </c>
      <c r="K89">
        <v>43896</v>
      </c>
      <c r="L89">
        <v>0.018913971934106</v>
      </c>
      <c r="M89">
        <v>-0.03043886883292923</v>
      </c>
      <c r="N89">
        <v>0.05</v>
      </c>
      <c r="O89">
        <v>0.03841447399448317</v>
      </c>
      <c r="P89" t="s">
        <v>617</v>
      </c>
      <c r="Q89" t="s">
        <v>371</v>
      </c>
      <c r="R89">
        <v>13</v>
      </c>
      <c r="S89">
        <v>0.2638297872340425</v>
      </c>
      <c r="T89">
        <v>28</v>
      </c>
      <c r="U89">
        <v>1.167142857142857</v>
      </c>
      <c r="V89">
        <v>2.0719</v>
      </c>
      <c r="W89">
        <v>2.35</v>
      </c>
      <c r="X89">
        <v>0.62</v>
      </c>
      <c r="Y89">
        <v>0.272022</v>
      </c>
      <c r="Z89">
        <v>0.1725888324873096</v>
      </c>
      <c r="AA89">
        <v>0.9436152570480928</v>
      </c>
      <c r="AB89">
        <v>0.5033112582781457</v>
      </c>
      <c r="AC89">
        <v>0.2682119205298014</v>
      </c>
      <c r="AD89">
        <v>0.152317880794702</v>
      </c>
    </row>
    <row r="90" spans="1:30">
      <c r="A90" s="1" t="s">
        <v>97</v>
      </c>
      <c r="B90">
        <f>HYPERLINK("https://www.suredividend.com/sure-analysis-SJW/","SJW Group")</f>
        <v>0</v>
      </c>
      <c r="C90">
        <v>58.27</v>
      </c>
      <c r="D90">
        <v>1624.95579</v>
      </c>
      <c r="E90" t="s">
        <v>643</v>
      </c>
      <c r="F90" t="s">
        <v>613</v>
      </c>
      <c r="G90" t="s">
        <v>653</v>
      </c>
      <c r="H90" t="s">
        <v>682</v>
      </c>
      <c r="I90" t="s">
        <v>775</v>
      </c>
      <c r="J90" t="s">
        <v>1287</v>
      </c>
      <c r="K90">
        <v>43956</v>
      </c>
      <c r="L90">
        <v>0.021392249693143</v>
      </c>
      <c r="M90">
        <v>-0.05463061989866025</v>
      </c>
      <c r="N90">
        <v>0.076</v>
      </c>
      <c r="O90">
        <v>0.03826622060175366</v>
      </c>
      <c r="P90" t="s">
        <v>617</v>
      </c>
      <c r="Q90" t="s">
        <v>618</v>
      </c>
      <c r="R90">
        <v>54</v>
      </c>
      <c r="S90">
        <v>0.61</v>
      </c>
      <c r="T90">
        <v>44</v>
      </c>
      <c r="U90">
        <v>1.324318181818182</v>
      </c>
      <c r="V90">
        <v>0.7012</v>
      </c>
      <c r="W90">
        <v>2</v>
      </c>
      <c r="X90">
        <v>1.22</v>
      </c>
      <c r="Y90">
        <v>-0.06216099999999999</v>
      </c>
      <c r="Z90">
        <v>0.2199661590524535</v>
      </c>
      <c r="AA90">
        <v>0.6948590381426202</v>
      </c>
      <c r="AB90">
        <v>0.7913907284768211</v>
      </c>
      <c r="AC90">
        <v>0.1721854304635762</v>
      </c>
      <c r="AD90">
        <v>0.1506622516556291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74.395</v>
      </c>
      <c r="D91">
        <v>12219.51986</v>
      </c>
      <c r="E91" t="s">
        <v>647</v>
      </c>
      <c r="F91" t="s">
        <v>613</v>
      </c>
      <c r="G91" t="s">
        <v>653</v>
      </c>
      <c r="H91" t="s">
        <v>683</v>
      </c>
      <c r="I91" t="s">
        <v>776</v>
      </c>
      <c r="J91" t="s">
        <v>1278</v>
      </c>
      <c r="K91">
        <v>43886</v>
      </c>
      <c r="L91">
        <v>0.01374759417102</v>
      </c>
      <c r="M91">
        <v>-0.02965260301857053</v>
      </c>
      <c r="N91">
        <v>0.05</v>
      </c>
      <c r="O91">
        <v>0.03489821976609053</v>
      </c>
      <c r="P91" t="s">
        <v>617</v>
      </c>
      <c r="Q91" t="s">
        <v>371</v>
      </c>
      <c r="R91">
        <v>25</v>
      </c>
      <c r="S91">
        <v>0.2801120448179272</v>
      </c>
      <c r="T91">
        <v>64</v>
      </c>
      <c r="U91">
        <v>1.162421875</v>
      </c>
      <c r="V91">
        <v>3.367</v>
      </c>
      <c r="W91">
        <v>3.57</v>
      </c>
      <c r="X91">
        <v>1</v>
      </c>
      <c r="Y91">
        <v>-0.039482</v>
      </c>
      <c r="Z91">
        <v>0.09475465313028765</v>
      </c>
      <c r="AA91">
        <v>0.7164179104477612</v>
      </c>
      <c r="AB91">
        <v>0.5033112582781457</v>
      </c>
      <c r="AC91">
        <v>0.2764900662251655</v>
      </c>
      <c r="AD91">
        <v>0.1407284768211921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43.3</v>
      </c>
      <c r="D92">
        <v>1202.0946</v>
      </c>
      <c r="E92" t="s">
        <v>648</v>
      </c>
      <c r="F92" t="s">
        <v>613</v>
      </c>
      <c r="G92" t="s">
        <v>653</v>
      </c>
      <c r="H92" t="s">
        <v>684</v>
      </c>
      <c r="I92" t="s">
        <v>777</v>
      </c>
      <c r="J92" t="s">
        <v>1286</v>
      </c>
      <c r="K92">
        <v>43840</v>
      </c>
      <c r="L92">
        <v>0.018013856812933</v>
      </c>
      <c r="M92">
        <v>-0.05869055496044517</v>
      </c>
      <c r="N92">
        <v>0.07000000000000001</v>
      </c>
      <c r="O92">
        <v>0.02873666363624383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1.353125</v>
      </c>
      <c r="V92">
        <v>1.9089</v>
      </c>
      <c r="W92">
        <v>1.9</v>
      </c>
      <c r="X92">
        <v>0.78</v>
      </c>
      <c r="Y92">
        <v>0.186301</v>
      </c>
      <c r="Z92">
        <v>0.1539763113367174</v>
      </c>
      <c r="AA92">
        <v>0.9121061359867331</v>
      </c>
      <c r="AB92">
        <v>0.7442052980132451</v>
      </c>
      <c r="AC92">
        <v>0.1572847682119205</v>
      </c>
      <c r="AD92">
        <v>0.1324503311258278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247.69</v>
      </c>
      <c r="D93">
        <v>45279.375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1277</v>
      </c>
      <c r="K93">
        <v>43956</v>
      </c>
      <c r="L93">
        <v>0.008530373928527001</v>
      </c>
      <c r="M93">
        <v>-0.06184886917757881</v>
      </c>
      <c r="N93">
        <v>0.08</v>
      </c>
      <c r="O93">
        <v>0.02479028553007279</v>
      </c>
      <c r="P93" t="s">
        <v>617</v>
      </c>
      <c r="Q93" t="s">
        <v>317</v>
      </c>
      <c r="R93">
        <v>11</v>
      </c>
      <c r="S93">
        <v>0.251219512195122</v>
      </c>
      <c r="T93">
        <v>180</v>
      </c>
      <c r="U93">
        <v>1.376055555555556</v>
      </c>
      <c r="V93">
        <v>8.156599999999999</v>
      </c>
      <c r="W93">
        <v>8.199999999999999</v>
      </c>
      <c r="X93">
        <v>2.06</v>
      </c>
      <c r="Y93">
        <v>0.253582</v>
      </c>
      <c r="Z93">
        <v>0.03722504230118443</v>
      </c>
      <c r="AA93">
        <v>0.9369817578772803</v>
      </c>
      <c r="AB93">
        <v>0.8228476821192053</v>
      </c>
      <c r="AC93">
        <v>0.1473509933774834</v>
      </c>
      <c r="AD93">
        <v>0.119205298013245</v>
      </c>
    </row>
    <row r="94" spans="1:30">
      <c r="A94" s="1" t="s">
        <v>101</v>
      </c>
      <c r="B94">
        <f>HYPERLINK("https://www.suredividend.com/sure-analysis-SHW/","The Sherwin-Williams Co.")</f>
        <v>0</v>
      </c>
      <c r="C94">
        <v>528.5599999999999</v>
      </c>
      <c r="D94">
        <v>47581.016</v>
      </c>
      <c r="E94" t="s">
        <v>641</v>
      </c>
      <c r="F94" t="s">
        <v>613</v>
      </c>
      <c r="G94" t="s">
        <v>653</v>
      </c>
      <c r="H94" t="s">
        <v>682</v>
      </c>
      <c r="I94" t="s">
        <v>779</v>
      </c>
      <c r="J94" t="s">
        <v>1281</v>
      </c>
      <c r="K94">
        <v>43951</v>
      </c>
      <c r="L94">
        <v>0.009026373039196001</v>
      </c>
      <c r="M94">
        <v>-0.05421343721652416</v>
      </c>
      <c r="N94">
        <v>0.07000000000000001</v>
      </c>
      <c r="O94">
        <v>0.02466370880937596</v>
      </c>
      <c r="P94" t="s">
        <v>617</v>
      </c>
      <c r="Q94" t="s">
        <v>371</v>
      </c>
      <c r="R94">
        <v>42</v>
      </c>
      <c r="S94">
        <v>0.2365</v>
      </c>
      <c r="T94">
        <v>400</v>
      </c>
      <c r="U94">
        <v>1.3214</v>
      </c>
      <c r="V94">
        <v>17.6542</v>
      </c>
      <c r="W94">
        <v>20</v>
      </c>
      <c r="X94">
        <v>4.73</v>
      </c>
      <c r="Y94">
        <v>0.172357</v>
      </c>
      <c r="Z94">
        <v>0.04399323181049069</v>
      </c>
      <c r="AA94">
        <v>0.9071310116086235</v>
      </c>
      <c r="AB94">
        <v>0.7442052980132451</v>
      </c>
      <c r="AC94">
        <v>0.1788079470198675</v>
      </c>
      <c r="AD94">
        <v>0.1175496688741722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93.98999999999999</v>
      </c>
      <c r="D95">
        <v>161106.858</v>
      </c>
      <c r="E95" t="s">
        <v>641</v>
      </c>
      <c r="F95" t="s">
        <v>613</v>
      </c>
      <c r="G95" t="s">
        <v>653</v>
      </c>
      <c r="H95" t="s">
        <v>682</v>
      </c>
      <c r="I95" t="s">
        <v>780</v>
      </c>
      <c r="J95" t="s">
        <v>1283</v>
      </c>
      <c r="K95">
        <v>43937</v>
      </c>
      <c r="L95">
        <v>0.014931927975406</v>
      </c>
      <c r="M95">
        <v>-0.0519086825320566</v>
      </c>
      <c r="N95">
        <v>0.06</v>
      </c>
      <c r="O95">
        <v>0.02238745269669895</v>
      </c>
      <c r="P95" t="s">
        <v>617</v>
      </c>
      <c r="Q95" t="s">
        <v>371</v>
      </c>
      <c r="R95">
        <v>48</v>
      </c>
      <c r="S95">
        <v>0.3777777777777777</v>
      </c>
      <c r="T95">
        <v>72</v>
      </c>
      <c r="U95">
        <v>1.305416666666667</v>
      </c>
      <c r="V95">
        <v>2.018</v>
      </c>
      <c r="W95">
        <v>3.6</v>
      </c>
      <c r="X95">
        <v>1.36</v>
      </c>
      <c r="Y95">
        <v>0.184241</v>
      </c>
      <c r="Z95">
        <v>0.1099830795262267</v>
      </c>
      <c r="AA95">
        <v>0.9104477611940298</v>
      </c>
      <c r="AB95">
        <v>0.6423841059602649</v>
      </c>
      <c r="AC95">
        <v>0.1920529801324503</v>
      </c>
      <c r="AD95">
        <v>0.1092715231788079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67.5</v>
      </c>
      <c r="D96">
        <v>8604.676949999999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1281</v>
      </c>
      <c r="K96">
        <v>43929</v>
      </c>
      <c r="L96">
        <v>0.021369450714823</v>
      </c>
      <c r="M96">
        <v>-0.05083893675116136</v>
      </c>
      <c r="N96">
        <v>0.05</v>
      </c>
      <c r="O96">
        <v>0.02055236255167503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1.298076923076923</v>
      </c>
      <c r="V96">
        <v>2.5357</v>
      </c>
      <c r="W96">
        <v>3.26</v>
      </c>
      <c r="X96">
        <v>1.42</v>
      </c>
      <c r="Y96">
        <v>0.103637</v>
      </c>
      <c r="Z96">
        <v>0.2182741116751269</v>
      </c>
      <c r="AA96">
        <v>0.8640132669983416</v>
      </c>
      <c r="AB96">
        <v>0.5033112582781457</v>
      </c>
      <c r="AC96">
        <v>0.195364238410596</v>
      </c>
      <c r="AD96">
        <v>0.1043046357615894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160.86</v>
      </c>
      <c r="D97">
        <v>21293.87888</v>
      </c>
      <c r="E97" t="s">
        <v>643</v>
      </c>
      <c r="F97" t="s">
        <v>613</v>
      </c>
      <c r="G97" t="s">
        <v>653</v>
      </c>
      <c r="H97" t="s">
        <v>682</v>
      </c>
      <c r="I97" t="s">
        <v>782</v>
      </c>
      <c r="J97" t="s">
        <v>1284</v>
      </c>
      <c r="K97">
        <v>43921</v>
      </c>
      <c r="L97">
        <v>0.014542504056921</v>
      </c>
      <c r="M97">
        <v>-0.07319381332316066</v>
      </c>
      <c r="N97">
        <v>0.08</v>
      </c>
      <c r="O97">
        <v>0.02024436763986959</v>
      </c>
      <c r="P97" t="s">
        <v>617</v>
      </c>
      <c r="Q97" t="s">
        <v>371</v>
      </c>
      <c r="R97">
        <v>34</v>
      </c>
      <c r="S97">
        <v>0.4438095238095238</v>
      </c>
      <c r="T97">
        <v>110</v>
      </c>
      <c r="U97">
        <v>1.462363636363637</v>
      </c>
      <c r="V97">
        <v>5.2668</v>
      </c>
      <c r="W97">
        <v>5.25</v>
      </c>
      <c r="X97">
        <v>2.33</v>
      </c>
      <c r="Y97">
        <v>0.046574</v>
      </c>
      <c r="Z97">
        <v>0.1032148900169205</v>
      </c>
      <c r="AA97">
        <v>0.8076285240464345</v>
      </c>
      <c r="AB97">
        <v>0.8228476821192053</v>
      </c>
      <c r="AC97">
        <v>0.1109271523178808</v>
      </c>
      <c r="AD97">
        <v>0.1026490066225166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68.8</v>
      </c>
      <c r="D98">
        <v>58169.20448</v>
      </c>
      <c r="E98" t="s">
        <v>644</v>
      </c>
      <c r="F98" t="s">
        <v>613</v>
      </c>
      <c r="G98" t="s">
        <v>653</v>
      </c>
      <c r="H98" t="s">
        <v>682</v>
      </c>
      <c r="I98" t="s">
        <v>783</v>
      </c>
      <c r="J98" t="s">
        <v>1284</v>
      </c>
      <c r="K98">
        <v>43957</v>
      </c>
      <c r="L98">
        <v>0.025501179245283</v>
      </c>
      <c r="M98">
        <v>-0.04728925291709973</v>
      </c>
      <c r="N98">
        <v>0.04</v>
      </c>
      <c r="O98">
        <v>0.01989364676296423</v>
      </c>
      <c r="P98" t="s">
        <v>617</v>
      </c>
      <c r="Q98" t="s">
        <v>618</v>
      </c>
      <c r="R98">
        <v>57</v>
      </c>
      <c r="S98">
        <v>0.6070175438596491</v>
      </c>
      <c r="T98">
        <v>54</v>
      </c>
      <c r="U98">
        <v>1.274074074074074</v>
      </c>
      <c r="V98">
        <v>2.9381</v>
      </c>
      <c r="W98">
        <v>2.85</v>
      </c>
      <c r="X98">
        <v>1.73</v>
      </c>
      <c r="Y98">
        <v>-0.037867</v>
      </c>
      <c r="Z98">
        <v>0.2978003384094755</v>
      </c>
      <c r="AA98">
        <v>0.7197346600331674</v>
      </c>
      <c r="AB98">
        <v>0.3501655629139073</v>
      </c>
      <c r="AC98">
        <v>0.2052980132450331</v>
      </c>
      <c r="AD98">
        <v>0.1009933774834437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139.28</v>
      </c>
      <c r="D99">
        <v>3901.3434</v>
      </c>
      <c r="E99" t="s">
        <v>644</v>
      </c>
      <c r="F99" t="s">
        <v>613</v>
      </c>
      <c r="G99" t="s">
        <v>653</v>
      </c>
      <c r="H99" t="s">
        <v>683</v>
      </c>
      <c r="I99" t="s">
        <v>784</v>
      </c>
      <c r="J99" t="s">
        <v>1284</v>
      </c>
      <c r="K99">
        <v>43872</v>
      </c>
      <c r="L99">
        <v>0.01904090267983</v>
      </c>
      <c r="M99">
        <v>-0.04266077651241351</v>
      </c>
      <c r="N99">
        <v>0.04</v>
      </c>
      <c r="O99">
        <v>0.01830160945804571</v>
      </c>
      <c r="P99" t="s">
        <v>617</v>
      </c>
      <c r="Q99" t="s">
        <v>618</v>
      </c>
      <c r="R99">
        <v>57</v>
      </c>
      <c r="S99">
        <v>0.4821428571428572</v>
      </c>
      <c r="T99">
        <v>112</v>
      </c>
      <c r="U99">
        <v>1.243571428571429</v>
      </c>
      <c r="V99">
        <v>5.0784</v>
      </c>
      <c r="W99">
        <v>5.6</v>
      </c>
      <c r="X99">
        <v>2.7</v>
      </c>
      <c r="Y99">
        <v>-0.054351</v>
      </c>
      <c r="Z99">
        <v>0.1759729272419628</v>
      </c>
      <c r="AA99">
        <v>0.7081260364842454</v>
      </c>
      <c r="AB99">
        <v>0.3501655629139073</v>
      </c>
      <c r="AC99">
        <v>0.2152317880794702</v>
      </c>
      <c r="AD99">
        <v>0.09768211920529801</v>
      </c>
    </row>
    <row r="100" spans="1:30">
      <c r="A100" s="1" t="s">
        <v>107</v>
      </c>
      <c r="B100">
        <f>HYPERLINK("https://www.suredividend.com/sure-analysis-TR/","Tootsie Roll Industries, Inc.")</f>
        <v>0</v>
      </c>
      <c r="C100">
        <v>35.35</v>
      </c>
      <c r="D100">
        <v>2460.638198</v>
      </c>
      <c r="E100" t="s">
        <v>642</v>
      </c>
      <c r="F100" t="s">
        <v>613</v>
      </c>
      <c r="G100" t="s">
        <v>653</v>
      </c>
      <c r="H100" t="s">
        <v>682</v>
      </c>
      <c r="I100" t="s">
        <v>785</v>
      </c>
      <c r="J100" t="s">
        <v>1284</v>
      </c>
      <c r="K100">
        <v>43922</v>
      </c>
      <c r="L100">
        <v>0.009446609826715</v>
      </c>
      <c r="M100">
        <v>-0.0259203841600899</v>
      </c>
      <c r="N100">
        <v>0.03</v>
      </c>
      <c r="O100">
        <v>0.01315696200290661</v>
      </c>
      <c r="P100" t="s">
        <v>617</v>
      </c>
      <c r="Q100" t="s">
        <v>371</v>
      </c>
      <c r="R100">
        <v>52</v>
      </c>
      <c r="S100">
        <v>0.3401705675835882</v>
      </c>
      <c r="T100">
        <v>31</v>
      </c>
      <c r="U100">
        <v>1.140322580645161</v>
      </c>
      <c r="V100">
        <v>1.0109</v>
      </c>
      <c r="W100">
        <v>1.02</v>
      </c>
      <c r="X100">
        <v>0.34697397893526</v>
      </c>
      <c r="Y100">
        <v>-0.026205</v>
      </c>
      <c r="Z100">
        <v>0.05076142131979695</v>
      </c>
      <c r="AA100">
        <v>0.7280265339966833</v>
      </c>
      <c r="AB100">
        <v>0.2185430463576159</v>
      </c>
      <c r="AC100">
        <v>0.2963576158940397</v>
      </c>
      <c r="AD100">
        <v>0.09105960264900663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303.7</v>
      </c>
      <c r="D101">
        <v>1303032.6342</v>
      </c>
      <c r="E101" t="s">
        <v>641</v>
      </c>
      <c r="F101" t="s">
        <v>613</v>
      </c>
      <c r="G101" t="s">
        <v>653</v>
      </c>
      <c r="H101" t="s">
        <v>683</v>
      </c>
      <c r="I101" t="s">
        <v>786</v>
      </c>
      <c r="J101" t="s">
        <v>1286</v>
      </c>
      <c r="K101">
        <v>43859</v>
      </c>
      <c r="L101">
        <v>0.010245151847786</v>
      </c>
      <c r="M101">
        <v>-0.06588189021307045</v>
      </c>
      <c r="N101">
        <v>0.07000000000000001</v>
      </c>
      <c r="O101">
        <v>0.01242735569829079</v>
      </c>
      <c r="P101" t="s">
        <v>617</v>
      </c>
      <c r="Q101" t="s">
        <v>317</v>
      </c>
      <c r="R101">
        <v>8</v>
      </c>
      <c r="S101">
        <v>0.2281481481481482</v>
      </c>
      <c r="T101">
        <v>216</v>
      </c>
      <c r="U101">
        <v>1.406018518518519</v>
      </c>
      <c r="V101">
        <v>12.8615</v>
      </c>
      <c r="W101">
        <v>13.5</v>
      </c>
      <c r="X101">
        <v>3.08</v>
      </c>
      <c r="Y101">
        <v>0.481958</v>
      </c>
      <c r="Z101">
        <v>0.05922165820642978</v>
      </c>
      <c r="AA101">
        <v>0.9834162520729685</v>
      </c>
      <c r="AB101">
        <v>0.7442052980132451</v>
      </c>
      <c r="AC101">
        <v>0.1324503311258278</v>
      </c>
      <c r="AD101">
        <v>0.08940397350993377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105.47</v>
      </c>
      <c r="D102">
        <v>6730.627848</v>
      </c>
      <c r="E102" t="s">
        <v>647</v>
      </c>
      <c r="F102" t="s">
        <v>613</v>
      </c>
      <c r="G102" t="s">
        <v>653</v>
      </c>
      <c r="H102" t="s">
        <v>682</v>
      </c>
      <c r="I102" t="s">
        <v>787</v>
      </c>
      <c r="J102" t="s">
        <v>1280</v>
      </c>
      <c r="K102">
        <v>43901</v>
      </c>
      <c r="L102">
        <v>0.013732595842075</v>
      </c>
      <c r="M102">
        <v>-0.06098537619412192</v>
      </c>
      <c r="N102">
        <v>0.06</v>
      </c>
      <c r="O102">
        <v>0.01100782365881425</v>
      </c>
      <c r="P102" t="s">
        <v>617</v>
      </c>
      <c r="Q102" t="s">
        <v>371</v>
      </c>
      <c r="R102">
        <v>26</v>
      </c>
      <c r="S102">
        <v>0.374025974025974</v>
      </c>
      <c r="T102">
        <v>77</v>
      </c>
      <c r="U102">
        <v>1.36974025974026</v>
      </c>
      <c r="V102">
        <v>3.6746</v>
      </c>
      <c r="W102">
        <v>3.85</v>
      </c>
      <c r="X102">
        <v>1.44</v>
      </c>
      <c r="Y102">
        <v>-0.07993299999999999</v>
      </c>
      <c r="Z102">
        <v>0.09306260575296108</v>
      </c>
      <c r="AA102">
        <v>0.6733001658374793</v>
      </c>
      <c r="AB102">
        <v>0.6423841059602649</v>
      </c>
      <c r="AC102">
        <v>0.152317880794702</v>
      </c>
      <c r="AD102">
        <v>0.08278145695364238</v>
      </c>
    </row>
    <row r="103" spans="1:30">
      <c r="A103" s="1" t="s">
        <v>110</v>
      </c>
      <c r="B103">
        <f>HYPERLINK("https://www.suredividend.com/sure-analysis-ROP/","Roper Technologies, Inc.")</f>
        <v>0</v>
      </c>
      <c r="C103">
        <v>356.19</v>
      </c>
      <c r="D103">
        <v>36658.99704</v>
      </c>
      <c r="E103" t="s">
        <v>645</v>
      </c>
      <c r="F103" t="s">
        <v>613</v>
      </c>
      <c r="G103" t="s">
        <v>653</v>
      </c>
      <c r="H103" t="s">
        <v>682</v>
      </c>
      <c r="I103" t="s">
        <v>788</v>
      </c>
      <c r="J103" t="s">
        <v>1278</v>
      </c>
      <c r="K103">
        <v>43818</v>
      </c>
      <c r="L103">
        <v>0.005553024262444001</v>
      </c>
      <c r="M103">
        <v>-0.07059919106132662</v>
      </c>
      <c r="N103">
        <v>0.08</v>
      </c>
      <c r="O103">
        <v>0.01053369538959337</v>
      </c>
      <c r="P103" t="s">
        <v>617</v>
      </c>
      <c r="Q103" t="s">
        <v>371</v>
      </c>
      <c r="R103">
        <v>27</v>
      </c>
      <c r="S103">
        <v>0.15</v>
      </c>
      <c r="T103">
        <v>247</v>
      </c>
      <c r="U103">
        <v>1.442064777327935</v>
      </c>
      <c r="V103">
        <v>15.7434</v>
      </c>
      <c r="W103">
        <v>13</v>
      </c>
      <c r="X103">
        <v>1.95</v>
      </c>
      <c r="Y103">
        <v>-0.005128</v>
      </c>
      <c r="Z103">
        <v>0.01522842639593909</v>
      </c>
      <c r="AA103">
        <v>0.7595356550580431</v>
      </c>
      <c r="AB103">
        <v>0.8228476821192053</v>
      </c>
      <c r="AC103">
        <v>0.1258278145695364</v>
      </c>
      <c r="AD103">
        <v>0.08112582781456953</v>
      </c>
    </row>
    <row r="104" spans="1:30">
      <c r="A104" s="1" t="s">
        <v>111</v>
      </c>
      <c r="B104">
        <f>HYPERLINK("https://www.suredividend.com/sure-analysis-COST/","Costco Wholesale Corp.")</f>
        <v>0</v>
      </c>
      <c r="C104">
        <v>304.985</v>
      </c>
      <c r="D104">
        <v>136399.6462</v>
      </c>
      <c r="E104" t="s">
        <v>644</v>
      </c>
      <c r="F104" t="s">
        <v>613</v>
      </c>
      <c r="G104" t="s">
        <v>653</v>
      </c>
      <c r="H104" t="s">
        <v>683</v>
      </c>
      <c r="I104" t="s">
        <v>789</v>
      </c>
      <c r="J104" t="s">
        <v>1284</v>
      </c>
      <c r="K104">
        <v>43910</v>
      </c>
      <c r="L104">
        <v>0.008417235909223001</v>
      </c>
      <c r="M104">
        <v>-0.07191412510094508</v>
      </c>
      <c r="N104">
        <v>0.075</v>
      </c>
      <c r="O104">
        <v>0.008994471104616819</v>
      </c>
      <c r="P104" t="s">
        <v>617</v>
      </c>
      <c r="Q104" t="s">
        <v>317</v>
      </c>
      <c r="R104">
        <v>16</v>
      </c>
      <c r="S104">
        <v>0.2971428571428572</v>
      </c>
      <c r="T104">
        <v>210</v>
      </c>
      <c r="U104">
        <v>1.452309523809524</v>
      </c>
      <c r="V104">
        <v>8.571300000000001</v>
      </c>
      <c r="W104">
        <v>8.75</v>
      </c>
      <c r="X104">
        <v>2.6</v>
      </c>
      <c r="Y104">
        <v>0.286077</v>
      </c>
      <c r="Z104">
        <v>0.03553299492385787</v>
      </c>
      <c r="AA104">
        <v>0.9469320066334991</v>
      </c>
      <c r="AB104">
        <v>0.7839403973509934</v>
      </c>
      <c r="AC104">
        <v>0.1208609271523179</v>
      </c>
      <c r="AD104">
        <v>0.07947019867549669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121.89</v>
      </c>
      <c r="D105">
        <v>349395.21</v>
      </c>
      <c r="E105" t="s">
        <v>644</v>
      </c>
      <c r="F105" t="s">
        <v>613</v>
      </c>
      <c r="G105" t="s">
        <v>653</v>
      </c>
      <c r="H105" t="s">
        <v>682</v>
      </c>
      <c r="I105" t="s">
        <v>790</v>
      </c>
      <c r="J105" t="s">
        <v>1284</v>
      </c>
      <c r="K105">
        <v>43891</v>
      </c>
      <c r="L105">
        <v>0.017193836171938</v>
      </c>
      <c r="M105">
        <v>-0.05471242378162089</v>
      </c>
      <c r="N105">
        <v>0.045</v>
      </c>
      <c r="O105">
        <v>0.008548894335398183</v>
      </c>
      <c r="P105" t="s">
        <v>617</v>
      </c>
      <c r="Q105" t="s">
        <v>371</v>
      </c>
      <c r="R105">
        <v>46</v>
      </c>
      <c r="S105">
        <v>0.415686274509804</v>
      </c>
      <c r="T105">
        <v>92</v>
      </c>
      <c r="U105">
        <v>1.324891304347826</v>
      </c>
      <c r="V105">
        <v>5.222</v>
      </c>
      <c r="W105">
        <v>5.1</v>
      </c>
      <c r="X105">
        <v>2.12</v>
      </c>
      <c r="Y105">
        <v>0.217177</v>
      </c>
      <c r="Z105">
        <v>0.143824027072758</v>
      </c>
      <c r="AA105">
        <v>0.9237147595356551</v>
      </c>
      <c r="AB105">
        <v>0.4205298013245033</v>
      </c>
      <c r="AC105">
        <v>0.1705298013245033</v>
      </c>
      <c r="AD105">
        <v>0.07615894039735099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213.02</v>
      </c>
      <c r="D106">
        <v>21868.1885</v>
      </c>
      <c r="E106" t="s">
        <v>644</v>
      </c>
      <c r="F106" t="s">
        <v>613</v>
      </c>
      <c r="G106" t="s">
        <v>653</v>
      </c>
      <c r="H106" t="s">
        <v>683</v>
      </c>
      <c r="I106" t="s">
        <v>791</v>
      </c>
      <c r="J106" t="s">
        <v>1278</v>
      </c>
      <c r="K106">
        <v>43920</v>
      </c>
      <c r="L106">
        <v>0.009754008659656001</v>
      </c>
      <c r="M106">
        <v>-0.06527331453242291</v>
      </c>
      <c r="N106">
        <v>0.06</v>
      </c>
      <c r="O106">
        <v>0.00696602426725379</v>
      </c>
      <c r="P106" t="s">
        <v>617</v>
      </c>
      <c r="Q106" t="s">
        <v>371</v>
      </c>
      <c r="R106">
        <v>36</v>
      </c>
      <c r="S106">
        <v>0.25625</v>
      </c>
      <c r="T106">
        <v>152</v>
      </c>
      <c r="U106">
        <v>1.401447368421053</v>
      </c>
      <c r="V106">
        <v>9.123200000000001</v>
      </c>
      <c r="W106">
        <v>8</v>
      </c>
      <c r="X106">
        <v>2.05</v>
      </c>
      <c r="Y106">
        <v>-0.039662</v>
      </c>
      <c r="Z106">
        <v>0.05583756345177665</v>
      </c>
      <c r="AA106">
        <v>0.713101160862355</v>
      </c>
      <c r="AB106">
        <v>0.6423841059602649</v>
      </c>
      <c r="AC106">
        <v>0.1341059602649007</v>
      </c>
      <c r="AD106">
        <v>0.07119205298013245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60.22</v>
      </c>
      <c r="D107">
        <v>2070.37296</v>
      </c>
      <c r="E107" t="s">
        <v>649</v>
      </c>
      <c r="F107" t="s">
        <v>613</v>
      </c>
      <c r="G107" t="s">
        <v>653</v>
      </c>
      <c r="H107" t="s">
        <v>683</v>
      </c>
      <c r="I107" t="s">
        <v>792</v>
      </c>
      <c r="J107" t="s">
        <v>1287</v>
      </c>
      <c r="K107">
        <v>43921</v>
      </c>
      <c r="L107">
        <v>0.023107836570663</v>
      </c>
      <c r="M107">
        <v>-0.05660330050240758</v>
      </c>
      <c r="N107">
        <v>0.038</v>
      </c>
      <c r="O107">
        <v>0.005444634026746886</v>
      </c>
      <c r="P107" t="s">
        <v>617</v>
      </c>
      <c r="Q107" t="s">
        <v>618</v>
      </c>
      <c r="R107">
        <v>43</v>
      </c>
      <c r="S107">
        <v>0.5476190476190476</v>
      </c>
      <c r="T107">
        <v>45</v>
      </c>
      <c r="U107">
        <v>1.338222222222222</v>
      </c>
      <c r="V107">
        <v>2.5059</v>
      </c>
      <c r="W107">
        <v>2.52</v>
      </c>
      <c r="X107">
        <v>1.38</v>
      </c>
      <c r="Y107">
        <v>-0.116699</v>
      </c>
      <c r="Z107">
        <v>0.2605752961082911</v>
      </c>
      <c r="AA107">
        <v>0.6417910447761195</v>
      </c>
      <c r="AB107">
        <v>0.2880794701986755</v>
      </c>
      <c r="AC107">
        <v>0.1672185430463576</v>
      </c>
      <c r="AD107">
        <v>0.06788079470198675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160.46</v>
      </c>
      <c r="D108">
        <v>9268.273020000001</v>
      </c>
      <c r="E108" t="s">
        <v>641</v>
      </c>
      <c r="F108" t="s">
        <v>613</v>
      </c>
      <c r="G108" t="s">
        <v>653</v>
      </c>
      <c r="H108" t="s">
        <v>683</v>
      </c>
      <c r="I108" t="s">
        <v>793</v>
      </c>
      <c r="J108" t="s">
        <v>1278</v>
      </c>
      <c r="K108">
        <v>43886</v>
      </c>
      <c r="L108">
        <v>0.009114176914913001</v>
      </c>
      <c r="M108">
        <v>-0.06283029683891261</v>
      </c>
      <c r="N108">
        <v>0.06</v>
      </c>
      <c r="O108">
        <v>0.00478149756345414</v>
      </c>
      <c r="P108" t="s">
        <v>617</v>
      </c>
      <c r="Q108" t="s">
        <v>371</v>
      </c>
      <c r="R108">
        <v>56</v>
      </c>
      <c r="S108">
        <v>0.239344262295082</v>
      </c>
      <c r="T108">
        <v>116</v>
      </c>
      <c r="U108">
        <v>1.383275862068966</v>
      </c>
      <c r="V108">
        <v>5.9299</v>
      </c>
      <c r="W108">
        <v>6.1</v>
      </c>
      <c r="X108">
        <v>1.46</v>
      </c>
      <c r="Y108">
        <v>0.103997</v>
      </c>
      <c r="Z108">
        <v>0.04568527918781726</v>
      </c>
      <c r="AA108">
        <v>0.8673300165837479</v>
      </c>
      <c r="AB108">
        <v>0.6423841059602649</v>
      </c>
      <c r="AC108">
        <v>0.1440397350993377</v>
      </c>
      <c r="AD108">
        <v>0.06456953642384106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194.12</v>
      </c>
      <c r="D109">
        <v>55817.71298</v>
      </c>
      <c r="E109" t="s">
        <v>648</v>
      </c>
      <c r="F109" t="s">
        <v>613</v>
      </c>
      <c r="G109" t="s">
        <v>653</v>
      </c>
      <c r="H109" t="s">
        <v>682</v>
      </c>
      <c r="I109" t="s">
        <v>794</v>
      </c>
      <c r="J109" t="s">
        <v>1281</v>
      </c>
      <c r="K109">
        <v>43950</v>
      </c>
      <c r="L109">
        <v>0.009635807905506001</v>
      </c>
      <c r="M109">
        <v>-0.1424993747959287</v>
      </c>
      <c r="N109">
        <v>0.15</v>
      </c>
      <c r="O109">
        <v>-0.0008401938062693182</v>
      </c>
      <c r="P109" t="s">
        <v>617</v>
      </c>
      <c r="Q109" t="s">
        <v>317</v>
      </c>
      <c r="R109">
        <v>34</v>
      </c>
      <c r="S109">
        <v>0.4133333333333333</v>
      </c>
      <c r="T109">
        <v>90</v>
      </c>
      <c r="U109">
        <v>2.156888888888889</v>
      </c>
      <c r="V109">
        <v>5.3643</v>
      </c>
      <c r="W109">
        <v>4.5</v>
      </c>
      <c r="X109">
        <v>1.86</v>
      </c>
      <c r="Y109">
        <v>0.07471699999999999</v>
      </c>
      <c r="Z109">
        <v>0.05414551607445008</v>
      </c>
      <c r="AA109">
        <v>0.8341625207296849</v>
      </c>
      <c r="AB109">
        <v>0.962748344370861</v>
      </c>
      <c r="AC109">
        <v>0.02649006622516557</v>
      </c>
      <c r="AD109">
        <v>0.05298013245033113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74.04000000000001</v>
      </c>
      <c r="D110">
        <v>2736.05512</v>
      </c>
      <c r="E110" t="s">
        <v>649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0.016042059854408</v>
      </c>
      <c r="M110">
        <v>-0.05096618045564139</v>
      </c>
      <c r="N110">
        <v>0.027</v>
      </c>
      <c r="O110">
        <v>-0.00459921793027418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1.298947368421053</v>
      </c>
      <c r="V110">
        <v>2.3135</v>
      </c>
      <c r="W110">
        <v>2.28</v>
      </c>
      <c r="X110">
        <v>1.19</v>
      </c>
      <c r="Y110">
        <v>0.038063</v>
      </c>
      <c r="Z110">
        <v>0.1235194585448393</v>
      </c>
      <c r="AA110">
        <v>0.7960199004975124</v>
      </c>
      <c r="AB110">
        <v>0.1779801324503311</v>
      </c>
      <c r="AC110">
        <v>0.1937086092715232</v>
      </c>
      <c r="AD110">
        <v>0.05132450331125828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93.56</v>
      </c>
      <c r="D111">
        <v>2089.502348</v>
      </c>
      <c r="E111" t="s">
        <v>644</v>
      </c>
      <c r="F111" t="s">
        <v>613</v>
      </c>
      <c r="G111" t="s">
        <v>653</v>
      </c>
      <c r="H111" t="s">
        <v>682</v>
      </c>
      <c r="I111" t="s">
        <v>796</v>
      </c>
      <c r="J111" t="s">
        <v>1281</v>
      </c>
      <c r="K111">
        <v>43892</v>
      </c>
      <c r="L111">
        <v>0.011292751129275</v>
      </c>
      <c r="M111">
        <v>-0.06741002104091265</v>
      </c>
      <c r="N111">
        <v>0.04</v>
      </c>
      <c r="O111">
        <v>-0.01380296926214664</v>
      </c>
      <c r="P111" t="s">
        <v>617</v>
      </c>
      <c r="Q111" t="s">
        <v>371</v>
      </c>
      <c r="R111">
        <v>52</v>
      </c>
      <c r="S111">
        <v>0.2386363636363636</v>
      </c>
      <c r="T111">
        <v>66</v>
      </c>
      <c r="U111">
        <v>1.417575757575758</v>
      </c>
      <c r="V111">
        <v>4.5877</v>
      </c>
      <c r="W111">
        <v>4.4</v>
      </c>
      <c r="X111">
        <v>1.05</v>
      </c>
      <c r="Y111">
        <v>0.050265</v>
      </c>
      <c r="Z111">
        <v>0.06937394247038917</v>
      </c>
      <c r="AA111">
        <v>0.8142620232172472</v>
      </c>
      <c r="AB111">
        <v>0.3501655629139073</v>
      </c>
      <c r="AC111">
        <v>0.1291390728476821</v>
      </c>
      <c r="AD111">
        <v>0.0380794701986755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46.59</v>
      </c>
      <c r="D112">
        <v>25001.20624</v>
      </c>
      <c r="E112" t="s">
        <v>644</v>
      </c>
      <c r="F112" t="s">
        <v>613</v>
      </c>
      <c r="G112" t="s">
        <v>653</v>
      </c>
      <c r="H112" t="s">
        <v>682</v>
      </c>
      <c r="I112" t="s">
        <v>797</v>
      </c>
      <c r="J112" t="s">
        <v>1284</v>
      </c>
      <c r="K112">
        <v>43891</v>
      </c>
      <c r="L112">
        <v>0.018552376855237</v>
      </c>
      <c r="M112">
        <v>-0.07237711675801861</v>
      </c>
      <c r="N112">
        <v>0.03</v>
      </c>
      <c r="O112">
        <v>-0.01781464925168741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1.4559375</v>
      </c>
      <c r="V112">
        <v>1.8356</v>
      </c>
      <c r="W112">
        <v>1.75</v>
      </c>
      <c r="X112">
        <v>0.8625</v>
      </c>
      <c r="Y112">
        <v>0.198196</v>
      </c>
      <c r="Z112">
        <v>0.1641285956006768</v>
      </c>
      <c r="AA112">
        <v>0.9154228855721394</v>
      </c>
      <c r="AB112">
        <v>0.2185430463576159</v>
      </c>
      <c r="AC112">
        <v>0.1175496688741722</v>
      </c>
      <c r="AD112">
        <v>0.03476821192052981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64.65000000000001</v>
      </c>
      <c r="D113">
        <v>30883.0626</v>
      </c>
      <c r="E113" t="s">
        <v>646</v>
      </c>
      <c r="F113" t="s">
        <v>613</v>
      </c>
      <c r="G113" t="s">
        <v>653</v>
      </c>
      <c r="H113" t="s">
        <v>682</v>
      </c>
      <c r="I113" t="s">
        <v>798</v>
      </c>
      <c r="J113" t="s">
        <v>1284</v>
      </c>
      <c r="K113">
        <v>43907</v>
      </c>
      <c r="L113">
        <v>0.010408732001857</v>
      </c>
      <c r="M113">
        <v>-0.09614406191771452</v>
      </c>
      <c r="N113">
        <v>0.07000000000000001</v>
      </c>
      <c r="O113">
        <v>-0.01848608193274759</v>
      </c>
      <c r="P113" t="s">
        <v>617</v>
      </c>
      <c r="Q113" t="s">
        <v>317</v>
      </c>
      <c r="R113">
        <v>30</v>
      </c>
      <c r="S113">
        <v>0.3776966292134831</v>
      </c>
      <c r="T113">
        <v>39</v>
      </c>
      <c r="U113">
        <v>1.657692307692308</v>
      </c>
      <c r="V113">
        <v>1.7967</v>
      </c>
      <c r="W113">
        <v>1.78</v>
      </c>
      <c r="X113">
        <v>0.6723</v>
      </c>
      <c r="Y113">
        <v>0.231224</v>
      </c>
      <c r="Z113">
        <v>0.06091370558375634</v>
      </c>
      <c r="AA113">
        <v>0.9320066334991708</v>
      </c>
      <c r="AB113">
        <v>0.7442052980132451</v>
      </c>
      <c r="AC113">
        <v>0.06622516556291391</v>
      </c>
      <c r="AD113">
        <v>0.03311258278145696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61.7</v>
      </c>
      <c r="D114">
        <v>1065.69729</v>
      </c>
      <c r="E114" t="s">
        <v>649</v>
      </c>
      <c r="F114" t="s">
        <v>613</v>
      </c>
      <c r="G114" t="s">
        <v>653</v>
      </c>
      <c r="H114" t="s">
        <v>683</v>
      </c>
      <c r="I114" t="s">
        <v>799</v>
      </c>
      <c r="J114" t="s">
        <v>1287</v>
      </c>
      <c r="K114">
        <v>43936</v>
      </c>
      <c r="L114">
        <v>0.016241204385534</v>
      </c>
      <c r="M114">
        <v>-0.0611732186797016</v>
      </c>
      <c r="N114">
        <v>0.019</v>
      </c>
      <c r="O114">
        <v>-0.02240761687999326</v>
      </c>
      <c r="P114" t="s">
        <v>617</v>
      </c>
      <c r="Q114" t="s">
        <v>371</v>
      </c>
      <c r="R114">
        <v>47</v>
      </c>
      <c r="S114">
        <v>0.4841463414634147</v>
      </c>
      <c r="T114">
        <v>45</v>
      </c>
      <c r="U114">
        <v>1.371111111111111</v>
      </c>
      <c r="V114">
        <v>2.0578</v>
      </c>
      <c r="W114">
        <v>2.05</v>
      </c>
      <c r="X114">
        <v>0.9925</v>
      </c>
      <c r="Y114">
        <v>0.07607000000000001</v>
      </c>
      <c r="Z114">
        <v>0.1269035532994924</v>
      </c>
      <c r="AA114">
        <v>0.8374792703150912</v>
      </c>
      <c r="AB114">
        <v>0.09105960264900663</v>
      </c>
      <c r="AC114">
        <v>0.1506622516556291</v>
      </c>
      <c r="AD114">
        <v>0.03145695364238411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57.64</v>
      </c>
      <c r="D115">
        <v>1668.135846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1278</v>
      </c>
      <c r="K115">
        <v>43937</v>
      </c>
      <c r="L115">
        <v>0.011520335137022</v>
      </c>
      <c r="M115">
        <v>-0.0799489508583211</v>
      </c>
      <c r="N115">
        <v>0.034</v>
      </c>
      <c r="O115">
        <v>-0.03043232703601195</v>
      </c>
      <c r="P115" t="s">
        <v>617</v>
      </c>
      <c r="Q115" t="s">
        <v>317</v>
      </c>
      <c r="R115">
        <v>27</v>
      </c>
      <c r="S115">
        <v>0.4177215189873418</v>
      </c>
      <c r="T115">
        <v>38</v>
      </c>
      <c r="U115">
        <v>1.516842105263158</v>
      </c>
      <c r="V115">
        <v>1.6606</v>
      </c>
      <c r="W115">
        <v>1.58</v>
      </c>
      <c r="X115">
        <v>0.66</v>
      </c>
      <c r="Y115">
        <v>0.067449</v>
      </c>
      <c r="Z115">
        <v>0.0727580372250423</v>
      </c>
      <c r="AA115">
        <v>0.8242122719734659</v>
      </c>
      <c r="AB115">
        <v>0.2607615894039735</v>
      </c>
      <c r="AC115">
        <v>0.09105960264900663</v>
      </c>
      <c r="AD115">
        <v>0.02814569536423841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45.12</v>
      </c>
      <c r="D116">
        <v>2174.10582</v>
      </c>
      <c r="E116" t="s">
        <v>646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43895</v>
      </c>
      <c r="L116">
        <v>0.018037194712077</v>
      </c>
      <c r="M116">
        <v>-0.09760031583881879</v>
      </c>
      <c r="N116">
        <v>0.04</v>
      </c>
      <c r="O116">
        <v>-0.03596861091151116</v>
      </c>
      <c r="P116" t="s">
        <v>617</v>
      </c>
      <c r="Q116" t="s">
        <v>371</v>
      </c>
      <c r="R116">
        <v>52</v>
      </c>
      <c r="S116">
        <v>0.5962962962962963</v>
      </c>
      <c r="T116">
        <v>27</v>
      </c>
      <c r="U116">
        <v>1.671111111111111</v>
      </c>
      <c r="V116">
        <v>1.051</v>
      </c>
      <c r="W116">
        <v>1.35</v>
      </c>
      <c r="X116">
        <v>0.805</v>
      </c>
      <c r="Y116">
        <v>-0.109182</v>
      </c>
      <c r="Z116">
        <v>0.155668358714044</v>
      </c>
      <c r="AA116">
        <v>0.6484245439469321</v>
      </c>
      <c r="AB116">
        <v>0.3501655629139073</v>
      </c>
      <c r="AC116">
        <v>0.06291390728476821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183.88</v>
      </c>
      <c r="D117">
        <v>13694.52</v>
      </c>
      <c r="E117" t="s">
        <v>646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43899</v>
      </c>
      <c r="L117">
        <v>0.009131652661064001</v>
      </c>
      <c r="M117">
        <v>-0.1410007369693039</v>
      </c>
      <c r="N117">
        <v>0.095</v>
      </c>
      <c r="O117">
        <v>-0.04428513129574252</v>
      </c>
      <c r="P117" t="s">
        <v>617</v>
      </c>
      <c r="Q117" t="s">
        <v>317</v>
      </c>
      <c r="R117">
        <v>30</v>
      </c>
      <c r="S117">
        <v>0.4179487179487179</v>
      </c>
      <c r="T117">
        <v>86</v>
      </c>
      <c r="U117">
        <v>2.138139534883721</v>
      </c>
      <c r="W117">
        <v>3.9</v>
      </c>
      <c r="X117">
        <v>1.63</v>
      </c>
      <c r="Y117">
        <v>0.322124</v>
      </c>
      <c r="Z117">
        <v>0.04737732656514382</v>
      </c>
      <c r="AA117">
        <v>0.9568822553897181</v>
      </c>
      <c r="AB117">
        <v>0.8948675496688742</v>
      </c>
      <c r="AC117">
        <v>0.02814569536423841</v>
      </c>
      <c r="AD117">
        <v>0.01821192052980132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71.69</v>
      </c>
      <c r="D118">
        <v>3157.167356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0.013090495162208</v>
      </c>
      <c r="M118">
        <v>-0.1014171159835768</v>
      </c>
      <c r="N118">
        <v>0.03</v>
      </c>
      <c r="O118">
        <v>-0.05504319126204626</v>
      </c>
      <c r="P118" t="s">
        <v>617</v>
      </c>
      <c r="Q118" t="s">
        <v>371</v>
      </c>
      <c r="R118">
        <v>44</v>
      </c>
      <c r="S118">
        <v>0.3755102040816327</v>
      </c>
      <c r="T118">
        <v>42</v>
      </c>
      <c r="U118">
        <v>1.706904761904762</v>
      </c>
      <c r="V118">
        <v>1.4525</v>
      </c>
      <c r="W118">
        <v>2.45</v>
      </c>
      <c r="X118">
        <v>0.92</v>
      </c>
      <c r="Y118">
        <v>-0.145636</v>
      </c>
      <c r="Z118">
        <v>0.08798646362098138</v>
      </c>
      <c r="AA118">
        <v>0.5970149253731344</v>
      </c>
      <c r="AB118">
        <v>0.2185430463576159</v>
      </c>
      <c r="AC118">
        <v>0.05463576158940397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197.97</v>
      </c>
      <c r="D119">
        <v>14501.105444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1283</v>
      </c>
      <c r="K119">
        <v>43950</v>
      </c>
      <c r="L119">
        <v>0.003197644909146</v>
      </c>
      <c r="M119">
        <v>-0.1854236569736541</v>
      </c>
      <c r="N119">
        <v>0.08</v>
      </c>
      <c r="O119">
        <v>-0.1138841327620561</v>
      </c>
      <c r="P119" t="s">
        <v>617</v>
      </c>
      <c r="Q119" t="s">
        <v>371</v>
      </c>
      <c r="R119">
        <v>26</v>
      </c>
      <c r="S119">
        <v>0.1764705882352941</v>
      </c>
      <c r="T119">
        <v>71</v>
      </c>
      <c r="U119">
        <v>2.788309859154929</v>
      </c>
      <c r="V119">
        <v>3.5254</v>
      </c>
      <c r="W119">
        <v>3.57</v>
      </c>
      <c r="X119">
        <v>0.63</v>
      </c>
      <c r="Y119">
        <v>0.6229</v>
      </c>
      <c r="Z119">
        <v>0.01184433164128596</v>
      </c>
      <c r="AA119">
        <v>0.988391376451078</v>
      </c>
      <c r="AB119">
        <v>0.8228476821192053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16.23</v>
      </c>
      <c r="D120">
        <v>20418.7204</v>
      </c>
      <c r="E120" t="s">
        <v>648</v>
      </c>
      <c r="F120" t="s">
        <v>613</v>
      </c>
      <c r="G120" t="s">
        <v>654</v>
      </c>
      <c r="H120" t="s">
        <v>682</v>
      </c>
      <c r="I120" t="s">
        <v>805</v>
      </c>
      <c r="J120" t="s">
        <v>1279</v>
      </c>
      <c r="K120">
        <v>43900</v>
      </c>
      <c r="L120">
        <v>0.052655523941738</v>
      </c>
      <c r="M120">
        <v>0.1727266544851624</v>
      </c>
      <c r="N120">
        <v>0.04</v>
      </c>
      <c r="O120">
        <v>0.2758410625246899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0.4508333333333334</v>
      </c>
      <c r="V120">
        <v>1.0932</v>
      </c>
      <c r="W120">
        <v>2.2</v>
      </c>
      <c r="X120">
        <v>0.848807045940817</v>
      </c>
      <c r="Y120">
        <v>-0.121047</v>
      </c>
      <c r="Z120">
        <v>0.6243654822335025</v>
      </c>
      <c r="AA120">
        <v>0.6285240464344942</v>
      </c>
      <c r="AB120">
        <v>0.3501655629139073</v>
      </c>
      <c r="AC120">
        <v>0.9470198675496688</v>
      </c>
      <c r="AD120">
        <v>0.9536423841059603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17.24</v>
      </c>
      <c r="D121">
        <v>36866.6332</v>
      </c>
      <c r="E121" t="s">
        <v>649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0.10480997624703</v>
      </c>
      <c r="M121">
        <v>0.158652085991726</v>
      </c>
      <c r="N121">
        <v>0.04</v>
      </c>
      <c r="O121">
        <v>0.256241148183836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0.4788888888888889</v>
      </c>
      <c r="W121">
        <v>3.57</v>
      </c>
      <c r="X121">
        <v>1.765</v>
      </c>
      <c r="Y121">
        <v>-0.409951</v>
      </c>
      <c r="Z121">
        <v>0.8527918781725888</v>
      </c>
      <c r="AA121">
        <v>0.2470978441127695</v>
      </c>
      <c r="AB121">
        <v>0.3501655629139073</v>
      </c>
      <c r="AC121">
        <v>0.9403973509933775</v>
      </c>
      <c r="AD121">
        <v>0.9387417218543047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16.53</v>
      </c>
      <c r="D122">
        <v>24337.3514</v>
      </c>
      <c r="E122" t="s">
        <v>648</v>
      </c>
      <c r="F122" t="s">
        <v>613</v>
      </c>
      <c r="G122" t="s">
        <v>654</v>
      </c>
      <c r="H122" t="s">
        <v>682</v>
      </c>
      <c r="I122" t="s">
        <v>807</v>
      </c>
      <c r="J122" t="s">
        <v>1285</v>
      </c>
      <c r="K122">
        <v>43867</v>
      </c>
      <c r="L122">
        <v>0.081295099432035</v>
      </c>
      <c r="M122">
        <v>0.1551575280047155</v>
      </c>
      <c r="N122">
        <v>0.04</v>
      </c>
      <c r="O122">
        <v>0.2448851606221532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0.4861764705882353</v>
      </c>
      <c r="V122">
        <v>-1.0618</v>
      </c>
      <c r="W122">
        <v>2.4</v>
      </c>
      <c r="X122">
        <v>1.29584388494665</v>
      </c>
      <c r="Y122">
        <v>-0.499843</v>
      </c>
      <c r="Z122">
        <v>0.7884940778341794</v>
      </c>
      <c r="AA122">
        <v>0.1475953565505804</v>
      </c>
      <c r="AB122">
        <v>0.3501655629139073</v>
      </c>
      <c r="AC122">
        <v>0.9354304635761589</v>
      </c>
      <c r="AD122">
        <v>0.9288079470198676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30.78</v>
      </c>
      <c r="D123">
        <v>19194.52953</v>
      </c>
      <c r="E123" t="s">
        <v>648</v>
      </c>
      <c r="F123" t="s">
        <v>613</v>
      </c>
      <c r="G123" t="s">
        <v>653</v>
      </c>
      <c r="H123" t="s">
        <v>682</v>
      </c>
      <c r="I123" t="s">
        <v>808</v>
      </c>
      <c r="J123" t="s">
        <v>1285</v>
      </c>
      <c r="K123">
        <v>43859</v>
      </c>
      <c r="L123">
        <v>0.07348459194039901</v>
      </c>
      <c r="M123">
        <v>0.1917704718855873</v>
      </c>
      <c r="N123">
        <v>0.01</v>
      </c>
      <c r="O123">
        <v>0.2437942645278266</v>
      </c>
      <c r="P123" t="s">
        <v>618</v>
      </c>
      <c r="Q123" t="s">
        <v>617</v>
      </c>
      <c r="R123">
        <v>9</v>
      </c>
      <c r="S123">
        <v>0.3144927536231884</v>
      </c>
      <c r="T123">
        <v>74</v>
      </c>
      <c r="U123">
        <v>0.415945945945946</v>
      </c>
      <c r="V123">
        <v>-10.2265</v>
      </c>
      <c r="W123">
        <v>6.9</v>
      </c>
      <c r="X123">
        <v>2.17</v>
      </c>
      <c r="Y123">
        <v>-0.503113</v>
      </c>
      <c r="Z123">
        <v>0.7411167512690355</v>
      </c>
      <c r="AA123">
        <v>0.1442786069651741</v>
      </c>
      <c r="AB123">
        <v>0.05711920529801325</v>
      </c>
      <c r="AC123">
        <v>0.9619205298013245</v>
      </c>
      <c r="AD123">
        <v>0.9271523178807947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15.25</v>
      </c>
      <c r="D124">
        <v>14126.624</v>
      </c>
      <c r="E124" t="s">
        <v>650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0.081637177648384</v>
      </c>
      <c r="M124">
        <v>0.1371706203534313</v>
      </c>
      <c r="N124">
        <v>0.04</v>
      </c>
      <c r="O124">
        <v>0.2281735787761403</v>
      </c>
      <c r="P124" t="s">
        <v>618</v>
      </c>
      <c r="Q124" t="s">
        <v>617</v>
      </c>
      <c r="R124">
        <v>27</v>
      </c>
      <c r="S124">
        <v>0.5165838004721452</v>
      </c>
      <c r="T124">
        <v>29</v>
      </c>
      <c r="U124">
        <v>0.5258620689655172</v>
      </c>
      <c r="V124">
        <v>1.8798</v>
      </c>
      <c r="W124">
        <v>2.41</v>
      </c>
      <c r="X124">
        <v>1.24496695913787</v>
      </c>
      <c r="Y124">
        <v>-0.354634</v>
      </c>
      <c r="Z124">
        <v>0.7901861252115059</v>
      </c>
      <c r="AA124">
        <v>0.3101160862354893</v>
      </c>
      <c r="AB124">
        <v>0.3501655629139073</v>
      </c>
      <c r="AC124">
        <v>0.9039735099337749</v>
      </c>
      <c r="AD124">
        <v>0.9006622516556291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14.86</v>
      </c>
      <c r="D125">
        <v>10783.929</v>
      </c>
      <c r="E125" t="s">
        <v>648</v>
      </c>
      <c r="F125" t="s">
        <v>613</v>
      </c>
      <c r="G125" t="s">
        <v>654</v>
      </c>
      <c r="H125" t="s">
        <v>685</v>
      </c>
      <c r="I125" t="s">
        <v>810</v>
      </c>
      <c r="J125" t="s">
        <v>1285</v>
      </c>
      <c r="K125">
        <v>43865</v>
      </c>
      <c r="L125">
        <v>0.045013664601737</v>
      </c>
      <c r="M125">
        <v>0.1430779247685816</v>
      </c>
      <c r="N125">
        <v>0.05</v>
      </c>
      <c r="O125">
        <v>0.2266967739086221</v>
      </c>
      <c r="P125" t="s">
        <v>618</v>
      </c>
      <c r="Q125" t="s">
        <v>618</v>
      </c>
      <c r="R125">
        <v>4</v>
      </c>
      <c r="S125">
        <v>0.3148813014283443</v>
      </c>
      <c r="T125">
        <v>29</v>
      </c>
      <c r="U125">
        <v>0.5124137931034483</v>
      </c>
      <c r="V125">
        <v>1.6882</v>
      </c>
      <c r="W125">
        <v>2.1</v>
      </c>
      <c r="X125">
        <v>0.6612507329995231</v>
      </c>
      <c r="Y125">
        <v>-0.481468</v>
      </c>
      <c r="Z125">
        <v>0.5414551607445008</v>
      </c>
      <c r="AA125">
        <v>0.1741293532338309</v>
      </c>
      <c r="AB125">
        <v>0.5033112582781457</v>
      </c>
      <c r="AC125">
        <v>0.9155629139072847</v>
      </c>
      <c r="AD125">
        <v>0.8973509933774834</v>
      </c>
    </row>
    <row r="126" spans="1:30">
      <c r="A126" s="1" t="s">
        <v>133</v>
      </c>
      <c r="B126">
        <f>HYPERLINK("https://www.suredividend.com/sure-analysis-FL/","Foot Locker, Inc.")</f>
        <v>0</v>
      </c>
      <c r="C126">
        <v>23.35</v>
      </c>
      <c r="D126">
        <v>2391.18345</v>
      </c>
      <c r="E126" t="s">
        <v>644</v>
      </c>
      <c r="F126" t="s">
        <v>613</v>
      </c>
      <c r="G126" t="s">
        <v>653</v>
      </c>
      <c r="H126" t="s">
        <v>682</v>
      </c>
      <c r="I126" t="s">
        <v>811</v>
      </c>
      <c r="J126" t="s">
        <v>1280</v>
      </c>
      <c r="K126">
        <v>43897</v>
      </c>
      <c r="L126">
        <v>0.066230936819172</v>
      </c>
      <c r="M126">
        <v>0.1402107356215854</v>
      </c>
      <c r="N126">
        <v>0.04</v>
      </c>
      <c r="O126">
        <v>0.2251268105656641</v>
      </c>
      <c r="P126" t="s">
        <v>618</v>
      </c>
      <c r="Q126" t="s">
        <v>617</v>
      </c>
      <c r="R126">
        <v>9</v>
      </c>
      <c r="S126">
        <v>0.304</v>
      </c>
      <c r="T126">
        <v>45</v>
      </c>
      <c r="U126">
        <v>0.518888888888889</v>
      </c>
      <c r="V126">
        <v>4.5944</v>
      </c>
      <c r="W126">
        <v>5</v>
      </c>
      <c r="X126">
        <v>1.52</v>
      </c>
      <c r="Y126">
        <v>-0.576881</v>
      </c>
      <c r="Z126">
        <v>0.6903553299492385</v>
      </c>
      <c r="AA126">
        <v>0.09452736318407959</v>
      </c>
      <c r="AB126">
        <v>0.3501655629139073</v>
      </c>
      <c r="AC126">
        <v>0.9072847682119205</v>
      </c>
      <c r="AD126">
        <v>0.8923841059602649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15.41</v>
      </c>
      <c r="D127">
        <v>18043.388</v>
      </c>
      <c r="E127" t="s">
        <v>648</v>
      </c>
      <c r="F127" t="s">
        <v>613</v>
      </c>
      <c r="G127" t="s">
        <v>654</v>
      </c>
      <c r="H127" t="s">
        <v>682</v>
      </c>
      <c r="J127" t="s">
        <v>1285</v>
      </c>
      <c r="K127">
        <v>43895</v>
      </c>
      <c r="L127">
        <v>0.07398023174776201</v>
      </c>
      <c r="M127">
        <v>0.118696360274877</v>
      </c>
      <c r="N127">
        <v>0.05</v>
      </c>
      <c r="O127">
        <v>0.2214915540178948</v>
      </c>
      <c r="P127" t="s">
        <v>618</v>
      </c>
      <c r="Q127" t="s">
        <v>617</v>
      </c>
      <c r="R127">
        <v>20</v>
      </c>
      <c r="S127">
        <v>0.5024079738248044</v>
      </c>
      <c r="T127">
        <v>27</v>
      </c>
      <c r="U127">
        <v>0.5707407407407408</v>
      </c>
      <c r="V127">
        <v>3.4131</v>
      </c>
      <c r="W127">
        <v>2.25</v>
      </c>
      <c r="X127">
        <v>1.13041794110581</v>
      </c>
      <c r="Y127">
        <v>-0.448176</v>
      </c>
      <c r="Z127">
        <v>0.7461928934010151</v>
      </c>
      <c r="AA127">
        <v>0.2039800995024875</v>
      </c>
      <c r="AB127">
        <v>0.5033112582781457</v>
      </c>
      <c r="AC127">
        <v>0.8824503311258277</v>
      </c>
      <c r="AD127">
        <v>0.8890728476821192</v>
      </c>
    </row>
    <row r="128" spans="1:30">
      <c r="A128" s="1" t="s">
        <v>135</v>
      </c>
      <c r="B128">
        <f>HYPERLINK("https://www.suredividend.com/sure-analysis-LAZ/","Lazard Ltd.")</f>
        <v>0</v>
      </c>
      <c r="C128">
        <v>25.9</v>
      </c>
      <c r="D128">
        <v>2575.28611</v>
      </c>
      <c r="E128" t="s">
        <v>642</v>
      </c>
      <c r="F128" t="s">
        <v>613</v>
      </c>
      <c r="G128" t="s">
        <v>653</v>
      </c>
      <c r="H128" t="s">
        <v>682</v>
      </c>
      <c r="I128" t="s">
        <v>812</v>
      </c>
      <c r="J128" t="s">
        <v>1277</v>
      </c>
      <c r="K128">
        <v>43873</v>
      </c>
      <c r="L128">
        <v>0.07645384302562</v>
      </c>
      <c r="M128">
        <v>0.1168183728367627</v>
      </c>
      <c r="N128">
        <v>0.05</v>
      </c>
      <c r="O128">
        <v>0.2130552260037564</v>
      </c>
      <c r="P128" t="s">
        <v>618</v>
      </c>
      <c r="Q128" t="s">
        <v>617</v>
      </c>
      <c r="R128">
        <v>12</v>
      </c>
      <c r="S128">
        <v>0.5465116279069767</v>
      </c>
      <c r="T128">
        <v>45</v>
      </c>
      <c r="U128">
        <v>0.5755555555555555</v>
      </c>
      <c r="V128">
        <v>2.3327</v>
      </c>
      <c r="W128">
        <v>3.44</v>
      </c>
      <c r="X128">
        <v>1.88</v>
      </c>
      <c r="Y128">
        <v>-0.350673</v>
      </c>
      <c r="Z128">
        <v>0.7648054145516074</v>
      </c>
      <c r="AA128">
        <v>0.3200663349917081</v>
      </c>
      <c r="AB128">
        <v>0.5033112582781457</v>
      </c>
      <c r="AC128">
        <v>0.8758278145695364</v>
      </c>
      <c r="AD128">
        <v>0.8774834437086092</v>
      </c>
    </row>
    <row r="129" spans="1:30">
      <c r="A129" s="1" t="s">
        <v>136</v>
      </c>
      <c r="B129">
        <f>HYPERLINK("https://www.suredividend.com/sure-analysis-BMO/","Bank of Montreal")</f>
        <v>0</v>
      </c>
      <c r="C129">
        <v>48</v>
      </c>
      <c r="D129">
        <v>30663.76632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43901</v>
      </c>
      <c r="L129">
        <v>0.064860825793355</v>
      </c>
      <c r="M129">
        <v>0.1157512215801131</v>
      </c>
      <c r="N129">
        <v>0.05</v>
      </c>
      <c r="O129">
        <v>0.211406240522942</v>
      </c>
      <c r="P129" t="s">
        <v>618</v>
      </c>
      <c r="Q129" t="s">
        <v>617</v>
      </c>
      <c r="R129">
        <v>9</v>
      </c>
      <c r="S129">
        <v>0.4242057283128895</v>
      </c>
      <c r="T129">
        <v>83</v>
      </c>
      <c r="U129">
        <v>0.5783132530120482</v>
      </c>
      <c r="V129">
        <v>6.6262</v>
      </c>
      <c r="W129">
        <v>7.33</v>
      </c>
      <c r="X129">
        <v>3.10942798853348</v>
      </c>
      <c r="Y129">
        <v>-0.388208</v>
      </c>
      <c r="Z129">
        <v>0.6835871404399323</v>
      </c>
      <c r="AA129">
        <v>0.2686567164179104</v>
      </c>
      <c r="AB129">
        <v>0.5033112582781457</v>
      </c>
      <c r="AC129">
        <v>0.8725165562913908</v>
      </c>
      <c r="AD129">
        <v>0.8758278145695364</v>
      </c>
    </row>
    <row r="130" spans="1:30">
      <c r="A130" s="1" t="s">
        <v>137</v>
      </c>
      <c r="B130">
        <f>HYPERLINK("https://www.suredividend.com/sure-analysis-BNS/","The Bank of Nova Scotia")</f>
        <v>0</v>
      </c>
      <c r="C130">
        <v>37.45</v>
      </c>
      <c r="D130">
        <v>45350.866</v>
      </c>
      <c r="E130" t="s">
        <v>645</v>
      </c>
      <c r="F130" t="s">
        <v>613</v>
      </c>
      <c r="G130" t="s">
        <v>654</v>
      </c>
      <c r="H130" t="s">
        <v>682</v>
      </c>
      <c r="I130" t="s">
        <v>814</v>
      </c>
      <c r="J130" t="s">
        <v>1277</v>
      </c>
      <c r="K130">
        <v>43896</v>
      </c>
      <c r="L130">
        <v>0.071434147999894</v>
      </c>
      <c r="M130">
        <v>0.113129340770193</v>
      </c>
      <c r="N130">
        <v>0.05</v>
      </c>
      <c r="O130">
        <v>0.2113733524376173</v>
      </c>
      <c r="P130" t="s">
        <v>618</v>
      </c>
      <c r="Q130" t="s">
        <v>617</v>
      </c>
      <c r="R130">
        <v>9</v>
      </c>
      <c r="S130">
        <v>0.4728561301231947</v>
      </c>
      <c r="T130">
        <v>64</v>
      </c>
      <c r="U130">
        <v>0.58515625</v>
      </c>
      <c r="V130">
        <v>5.178</v>
      </c>
      <c r="W130">
        <v>5.65</v>
      </c>
      <c r="X130">
        <v>2.67163713519605</v>
      </c>
      <c r="Y130">
        <v>-0.308688</v>
      </c>
      <c r="Z130">
        <v>0.7208121827411168</v>
      </c>
      <c r="AA130">
        <v>0.3698175787728026</v>
      </c>
      <c r="AB130">
        <v>0.5033112582781457</v>
      </c>
      <c r="AC130">
        <v>0.8642384105960265</v>
      </c>
      <c r="AD130">
        <v>0.8741721854304636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9.31</v>
      </c>
      <c r="D131">
        <v>3341.136</v>
      </c>
      <c r="E131" t="s">
        <v>648</v>
      </c>
      <c r="F131" t="s">
        <v>613</v>
      </c>
      <c r="G131" t="s">
        <v>653</v>
      </c>
      <c r="H131" t="s">
        <v>682</v>
      </c>
      <c r="I131" t="s">
        <v>815</v>
      </c>
      <c r="J131" t="s">
        <v>1280</v>
      </c>
      <c r="K131">
        <v>43871</v>
      </c>
      <c r="L131">
        <v>0.0625</v>
      </c>
      <c r="M131">
        <v>0.1409446199897666</v>
      </c>
      <c r="N131">
        <v>0.03</v>
      </c>
      <c r="O131">
        <v>0.2101305292110931</v>
      </c>
      <c r="P131" t="s">
        <v>618</v>
      </c>
      <c r="Q131" t="s">
        <v>617</v>
      </c>
      <c r="R131">
        <v>0</v>
      </c>
      <c r="S131">
        <v>0.3409090909090909</v>
      </c>
      <c r="T131">
        <v>18</v>
      </c>
      <c r="U131">
        <v>0.5172222222222222</v>
      </c>
      <c r="V131">
        <v>1.4221</v>
      </c>
      <c r="W131">
        <v>1.76</v>
      </c>
      <c r="X131">
        <v>0.6000000000000001</v>
      </c>
      <c r="Y131">
        <v>-0.459155</v>
      </c>
      <c r="Z131">
        <v>0.6742808798646363</v>
      </c>
      <c r="AA131">
        <v>0.1940298507462687</v>
      </c>
      <c r="AB131">
        <v>0.2185430463576159</v>
      </c>
      <c r="AC131">
        <v>0.9089403973509934</v>
      </c>
      <c r="AD131">
        <v>0.8725165562913908</v>
      </c>
    </row>
    <row r="132" spans="1:30">
      <c r="A132" s="1" t="s">
        <v>139</v>
      </c>
      <c r="B132">
        <f>HYPERLINK("https://www.suredividend.com/sure-analysis-SUN/","Sunoco LP")</f>
        <v>0</v>
      </c>
      <c r="C132">
        <v>22.71</v>
      </c>
      <c r="D132">
        <v>2332.575719</v>
      </c>
      <c r="E132" t="s">
        <v>646</v>
      </c>
      <c r="F132" t="s">
        <v>615</v>
      </c>
      <c r="G132" t="s">
        <v>653</v>
      </c>
      <c r="H132" t="s">
        <v>682</v>
      </c>
      <c r="I132" t="s">
        <v>816</v>
      </c>
      <c r="J132" t="s">
        <v>1285</v>
      </c>
      <c r="K132">
        <v>43885</v>
      </c>
      <c r="L132">
        <v>0.140750213128729</v>
      </c>
      <c r="M132">
        <v>0.09652130256147129</v>
      </c>
      <c r="N132">
        <v>0.015</v>
      </c>
      <c r="O132">
        <v>0.1947407441236186</v>
      </c>
      <c r="P132" t="s">
        <v>618</v>
      </c>
      <c r="Q132" t="s">
        <v>617</v>
      </c>
      <c r="R132">
        <v>0</v>
      </c>
      <c r="S132">
        <v>0.41275</v>
      </c>
      <c r="T132">
        <v>36</v>
      </c>
      <c r="U132">
        <v>0.6308333333333334</v>
      </c>
      <c r="V132">
        <v>2.8399</v>
      </c>
      <c r="W132">
        <v>8</v>
      </c>
      <c r="X132">
        <v>3.302</v>
      </c>
      <c r="Y132">
        <v>-0.212487</v>
      </c>
      <c r="Z132">
        <v>0.8984771573604061</v>
      </c>
      <c r="AA132">
        <v>0.5008291873963515</v>
      </c>
      <c r="AB132">
        <v>0.07615894039735099</v>
      </c>
      <c r="AC132">
        <v>0.8211920529801324</v>
      </c>
      <c r="AD132">
        <v>0.8509933774834437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106.9</v>
      </c>
      <c r="D133">
        <v>6659.532903</v>
      </c>
      <c r="E133" t="s">
        <v>641</v>
      </c>
      <c r="F133" t="s">
        <v>613</v>
      </c>
      <c r="G133" t="s">
        <v>653</v>
      </c>
      <c r="H133" t="s">
        <v>682</v>
      </c>
      <c r="I133" t="s">
        <v>817</v>
      </c>
      <c r="J133" t="s">
        <v>1280</v>
      </c>
      <c r="K133">
        <v>43858</v>
      </c>
      <c r="L133">
        <v>0.044805376645197</v>
      </c>
      <c r="M133">
        <v>0.1122918025942283</v>
      </c>
      <c r="N133">
        <v>0.05</v>
      </c>
      <c r="O133">
        <v>0.1939117763451492</v>
      </c>
      <c r="P133" t="s">
        <v>618</v>
      </c>
      <c r="Q133" t="s">
        <v>618</v>
      </c>
      <c r="R133">
        <v>9</v>
      </c>
      <c r="S133">
        <v>0.2909090909090909</v>
      </c>
      <c r="T133">
        <v>182</v>
      </c>
      <c r="U133">
        <v>0.5873626373626374</v>
      </c>
      <c r="V133">
        <v>13.6492</v>
      </c>
      <c r="W133">
        <v>16.5</v>
      </c>
      <c r="X133">
        <v>4.8</v>
      </c>
      <c r="Y133">
        <v>-0.222287</v>
      </c>
      <c r="Z133">
        <v>0.5380710659898478</v>
      </c>
      <c r="AA133">
        <v>0.4859038142620232</v>
      </c>
      <c r="AB133">
        <v>0.5033112582781457</v>
      </c>
      <c r="AC133">
        <v>0.8625827814569537</v>
      </c>
      <c r="AD133">
        <v>0.8476821192052981</v>
      </c>
    </row>
    <row r="134" spans="1:30">
      <c r="A134" s="1" t="s">
        <v>141</v>
      </c>
      <c r="B134">
        <f>HYPERLINK("https://www.suredividend.com/sure-analysis-TD/","The Toronto-Dominion Bank")</f>
        <v>0</v>
      </c>
      <c r="C134">
        <v>40.18</v>
      </c>
      <c r="D134">
        <v>72671.5</v>
      </c>
      <c r="E134" t="s">
        <v>645</v>
      </c>
      <c r="F134" t="s">
        <v>613</v>
      </c>
      <c r="G134" t="s">
        <v>654</v>
      </c>
      <c r="H134" t="s">
        <v>682</v>
      </c>
      <c r="I134" t="s">
        <v>818</v>
      </c>
      <c r="J134" t="s">
        <v>1277</v>
      </c>
      <c r="K134">
        <v>43896</v>
      </c>
      <c r="L134">
        <v>0.055635514277409</v>
      </c>
      <c r="M134">
        <v>0.08708619471068402</v>
      </c>
      <c r="N134">
        <v>0.06</v>
      </c>
      <c r="O134">
        <v>0.1899068095747567</v>
      </c>
      <c r="P134" t="s">
        <v>618</v>
      </c>
      <c r="Q134" t="s">
        <v>617</v>
      </c>
      <c r="R134">
        <v>9</v>
      </c>
      <c r="S134">
        <v>0.4198808079394736</v>
      </c>
      <c r="T134">
        <v>61</v>
      </c>
      <c r="U134">
        <v>0.6586885245901639</v>
      </c>
      <c r="V134">
        <v>4.9804</v>
      </c>
      <c r="W134">
        <v>5.32</v>
      </c>
      <c r="X134">
        <v>2.233765898238</v>
      </c>
      <c r="Y134">
        <v>-0.283803</v>
      </c>
      <c r="Z134">
        <v>0.6362098138747885</v>
      </c>
      <c r="AA134">
        <v>0.4013266998341625</v>
      </c>
      <c r="AB134">
        <v>0.6423841059602649</v>
      </c>
      <c r="AC134">
        <v>0.7963576158940397</v>
      </c>
      <c r="AD134">
        <v>0.8360927152317881</v>
      </c>
    </row>
    <row r="135" spans="1:30">
      <c r="A135" s="1" t="s">
        <v>142</v>
      </c>
      <c r="B135">
        <f>HYPERLINK("https://www.suredividend.com/sure-analysis-LEG/","Leggett &amp; Platt, Inc.")</f>
        <v>0</v>
      </c>
      <c r="C135">
        <v>26.87</v>
      </c>
      <c r="D135">
        <v>3672.648</v>
      </c>
      <c r="E135" t="s">
        <v>646</v>
      </c>
      <c r="F135" t="s">
        <v>613</v>
      </c>
      <c r="G135" t="s">
        <v>653</v>
      </c>
      <c r="H135" t="s">
        <v>682</v>
      </c>
      <c r="I135" t="s">
        <v>819</v>
      </c>
      <c r="J135" t="s">
        <v>1280</v>
      </c>
      <c r="K135">
        <v>43868</v>
      </c>
      <c r="L135">
        <v>0.057636887608069</v>
      </c>
      <c r="M135">
        <v>0.08282547591924372</v>
      </c>
      <c r="N135">
        <v>0.06</v>
      </c>
      <c r="O135">
        <v>0.1850785024185302</v>
      </c>
      <c r="P135" t="s">
        <v>618</v>
      </c>
      <c r="Q135" t="s">
        <v>617</v>
      </c>
      <c r="R135">
        <v>47</v>
      </c>
      <c r="S135">
        <v>0.64</v>
      </c>
      <c r="T135">
        <v>40</v>
      </c>
      <c r="U135">
        <v>0.6717500000000001</v>
      </c>
      <c r="V135">
        <v>2.3578</v>
      </c>
      <c r="W135">
        <v>2.5</v>
      </c>
      <c r="X135">
        <v>1.6</v>
      </c>
      <c r="Y135">
        <v>-0.293099</v>
      </c>
      <c r="Z135">
        <v>0.6531302876480541</v>
      </c>
      <c r="AA135">
        <v>0.384742951907131</v>
      </c>
      <c r="AB135">
        <v>0.6423841059602649</v>
      </c>
      <c r="AC135">
        <v>0.7847682119205298</v>
      </c>
      <c r="AD135">
        <v>0.8278145695364238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34.44</v>
      </c>
      <c r="D136">
        <v>29973.25779</v>
      </c>
      <c r="E136" t="s">
        <v>641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43867</v>
      </c>
      <c r="L136">
        <v>0.052775250227479</v>
      </c>
      <c r="M136">
        <v>0.1021100859360833</v>
      </c>
      <c r="N136">
        <v>0.04</v>
      </c>
      <c r="O136">
        <v>0.1777524462831008</v>
      </c>
      <c r="P136" t="s">
        <v>618</v>
      </c>
      <c r="Q136" t="s">
        <v>617</v>
      </c>
      <c r="R136">
        <v>7</v>
      </c>
      <c r="S136">
        <v>0.2806451612903226</v>
      </c>
      <c r="T136">
        <v>56</v>
      </c>
      <c r="U136">
        <v>0.615</v>
      </c>
      <c r="V136">
        <v>6.0885</v>
      </c>
      <c r="W136">
        <v>6.2</v>
      </c>
      <c r="X136">
        <v>1.74</v>
      </c>
      <c r="Y136">
        <v>-0.302812</v>
      </c>
      <c r="Z136">
        <v>0.6277495769881557</v>
      </c>
      <c r="AA136">
        <v>0.3747927031509121</v>
      </c>
      <c r="AB136">
        <v>0.3501655629139073</v>
      </c>
      <c r="AC136">
        <v>0.837748344370861</v>
      </c>
      <c r="AD136">
        <v>0.8112582781456953</v>
      </c>
    </row>
    <row r="137" spans="1:30">
      <c r="A137" s="1" t="s">
        <v>144</v>
      </c>
      <c r="B137">
        <f>HYPERLINK("https://www.suredividend.com/sure-analysis-OMC/","Omnicom Group, Inc.")</f>
        <v>0</v>
      </c>
      <c r="C137">
        <v>53.63</v>
      </c>
      <c r="D137">
        <v>11644.13822</v>
      </c>
      <c r="E137" t="s">
        <v>646</v>
      </c>
      <c r="F137" t="s">
        <v>613</v>
      </c>
      <c r="G137" t="s">
        <v>653</v>
      </c>
      <c r="H137" t="s">
        <v>682</v>
      </c>
      <c r="I137" t="s">
        <v>821</v>
      </c>
      <c r="J137" t="s">
        <v>1279</v>
      </c>
      <c r="K137">
        <v>43878</v>
      </c>
      <c r="L137">
        <v>0.04784688995215301</v>
      </c>
      <c r="M137">
        <v>0.1066147177291323</v>
      </c>
      <c r="N137">
        <v>0.035</v>
      </c>
      <c r="O137">
        <v>0.1767621240781341</v>
      </c>
      <c r="P137" t="s">
        <v>618</v>
      </c>
      <c r="Q137" t="s">
        <v>618</v>
      </c>
      <c r="R137">
        <v>10</v>
      </c>
      <c r="S137">
        <v>0.4094488188976378</v>
      </c>
      <c r="T137">
        <v>89</v>
      </c>
      <c r="U137">
        <v>0.6025842696629213</v>
      </c>
      <c r="V137">
        <v>6.1116</v>
      </c>
      <c r="W137">
        <v>6.35</v>
      </c>
      <c r="X137">
        <v>2.6</v>
      </c>
      <c r="Y137">
        <v>-0.313108</v>
      </c>
      <c r="Z137">
        <v>0.5685279187817259</v>
      </c>
      <c r="AA137">
        <v>0.3631840796019901</v>
      </c>
      <c r="AB137">
        <v>0.2698675496688742</v>
      </c>
      <c r="AC137">
        <v>0.8493377483443709</v>
      </c>
      <c r="AD137">
        <v>0.8079470198675497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34.15</v>
      </c>
      <c r="D138">
        <v>19765.0158</v>
      </c>
      <c r="E138" t="s">
        <v>646</v>
      </c>
      <c r="F138" t="s">
        <v>613</v>
      </c>
      <c r="G138" t="s">
        <v>654</v>
      </c>
      <c r="H138" t="s">
        <v>682</v>
      </c>
      <c r="I138" t="s">
        <v>822</v>
      </c>
      <c r="J138" t="s">
        <v>1277</v>
      </c>
      <c r="K138">
        <v>43877</v>
      </c>
      <c r="L138">
        <v>0.047824466843236</v>
      </c>
      <c r="M138">
        <v>0.0659612808062644</v>
      </c>
      <c r="N138">
        <v>0.07000000000000001</v>
      </c>
      <c r="O138">
        <v>0.1746206264314751</v>
      </c>
      <c r="P138" t="s">
        <v>618</v>
      </c>
      <c r="Q138" t="s">
        <v>618</v>
      </c>
      <c r="R138">
        <v>4</v>
      </c>
      <c r="S138">
        <v>0.3988914790035852</v>
      </c>
      <c r="T138">
        <v>47</v>
      </c>
      <c r="U138">
        <v>0.7265957446808511</v>
      </c>
      <c r="V138">
        <v>3.0455</v>
      </c>
      <c r="W138">
        <v>4.05</v>
      </c>
      <c r="X138">
        <v>1.61551048996452</v>
      </c>
      <c r="Y138">
        <v>-0.170839</v>
      </c>
      <c r="Z138">
        <v>0.5668358714043993</v>
      </c>
      <c r="AA138">
        <v>0.5655058043117744</v>
      </c>
      <c r="AB138">
        <v>0.7442052980132451</v>
      </c>
      <c r="AC138">
        <v>0.7268211920529801</v>
      </c>
      <c r="AD138">
        <v>0.8013245033112583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28.13</v>
      </c>
      <c r="D139">
        <v>5803.89084</v>
      </c>
      <c r="E139" t="s">
        <v>649</v>
      </c>
      <c r="F139" t="s">
        <v>613</v>
      </c>
      <c r="G139" t="s">
        <v>653</v>
      </c>
      <c r="H139" t="s">
        <v>682</v>
      </c>
      <c r="I139" t="s">
        <v>823</v>
      </c>
      <c r="J139" t="s">
        <v>1287</v>
      </c>
      <c r="K139">
        <v>43920</v>
      </c>
      <c r="L139">
        <v>0.043478260869565</v>
      </c>
      <c r="M139">
        <v>0.04467129719516016</v>
      </c>
      <c r="N139">
        <v>0.09</v>
      </c>
      <c r="O139">
        <v>0.1680831475819353</v>
      </c>
      <c r="P139" t="s">
        <v>618</v>
      </c>
      <c r="Q139" t="s">
        <v>618</v>
      </c>
      <c r="R139">
        <v>32</v>
      </c>
      <c r="S139">
        <v>0.5307017543859649</v>
      </c>
      <c r="T139">
        <v>35</v>
      </c>
      <c r="U139">
        <v>0.8037142857142857</v>
      </c>
      <c r="V139">
        <v>2.1365</v>
      </c>
      <c r="W139">
        <v>2.28</v>
      </c>
      <c r="X139">
        <v>1.21</v>
      </c>
      <c r="Y139">
        <v>-0.483865</v>
      </c>
      <c r="Z139">
        <v>0.5177664974619289</v>
      </c>
      <c r="AA139">
        <v>0.1708126036484245</v>
      </c>
      <c r="AB139">
        <v>0.8766556291390728</v>
      </c>
      <c r="AC139">
        <v>0.6357615894039735</v>
      </c>
      <c r="AD139">
        <v>0.7897350993377483</v>
      </c>
    </row>
    <row r="140" spans="1:30">
      <c r="A140" s="1" t="s">
        <v>147</v>
      </c>
      <c r="B140">
        <f>HYPERLINK("https://www.suredividend.com/sure-analysis-CM/","Canadian Imperial Bank of Commerce")</f>
        <v>0</v>
      </c>
      <c r="C140">
        <v>58.45</v>
      </c>
      <c r="D140">
        <v>25907.75754</v>
      </c>
      <c r="E140" t="s">
        <v>645</v>
      </c>
      <c r="F140" t="s">
        <v>613</v>
      </c>
      <c r="G140" t="s">
        <v>654</v>
      </c>
      <c r="H140" t="s">
        <v>682</v>
      </c>
      <c r="I140" t="s">
        <v>824</v>
      </c>
      <c r="J140" t="s">
        <v>1277</v>
      </c>
      <c r="K140">
        <v>43901</v>
      </c>
      <c r="L140">
        <v>0.07364108336321601</v>
      </c>
      <c r="M140">
        <v>0.08029604754201491</v>
      </c>
      <c r="N140">
        <v>0.035</v>
      </c>
      <c r="O140">
        <v>0.1677167891777696</v>
      </c>
      <c r="P140" t="s">
        <v>618</v>
      </c>
      <c r="Q140" t="s">
        <v>617</v>
      </c>
      <c r="R140">
        <v>9</v>
      </c>
      <c r="S140">
        <v>0.4741866662138076</v>
      </c>
      <c r="T140">
        <v>86</v>
      </c>
      <c r="U140">
        <v>0.6796511627906977</v>
      </c>
      <c r="V140">
        <v>8.486800000000001</v>
      </c>
      <c r="W140">
        <v>9.039999999999999</v>
      </c>
      <c r="X140">
        <v>4.28664746257282</v>
      </c>
      <c r="Y140">
        <v>-0.299603</v>
      </c>
      <c r="Z140">
        <v>0.7428087986463621</v>
      </c>
      <c r="AA140">
        <v>0.3797678275290216</v>
      </c>
      <c r="AB140">
        <v>0.2698675496688742</v>
      </c>
      <c r="AC140">
        <v>0.7781456953642385</v>
      </c>
      <c r="AD140">
        <v>0.7864238410596026</v>
      </c>
    </row>
    <row r="141" spans="1:30">
      <c r="A141" s="1" t="s">
        <v>148</v>
      </c>
      <c r="B141">
        <f>HYPERLINK("https://www.suredividend.com/sure-analysis-RY/","Royal Bank of Canada")</f>
        <v>0</v>
      </c>
      <c r="C141">
        <v>60.17</v>
      </c>
      <c r="D141">
        <v>85063.8309</v>
      </c>
      <c r="E141" t="s">
        <v>645</v>
      </c>
      <c r="F141" t="s">
        <v>613</v>
      </c>
      <c r="G141" t="s">
        <v>654</v>
      </c>
      <c r="H141" t="s">
        <v>682</v>
      </c>
      <c r="I141" t="s">
        <v>825</v>
      </c>
      <c r="J141" t="s">
        <v>1277</v>
      </c>
      <c r="K141">
        <v>43896</v>
      </c>
      <c r="L141">
        <v>0.052256690416023</v>
      </c>
      <c r="M141">
        <v>0.07153850774473725</v>
      </c>
      <c r="N141">
        <v>0.055</v>
      </c>
      <c r="O141">
        <v>0.1674051060393125</v>
      </c>
      <c r="P141" t="s">
        <v>618</v>
      </c>
      <c r="Q141" t="s">
        <v>618</v>
      </c>
      <c r="R141">
        <v>9</v>
      </c>
      <c r="S141">
        <v>0.4425534730841402</v>
      </c>
      <c r="T141">
        <v>85</v>
      </c>
      <c r="U141">
        <v>0.7078823529411765</v>
      </c>
      <c r="V141">
        <v>6.8156</v>
      </c>
      <c r="W141">
        <v>7.06</v>
      </c>
      <c r="X141">
        <v>3.12442751997403</v>
      </c>
      <c r="Y141">
        <v>-0.242205</v>
      </c>
      <c r="Z141">
        <v>0.6192893401015228</v>
      </c>
      <c r="AA141">
        <v>0.4560530679933665</v>
      </c>
      <c r="AB141">
        <v>0.5786423841059603</v>
      </c>
      <c r="AC141">
        <v>0.7549668874172185</v>
      </c>
      <c r="AD141">
        <v>0.783112582781457</v>
      </c>
    </row>
    <row r="142" spans="1:30">
      <c r="A142" s="1" t="s">
        <v>149</v>
      </c>
      <c r="B142">
        <f>HYPERLINK("https://www.suredividend.com/sure-analysis-MDU/","MDU Resources Group, Inc.")</f>
        <v>0</v>
      </c>
      <c r="C142">
        <v>20.95</v>
      </c>
      <c r="D142">
        <v>4138.77408</v>
      </c>
      <c r="E142" t="s">
        <v>644</v>
      </c>
      <c r="F142" t="s">
        <v>613</v>
      </c>
      <c r="G142" t="s">
        <v>653</v>
      </c>
      <c r="H142" t="s">
        <v>682</v>
      </c>
      <c r="I142" t="s">
        <v>826</v>
      </c>
      <c r="J142" t="s">
        <v>1281</v>
      </c>
      <c r="K142">
        <v>43878</v>
      </c>
      <c r="L142">
        <v>0.039486434108527</v>
      </c>
      <c r="M142">
        <v>0.08841167136690742</v>
      </c>
      <c r="N142">
        <v>0.05</v>
      </c>
      <c r="O142">
        <v>0.1662414321039203</v>
      </c>
      <c r="P142" t="s">
        <v>618</v>
      </c>
      <c r="Q142" t="s">
        <v>618</v>
      </c>
      <c r="R142">
        <v>28</v>
      </c>
      <c r="S142">
        <v>0.4657142857142857</v>
      </c>
      <c r="T142">
        <v>32</v>
      </c>
      <c r="U142">
        <v>0.6546875</v>
      </c>
      <c r="V142">
        <v>1.6852</v>
      </c>
      <c r="W142">
        <v>1.75</v>
      </c>
      <c r="X142">
        <v>0.8150000000000001</v>
      </c>
      <c r="Y142">
        <v>-0.204624</v>
      </c>
      <c r="Z142">
        <v>0.4703891708967851</v>
      </c>
      <c r="AA142">
        <v>0.5074626865671642</v>
      </c>
      <c r="AB142">
        <v>0.5033112582781457</v>
      </c>
      <c r="AC142">
        <v>0.8029801324503312</v>
      </c>
      <c r="AD142">
        <v>0.7798013245033113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35.1</v>
      </c>
      <c r="D143">
        <v>66399.5601</v>
      </c>
      <c r="E143" t="s">
        <v>649</v>
      </c>
      <c r="F143" t="s">
        <v>613</v>
      </c>
      <c r="G143" t="s">
        <v>653</v>
      </c>
      <c r="H143" t="s">
        <v>682</v>
      </c>
      <c r="I143" t="s">
        <v>827</v>
      </c>
      <c r="J143" t="s">
        <v>1284</v>
      </c>
      <c r="K143">
        <v>43921</v>
      </c>
      <c r="L143">
        <v>0.09291911558914001</v>
      </c>
      <c r="M143">
        <v>0.06012761697259439</v>
      </c>
      <c r="N143">
        <v>0.033</v>
      </c>
      <c r="O143">
        <v>0.1610147597775438</v>
      </c>
      <c r="P143" t="s">
        <v>618</v>
      </c>
      <c r="Q143" t="s">
        <v>617</v>
      </c>
      <c r="R143">
        <v>50</v>
      </c>
      <c r="S143">
        <v>0.7811764705882352</v>
      </c>
      <c r="T143">
        <v>47</v>
      </c>
      <c r="U143">
        <v>0.7468085106382979</v>
      </c>
      <c r="V143">
        <v>-0.4683</v>
      </c>
      <c r="W143">
        <v>4.25</v>
      </c>
      <c r="X143">
        <v>3.32</v>
      </c>
      <c r="Y143">
        <v>-0.325085</v>
      </c>
      <c r="Z143">
        <v>0.8274111675126903</v>
      </c>
      <c r="AA143">
        <v>0.3482587064676617</v>
      </c>
      <c r="AB143">
        <v>0.2582781456953642</v>
      </c>
      <c r="AC143">
        <v>0.7086092715231789</v>
      </c>
      <c r="AD143">
        <v>0.7599337748344371</v>
      </c>
    </row>
    <row r="144" spans="1:30">
      <c r="A144" s="1" t="s">
        <v>151</v>
      </c>
      <c r="B144">
        <f>HYPERLINK("https://www.suredividend.com/sure-analysis-HAS/","Hasbro, Inc.")</f>
        <v>0</v>
      </c>
      <c r="C144">
        <v>68.33</v>
      </c>
      <c r="D144">
        <v>9027.391229999999</v>
      </c>
      <c r="E144" t="s">
        <v>644</v>
      </c>
      <c r="F144" t="s">
        <v>613</v>
      </c>
      <c r="G144" t="s">
        <v>653</v>
      </c>
      <c r="H144" t="s">
        <v>683</v>
      </c>
      <c r="I144" t="s">
        <v>828</v>
      </c>
      <c r="J144" t="s">
        <v>1280</v>
      </c>
      <c r="K144">
        <v>43882</v>
      </c>
      <c r="L144">
        <v>0.041280922750037</v>
      </c>
      <c r="M144">
        <v>0.04949788178981085</v>
      </c>
      <c r="N144">
        <v>0.08</v>
      </c>
      <c r="O144">
        <v>0.1593694829396195</v>
      </c>
      <c r="P144" t="s">
        <v>618</v>
      </c>
      <c r="Q144" t="s">
        <v>618</v>
      </c>
      <c r="R144">
        <v>16</v>
      </c>
      <c r="S144">
        <v>0.5333333333333333</v>
      </c>
      <c r="T144">
        <v>87</v>
      </c>
      <c r="U144">
        <v>0.7854022988505747</v>
      </c>
      <c r="V144">
        <v>3.3</v>
      </c>
      <c r="W144">
        <v>5.1</v>
      </c>
      <c r="X144">
        <v>2.72</v>
      </c>
      <c r="Y144">
        <v>-0.348849</v>
      </c>
      <c r="Z144">
        <v>0.494077834179357</v>
      </c>
      <c r="AA144">
        <v>0.3233830845771144</v>
      </c>
      <c r="AB144">
        <v>0.8228476821192053</v>
      </c>
      <c r="AC144">
        <v>0.6572847682119205</v>
      </c>
      <c r="AD144">
        <v>0.7582781456953643</v>
      </c>
    </row>
    <row r="145" spans="1:30">
      <c r="A145" s="1" t="s">
        <v>152</v>
      </c>
      <c r="B145">
        <f>HYPERLINK("https://www.suredividend.com/sure-analysis-AXP/","American Express Co.")</f>
        <v>0</v>
      </c>
      <c r="C145">
        <v>86.73</v>
      </c>
      <c r="D145">
        <v>67617.648</v>
      </c>
      <c r="E145" t="s">
        <v>646</v>
      </c>
      <c r="F145" t="s">
        <v>613</v>
      </c>
      <c r="G145" t="s">
        <v>653</v>
      </c>
      <c r="H145" t="s">
        <v>682</v>
      </c>
      <c r="I145" t="s">
        <v>829</v>
      </c>
      <c r="J145" t="s">
        <v>1277</v>
      </c>
      <c r="K145">
        <v>43946</v>
      </c>
      <c r="L145">
        <v>0.02</v>
      </c>
      <c r="M145">
        <v>0.06530882077167188</v>
      </c>
      <c r="N145">
        <v>0.07000000000000001</v>
      </c>
      <c r="O145">
        <v>0.1544014218594809</v>
      </c>
      <c r="P145" t="s">
        <v>618</v>
      </c>
      <c r="Q145" t="s">
        <v>371</v>
      </c>
      <c r="R145">
        <v>8</v>
      </c>
      <c r="S145">
        <v>0.28</v>
      </c>
      <c r="T145">
        <v>119</v>
      </c>
      <c r="U145">
        <v>0.7288235294117648</v>
      </c>
      <c r="V145">
        <v>6.6148</v>
      </c>
      <c r="W145">
        <v>6</v>
      </c>
      <c r="X145">
        <v>1.68</v>
      </c>
      <c r="Y145">
        <v>-0.2894600000000001</v>
      </c>
      <c r="Z145">
        <v>0.1912013536379019</v>
      </c>
      <c r="AA145">
        <v>0.3913764510779436</v>
      </c>
      <c r="AB145">
        <v>0.7442052980132451</v>
      </c>
      <c r="AC145">
        <v>0.7251655629139073</v>
      </c>
      <c r="AD145">
        <v>0.7301324503311258</v>
      </c>
    </row>
    <row r="146" spans="1:30">
      <c r="A146" s="1" t="s">
        <v>153</v>
      </c>
      <c r="B146">
        <f>HYPERLINK("https://www.suredividend.com/sure-analysis-AMX/","America Movil SAB de CV")</f>
        <v>0</v>
      </c>
      <c r="C146">
        <v>12.11</v>
      </c>
      <c r="D146">
        <v>27318.6438</v>
      </c>
      <c r="E146" t="s">
        <v>648</v>
      </c>
      <c r="F146" t="s">
        <v>613</v>
      </c>
      <c r="G146" t="s">
        <v>660</v>
      </c>
      <c r="H146" t="s">
        <v>682</v>
      </c>
      <c r="I146" t="s">
        <v>830</v>
      </c>
      <c r="J146" t="s">
        <v>1279</v>
      </c>
      <c r="K146">
        <v>43878</v>
      </c>
      <c r="L146">
        <v>0.030172413793103</v>
      </c>
      <c r="M146">
        <v>0.05729253990636529</v>
      </c>
      <c r="N146">
        <v>0.07000000000000001</v>
      </c>
      <c r="O146">
        <v>0.1543875303811113</v>
      </c>
      <c r="P146" t="s">
        <v>618</v>
      </c>
      <c r="Q146" t="s">
        <v>371</v>
      </c>
      <c r="R146">
        <v>3</v>
      </c>
      <c r="S146">
        <v>0.3141025641025641</v>
      </c>
      <c r="T146">
        <v>16</v>
      </c>
      <c r="U146">
        <v>0.756875</v>
      </c>
      <c r="V146">
        <v>1.0663</v>
      </c>
      <c r="W146">
        <v>1.17</v>
      </c>
      <c r="X146">
        <v>0.3675</v>
      </c>
      <c r="Y146">
        <v>-0.13617</v>
      </c>
      <c r="Z146">
        <v>0.3570219966159053</v>
      </c>
      <c r="AA146">
        <v>0.6119402985074627</v>
      </c>
      <c r="AB146">
        <v>0.7442052980132451</v>
      </c>
      <c r="AC146">
        <v>0.6937086092715232</v>
      </c>
      <c r="AD146">
        <v>0.728476821192053</v>
      </c>
    </row>
    <row r="147" spans="1:30">
      <c r="A147" s="1" t="s">
        <v>154</v>
      </c>
      <c r="B147">
        <f>HYPERLINK("https://www.suredividend.com/sure-analysis-TTC/","The Toro Co.")</f>
        <v>0</v>
      </c>
      <c r="C147">
        <v>62.96</v>
      </c>
      <c r="D147">
        <v>6653.02401</v>
      </c>
      <c r="E147" t="s">
        <v>650</v>
      </c>
      <c r="F147" t="s">
        <v>613</v>
      </c>
      <c r="G147" t="s">
        <v>653</v>
      </c>
      <c r="H147" t="s">
        <v>682</v>
      </c>
      <c r="I147" t="s">
        <v>831</v>
      </c>
      <c r="J147" t="s">
        <v>1278</v>
      </c>
      <c r="K147">
        <v>43951</v>
      </c>
      <c r="L147">
        <v>0.014873773918636</v>
      </c>
      <c r="M147">
        <v>0.01937435374112439</v>
      </c>
      <c r="N147">
        <v>0.12</v>
      </c>
      <c r="O147">
        <v>0.1539852412675562</v>
      </c>
      <c r="P147" t="s">
        <v>618</v>
      </c>
      <c r="Q147" t="s">
        <v>317</v>
      </c>
      <c r="R147">
        <v>10</v>
      </c>
      <c r="S147">
        <v>0.2803030303030303</v>
      </c>
      <c r="T147">
        <v>69.3</v>
      </c>
      <c r="U147">
        <v>0.9085137085137086</v>
      </c>
      <c r="V147">
        <v>2.6593</v>
      </c>
      <c r="W147">
        <v>3.3</v>
      </c>
      <c r="X147">
        <v>0.925</v>
      </c>
      <c r="Y147">
        <v>-0.153302</v>
      </c>
      <c r="Z147">
        <v>0.1082910321489002</v>
      </c>
      <c r="AA147">
        <v>0.5887230514096186</v>
      </c>
      <c r="AB147">
        <v>0.9354304635761589</v>
      </c>
      <c r="AC147">
        <v>0.5248344370860927</v>
      </c>
      <c r="AD147">
        <v>0.7251655629139073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28.89</v>
      </c>
      <c r="D148">
        <v>206507.2152</v>
      </c>
      <c r="E148" t="s">
        <v>641</v>
      </c>
      <c r="F148" t="s">
        <v>613</v>
      </c>
      <c r="G148" t="s">
        <v>653</v>
      </c>
      <c r="H148" t="s">
        <v>682</v>
      </c>
      <c r="I148" t="s">
        <v>832</v>
      </c>
      <c r="J148" t="s">
        <v>1279</v>
      </c>
      <c r="K148">
        <v>43944</v>
      </c>
      <c r="L148">
        <v>0.07155262243834601</v>
      </c>
      <c r="M148">
        <v>0.06185059083912647</v>
      </c>
      <c r="N148">
        <v>0.04</v>
      </c>
      <c r="O148">
        <v>0.1513190309174828</v>
      </c>
      <c r="P148" t="s">
        <v>618</v>
      </c>
      <c r="Q148" t="s">
        <v>617</v>
      </c>
      <c r="R148">
        <v>36</v>
      </c>
      <c r="S148">
        <v>0.6338461538461538</v>
      </c>
      <c r="T148">
        <v>39</v>
      </c>
      <c r="U148">
        <v>0.7407692307692307</v>
      </c>
      <c r="V148">
        <v>1.979</v>
      </c>
      <c r="W148">
        <v>3.25</v>
      </c>
      <c r="X148">
        <v>2.06</v>
      </c>
      <c r="Y148">
        <v>-0.056993</v>
      </c>
      <c r="Z148">
        <v>0.7241962774957699</v>
      </c>
      <c r="AA148">
        <v>0.7014925373134328</v>
      </c>
      <c r="AB148">
        <v>0.3501655629139073</v>
      </c>
      <c r="AC148">
        <v>0.7135761589403974</v>
      </c>
      <c r="AD148">
        <v>0.7135761589403974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51.27</v>
      </c>
      <c r="D149">
        <v>46374.4025</v>
      </c>
      <c r="E149" t="s">
        <v>644</v>
      </c>
      <c r="F149" t="s">
        <v>613</v>
      </c>
      <c r="G149" t="s">
        <v>653</v>
      </c>
      <c r="H149" t="s">
        <v>683</v>
      </c>
      <c r="I149" t="s">
        <v>833</v>
      </c>
      <c r="J149" t="s">
        <v>1286</v>
      </c>
      <c r="K149">
        <v>43897</v>
      </c>
      <c r="L149">
        <v>0.016633663366336</v>
      </c>
      <c r="M149">
        <v>0.04206652839282898</v>
      </c>
      <c r="N149">
        <v>0.09</v>
      </c>
      <c r="O149">
        <v>0.1480343254062482</v>
      </c>
      <c r="P149" t="s">
        <v>618</v>
      </c>
      <c r="Q149" t="s">
        <v>317</v>
      </c>
      <c r="R149">
        <v>2</v>
      </c>
      <c r="S149">
        <v>0.2</v>
      </c>
      <c r="T149">
        <v>63</v>
      </c>
      <c r="U149">
        <v>0.8138095238095239</v>
      </c>
      <c r="V149">
        <v>3.0571</v>
      </c>
      <c r="W149">
        <v>4.2</v>
      </c>
      <c r="X149">
        <v>0.84</v>
      </c>
      <c r="Y149">
        <v>0.200951</v>
      </c>
      <c r="Z149">
        <v>0.1319796954314721</v>
      </c>
      <c r="AA149">
        <v>0.9187396351575455</v>
      </c>
      <c r="AB149">
        <v>0.8766556291390728</v>
      </c>
      <c r="AC149">
        <v>0.6225165562913907</v>
      </c>
      <c r="AD149">
        <v>0.6986754966887417</v>
      </c>
    </row>
    <row r="150" spans="1:30">
      <c r="A150" s="1" t="s">
        <v>157</v>
      </c>
      <c r="B150">
        <f>HYPERLINK("https://www.suredividend.com/sure-analysis-CAE/","CAE, Inc.")</f>
        <v>0</v>
      </c>
      <c r="C150">
        <v>15.37</v>
      </c>
      <c r="D150">
        <v>4089.55738</v>
      </c>
      <c r="E150" t="s">
        <v>648</v>
      </c>
      <c r="F150" t="s">
        <v>613</v>
      </c>
      <c r="G150" t="s">
        <v>654</v>
      </c>
      <c r="H150" t="s">
        <v>682</v>
      </c>
      <c r="I150" t="s">
        <v>834</v>
      </c>
      <c r="J150" t="s">
        <v>1278</v>
      </c>
      <c r="K150">
        <v>43871</v>
      </c>
      <c r="L150">
        <v>0.020598092770188</v>
      </c>
      <c r="M150">
        <v>0.0433161898791159</v>
      </c>
      <c r="N150">
        <v>0.08</v>
      </c>
      <c r="O150">
        <v>0.1434874756627575</v>
      </c>
      <c r="P150" t="s">
        <v>618</v>
      </c>
      <c r="Q150" t="s">
        <v>371</v>
      </c>
      <c r="R150">
        <v>12</v>
      </c>
      <c r="S150">
        <v>0.3015168436931457</v>
      </c>
      <c r="T150">
        <v>19</v>
      </c>
      <c r="U150">
        <v>0.8089473684210526</v>
      </c>
      <c r="V150">
        <v>1.0084</v>
      </c>
      <c r="W150">
        <v>1.05</v>
      </c>
      <c r="X150">
        <v>0.316592685877803</v>
      </c>
      <c r="Y150">
        <v>-0.340626</v>
      </c>
      <c r="Z150">
        <v>0.2030456852791878</v>
      </c>
      <c r="AA150">
        <v>0.3316749585406302</v>
      </c>
      <c r="AB150">
        <v>0.8228476821192053</v>
      </c>
      <c r="AC150">
        <v>0.6241721854304636</v>
      </c>
      <c r="AD150">
        <v>0.6771523178807947</v>
      </c>
    </row>
    <row r="151" spans="1:30">
      <c r="A151" s="1" t="s">
        <v>158</v>
      </c>
      <c r="B151">
        <f>HYPERLINK("https://www.suredividend.com/sure-analysis-JACK/","Jack in the Box, Inc.")</f>
        <v>0</v>
      </c>
      <c r="C151">
        <v>64.98999999999999</v>
      </c>
      <c r="D151">
        <v>1448.61031</v>
      </c>
      <c r="E151" t="s">
        <v>648</v>
      </c>
      <c r="F151" t="s">
        <v>613</v>
      </c>
      <c r="G151" t="s">
        <v>653</v>
      </c>
      <c r="H151" t="s">
        <v>683</v>
      </c>
      <c r="I151" t="s">
        <v>835</v>
      </c>
      <c r="J151" t="s">
        <v>1280</v>
      </c>
      <c r="K151">
        <v>43882</v>
      </c>
      <c r="L151">
        <v>0.024996094360256</v>
      </c>
      <c r="M151">
        <v>0.05265619291920554</v>
      </c>
      <c r="N151">
        <v>0.07000000000000001</v>
      </c>
      <c r="O151">
        <v>0.14334382237929</v>
      </c>
      <c r="P151" t="s">
        <v>618</v>
      </c>
      <c r="Q151" t="s">
        <v>371</v>
      </c>
      <c r="R151">
        <v>0</v>
      </c>
      <c r="S151">
        <v>0.3440860215053763</v>
      </c>
      <c r="T151">
        <v>84</v>
      </c>
      <c r="U151">
        <v>0.7736904761904762</v>
      </c>
      <c r="V151">
        <v>2.6744</v>
      </c>
      <c r="W151">
        <v>4.65</v>
      </c>
      <c r="X151">
        <v>1.6</v>
      </c>
      <c r="Y151">
        <v>-0.167295</v>
      </c>
      <c r="Z151">
        <v>0.2859560067681895</v>
      </c>
      <c r="AA151">
        <v>0.5704809286898839</v>
      </c>
      <c r="AB151">
        <v>0.7442052980132451</v>
      </c>
      <c r="AC151">
        <v>0.662251655629139</v>
      </c>
      <c r="AD151">
        <v>0.6754966887417219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39.55</v>
      </c>
      <c r="D152">
        <v>13283.3421</v>
      </c>
      <c r="E152" t="s">
        <v>645</v>
      </c>
      <c r="F152" t="s">
        <v>613</v>
      </c>
      <c r="G152" t="s">
        <v>654</v>
      </c>
      <c r="H152" t="s">
        <v>684</v>
      </c>
      <c r="I152" t="s">
        <v>836</v>
      </c>
      <c r="J152" t="s">
        <v>1277</v>
      </c>
      <c r="K152">
        <v>43901</v>
      </c>
      <c r="L152">
        <v>0.051906879664177</v>
      </c>
      <c r="M152">
        <v>0.04800825444106782</v>
      </c>
      <c r="N152">
        <v>0.05</v>
      </c>
      <c r="O152">
        <v>0.141315937743322</v>
      </c>
      <c r="P152" t="s">
        <v>618</v>
      </c>
      <c r="Q152" t="s">
        <v>618</v>
      </c>
      <c r="R152">
        <v>9</v>
      </c>
      <c r="S152">
        <v>0.4276910605662938</v>
      </c>
      <c r="T152">
        <v>50</v>
      </c>
      <c r="U152">
        <v>0.7909999999999999</v>
      </c>
      <c r="V152">
        <v>4.9541</v>
      </c>
      <c r="W152">
        <v>4.8</v>
      </c>
      <c r="X152">
        <v>2.05291709071821</v>
      </c>
      <c r="Y152">
        <v>-0.159113</v>
      </c>
      <c r="Z152">
        <v>0.61082910321489</v>
      </c>
      <c r="AA152">
        <v>0.5837479270315091</v>
      </c>
      <c r="AB152">
        <v>0.5033112582781457</v>
      </c>
      <c r="AC152">
        <v>0.6490066225165563</v>
      </c>
      <c r="AD152">
        <v>0.6688741721854305</v>
      </c>
    </row>
    <row r="153" spans="1:30">
      <c r="A153" s="1" t="s">
        <v>160</v>
      </c>
      <c r="B153">
        <f>HYPERLINK("https://www.suredividend.com/sure-analysis-PB/","Prosperity Bancshares, Inc.")</f>
        <v>0</v>
      </c>
      <c r="C153">
        <v>57.01</v>
      </c>
      <c r="D153">
        <v>5318.2248</v>
      </c>
      <c r="E153" t="s">
        <v>648</v>
      </c>
      <c r="F153" t="s">
        <v>613</v>
      </c>
      <c r="G153" t="s">
        <v>653</v>
      </c>
      <c r="H153" t="s">
        <v>682</v>
      </c>
      <c r="I153" t="s">
        <v>837</v>
      </c>
      <c r="J153" t="s">
        <v>1277</v>
      </c>
      <c r="K153">
        <v>43951</v>
      </c>
      <c r="L153">
        <v>0.030313588850174</v>
      </c>
      <c r="M153">
        <v>0.05355238782263783</v>
      </c>
      <c r="N153">
        <v>0.06</v>
      </c>
      <c r="O153">
        <v>0.1407468143332302</v>
      </c>
      <c r="P153" t="s">
        <v>618</v>
      </c>
      <c r="Q153" t="s">
        <v>618</v>
      </c>
      <c r="R153">
        <v>16</v>
      </c>
      <c r="S153">
        <v>0.348</v>
      </c>
      <c r="T153">
        <v>74</v>
      </c>
      <c r="U153">
        <v>0.7704054054054054</v>
      </c>
      <c r="V153">
        <v>4.7609</v>
      </c>
      <c r="W153">
        <v>5</v>
      </c>
      <c r="X153">
        <v>1.74</v>
      </c>
      <c r="Y153">
        <v>-0.208931</v>
      </c>
      <c r="Z153">
        <v>0.3604060913705584</v>
      </c>
      <c r="AA153">
        <v>0.5058043117744611</v>
      </c>
      <c r="AB153">
        <v>0.6423841059602649</v>
      </c>
      <c r="AC153">
        <v>0.6721854304635762</v>
      </c>
      <c r="AD153">
        <v>0.6672185430463575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25.245</v>
      </c>
      <c r="D154">
        <v>15055.52673</v>
      </c>
      <c r="E154" t="s">
        <v>651</v>
      </c>
      <c r="F154" t="s">
        <v>613</v>
      </c>
      <c r="G154" t="s">
        <v>653</v>
      </c>
      <c r="H154" t="s">
        <v>683</v>
      </c>
      <c r="I154" t="s">
        <v>838</v>
      </c>
      <c r="J154" t="s">
        <v>1279</v>
      </c>
      <c r="K154">
        <v>43875</v>
      </c>
      <c r="L154">
        <v>0.018540910923014</v>
      </c>
      <c r="M154">
        <v>0.09088217739467375</v>
      </c>
      <c r="N154">
        <v>0.031</v>
      </c>
      <c r="O154">
        <v>0.1377850923876074</v>
      </c>
      <c r="P154" t="s">
        <v>618</v>
      </c>
      <c r="Q154" t="s">
        <v>371</v>
      </c>
      <c r="R154">
        <v>0</v>
      </c>
      <c r="S154">
        <v>0.1769230769230769</v>
      </c>
      <c r="T154">
        <v>39</v>
      </c>
      <c r="U154">
        <v>0.6473076923076924</v>
      </c>
      <c r="V154">
        <v>2.8679</v>
      </c>
      <c r="W154">
        <v>2.6</v>
      </c>
      <c r="X154">
        <v>0.46</v>
      </c>
      <c r="Y154">
        <v>-0.334138</v>
      </c>
      <c r="Z154">
        <v>0.1624365482233502</v>
      </c>
      <c r="AA154">
        <v>0.3416252072968491</v>
      </c>
      <c r="AB154">
        <v>0.2541390728476821</v>
      </c>
      <c r="AC154">
        <v>0.8062913907284768</v>
      </c>
      <c r="AD154">
        <v>0.6572847682119205</v>
      </c>
    </row>
    <row r="155" spans="1:30">
      <c r="A155" s="1" t="s">
        <v>162</v>
      </c>
      <c r="B155">
        <f>HYPERLINK("https://www.suredividend.com/sure-analysis-CFR/","Cullen/Frost Bankers, Inc.")</f>
        <v>0</v>
      </c>
      <c r="C155">
        <v>65.63</v>
      </c>
      <c r="D155">
        <v>4064.719932</v>
      </c>
      <c r="E155" t="s">
        <v>641</v>
      </c>
      <c r="F155" t="s">
        <v>613</v>
      </c>
      <c r="G155" t="s">
        <v>653</v>
      </c>
      <c r="H155" t="s">
        <v>682</v>
      </c>
      <c r="I155" t="s">
        <v>839</v>
      </c>
      <c r="J155" t="s">
        <v>1277</v>
      </c>
      <c r="K155">
        <v>43861</v>
      </c>
      <c r="L155">
        <v>0.04370575561711201</v>
      </c>
      <c r="M155">
        <v>0.05308470298745882</v>
      </c>
      <c r="N155">
        <v>0.05</v>
      </c>
      <c r="O155">
        <v>0.1374323798370893</v>
      </c>
      <c r="P155" t="s">
        <v>618</v>
      </c>
      <c r="Q155" t="s">
        <v>617</v>
      </c>
      <c r="R155">
        <v>26</v>
      </c>
      <c r="S155">
        <v>0.4369230769230769</v>
      </c>
      <c r="T155">
        <v>85</v>
      </c>
      <c r="U155">
        <v>0.7721176470588235</v>
      </c>
      <c r="V155">
        <v>5.8276</v>
      </c>
      <c r="W155">
        <v>6.5</v>
      </c>
      <c r="X155">
        <v>2.84</v>
      </c>
      <c r="Y155">
        <v>-0.358729</v>
      </c>
      <c r="Z155">
        <v>0.5194585448392555</v>
      </c>
      <c r="AA155">
        <v>0.3051409618573798</v>
      </c>
      <c r="AB155">
        <v>0.5033112582781457</v>
      </c>
      <c r="AC155">
        <v>0.6688741721854305</v>
      </c>
      <c r="AD155">
        <v>0.6556291390728477</v>
      </c>
    </row>
    <row r="156" spans="1:30">
      <c r="A156" s="1" t="s">
        <v>163</v>
      </c>
      <c r="B156">
        <f>HYPERLINK("https://www.suredividend.com/sure-analysis-RE/","Everest Re Group Ltd.")</f>
        <v>0</v>
      </c>
      <c r="C156">
        <v>173.83</v>
      </c>
      <c r="D156">
        <v>7490.111823</v>
      </c>
      <c r="E156" t="s">
        <v>646</v>
      </c>
      <c r="F156" t="s">
        <v>613</v>
      </c>
      <c r="G156" t="s">
        <v>661</v>
      </c>
      <c r="H156" t="s">
        <v>682</v>
      </c>
      <c r="I156" t="s">
        <v>840</v>
      </c>
      <c r="J156" t="s">
        <v>1277</v>
      </c>
      <c r="K156">
        <v>43874</v>
      </c>
      <c r="L156">
        <v>0.034960783121541</v>
      </c>
      <c r="M156">
        <v>0.04632439908629093</v>
      </c>
      <c r="N156">
        <v>0.058</v>
      </c>
      <c r="O156">
        <v>0.1348156051624065</v>
      </c>
      <c r="P156" t="s">
        <v>618</v>
      </c>
      <c r="Q156" t="s">
        <v>618</v>
      </c>
      <c r="R156">
        <v>6</v>
      </c>
      <c r="S156">
        <v>0.237603305785124</v>
      </c>
      <c r="T156">
        <v>218</v>
      </c>
      <c r="U156">
        <v>0.7973853211009175</v>
      </c>
      <c r="V156">
        <v>24.8233</v>
      </c>
      <c r="W156">
        <v>24.2</v>
      </c>
      <c r="X156">
        <v>5.75</v>
      </c>
      <c r="Y156">
        <v>-0.333833</v>
      </c>
      <c r="Z156">
        <v>0.4111675126903553</v>
      </c>
      <c r="AA156">
        <v>0.3432835820895522</v>
      </c>
      <c r="AB156">
        <v>0.5894039735099338</v>
      </c>
      <c r="AC156">
        <v>0.6407284768211921</v>
      </c>
      <c r="AD156">
        <v>0.6423841059602649</v>
      </c>
    </row>
    <row r="157" spans="1:30">
      <c r="A157" s="1" t="s">
        <v>164</v>
      </c>
      <c r="B157">
        <f>HYPERLINK("https://www.suredividend.com/sure-analysis-BAYRY/","Bayer AG")</f>
        <v>0</v>
      </c>
      <c r="C157">
        <v>15.71</v>
      </c>
      <c r="D157">
        <v>58604.08128</v>
      </c>
      <c r="E157" t="s">
        <v>646</v>
      </c>
      <c r="F157" t="s">
        <v>613</v>
      </c>
      <c r="G157" t="s">
        <v>659</v>
      </c>
      <c r="H157" t="s">
        <v>684</v>
      </c>
      <c r="I157" t="s">
        <v>841</v>
      </c>
      <c r="J157" t="s">
        <v>1283</v>
      </c>
      <c r="K157">
        <v>43950</v>
      </c>
      <c r="L157">
        <v>0.048542329726288</v>
      </c>
      <c r="M157">
        <v>0.0597626808754117</v>
      </c>
      <c r="N157">
        <v>0.035</v>
      </c>
      <c r="O157">
        <v>0.1341460782028829</v>
      </c>
      <c r="P157" t="s">
        <v>618</v>
      </c>
      <c r="Q157" t="s">
        <v>618</v>
      </c>
      <c r="R157">
        <v>0</v>
      </c>
      <c r="S157">
        <v>0.4013684210526317</v>
      </c>
      <c r="T157">
        <v>21</v>
      </c>
      <c r="U157">
        <v>0.7480952380952381</v>
      </c>
      <c r="V157">
        <v>0.7053</v>
      </c>
      <c r="W157">
        <v>1.9</v>
      </c>
      <c r="X157">
        <v>0.7626000000000001</v>
      </c>
      <c r="Y157">
        <v>-0.054753</v>
      </c>
      <c r="Z157">
        <v>0.5752961082910322</v>
      </c>
      <c r="AA157">
        <v>0.7064676616915423</v>
      </c>
      <c r="AB157">
        <v>0.2698675496688742</v>
      </c>
      <c r="AC157">
        <v>0.7052980132450331</v>
      </c>
      <c r="AD157">
        <v>0.6341059602649007</v>
      </c>
    </row>
    <row r="158" spans="1:30">
      <c r="A158" s="1" t="s">
        <v>165</v>
      </c>
      <c r="B158">
        <f>HYPERLINK("https://www.suredividend.com/sure-analysis-PBCT/","People's United Financial, Inc.")</f>
        <v>0</v>
      </c>
      <c r="C158">
        <v>11.535</v>
      </c>
      <c r="D158">
        <v>4824.16032</v>
      </c>
      <c r="E158" t="s">
        <v>648</v>
      </c>
      <c r="F158" t="s">
        <v>613</v>
      </c>
      <c r="G158" t="s">
        <v>653</v>
      </c>
      <c r="H158" t="s">
        <v>683</v>
      </c>
      <c r="I158" t="s">
        <v>842</v>
      </c>
      <c r="J158" t="s">
        <v>1277</v>
      </c>
      <c r="K158">
        <v>43949</v>
      </c>
      <c r="L158">
        <v>0.0625</v>
      </c>
      <c r="M158">
        <v>0.03949424043957195</v>
      </c>
      <c r="N158">
        <v>0.05</v>
      </c>
      <c r="O158">
        <v>0.1338456918339477</v>
      </c>
      <c r="P158" t="s">
        <v>618</v>
      </c>
      <c r="Q158" t="s">
        <v>618</v>
      </c>
      <c r="R158">
        <v>27</v>
      </c>
      <c r="S158">
        <v>0.6454545454545454</v>
      </c>
      <c r="T158">
        <v>14</v>
      </c>
      <c r="U158">
        <v>0.8239285714285715</v>
      </c>
      <c r="V158">
        <v>1.2772</v>
      </c>
      <c r="W158">
        <v>1.1</v>
      </c>
      <c r="X158">
        <v>0.71</v>
      </c>
      <c r="Y158">
        <v>-0.339535</v>
      </c>
      <c r="Z158">
        <v>0.6742808798646363</v>
      </c>
      <c r="AA158">
        <v>0.3349917081260365</v>
      </c>
      <c r="AB158">
        <v>0.5033112582781457</v>
      </c>
      <c r="AC158">
        <v>0.6125827814569537</v>
      </c>
      <c r="AD158">
        <v>0.6324503311258278</v>
      </c>
    </row>
    <row r="159" spans="1:30">
      <c r="A159" s="1" t="s">
        <v>166</v>
      </c>
      <c r="B159">
        <f>HYPERLINK("https://www.suredividend.com/sure-analysis-FDX/","FedEx Corp.")</f>
        <v>0</v>
      </c>
      <c r="C159">
        <v>116.74</v>
      </c>
      <c r="D159">
        <v>30075.1</v>
      </c>
      <c r="E159" t="s">
        <v>645</v>
      </c>
      <c r="F159" t="s">
        <v>613</v>
      </c>
      <c r="G159" t="s">
        <v>653</v>
      </c>
      <c r="H159" t="s">
        <v>682</v>
      </c>
      <c r="I159" t="s">
        <v>843</v>
      </c>
      <c r="J159" t="s">
        <v>1278</v>
      </c>
      <c r="K159">
        <v>43909</v>
      </c>
      <c r="L159">
        <v>0.022585128561501</v>
      </c>
      <c r="M159">
        <v>0.05281351574253645</v>
      </c>
      <c r="N159">
        <v>0.06</v>
      </c>
      <c r="O159">
        <v>0.1326394169712359</v>
      </c>
      <c r="P159" t="s">
        <v>618</v>
      </c>
      <c r="Q159" t="s">
        <v>371</v>
      </c>
      <c r="R159">
        <v>0</v>
      </c>
      <c r="S159">
        <v>0.2389705882352941</v>
      </c>
      <c r="T159">
        <v>151</v>
      </c>
      <c r="U159">
        <v>0.7731125827814569</v>
      </c>
      <c r="V159">
        <v>-1.3356</v>
      </c>
      <c r="W159">
        <v>10.88</v>
      </c>
      <c r="X159">
        <v>2.6</v>
      </c>
      <c r="Y159">
        <v>-0.362781</v>
      </c>
      <c r="Z159">
        <v>0.2487309644670051</v>
      </c>
      <c r="AA159">
        <v>0.3034825870646766</v>
      </c>
      <c r="AB159">
        <v>0.6423841059602649</v>
      </c>
      <c r="AC159">
        <v>0.6655629139072847</v>
      </c>
      <c r="AD159">
        <v>0.6291390728476821</v>
      </c>
    </row>
    <row r="160" spans="1:30">
      <c r="A160" s="1" t="s">
        <v>167</v>
      </c>
      <c r="B160">
        <f>HYPERLINK("https://www.suredividend.com/sure-analysis-LMT/","Lockheed Martin Corp.")</f>
        <v>0</v>
      </c>
      <c r="C160">
        <v>376.54</v>
      </c>
      <c r="D160">
        <v>106167.0823</v>
      </c>
      <c r="E160" t="s">
        <v>642</v>
      </c>
      <c r="F160" t="s">
        <v>613</v>
      </c>
      <c r="G160" t="s">
        <v>653</v>
      </c>
      <c r="H160" t="s">
        <v>682</v>
      </c>
      <c r="I160" t="s">
        <v>844</v>
      </c>
      <c r="J160" t="s">
        <v>1278</v>
      </c>
      <c r="K160">
        <v>43871</v>
      </c>
      <c r="L160">
        <v>0.024301336573511</v>
      </c>
      <c r="M160">
        <v>0.005495125062329409</v>
      </c>
      <c r="N160">
        <v>0.1</v>
      </c>
      <c r="O160">
        <v>0.1268399925684149</v>
      </c>
      <c r="P160" t="s">
        <v>618</v>
      </c>
      <c r="Q160" t="s">
        <v>371</v>
      </c>
      <c r="R160">
        <v>17</v>
      </c>
      <c r="S160">
        <v>0.380479735318445</v>
      </c>
      <c r="T160">
        <v>387</v>
      </c>
      <c r="U160">
        <v>0.9729715762273903</v>
      </c>
      <c r="V160">
        <v>22.1612</v>
      </c>
      <c r="W160">
        <v>24.18</v>
      </c>
      <c r="X160">
        <v>9.199999999999999</v>
      </c>
      <c r="Y160">
        <v>0.144092</v>
      </c>
      <c r="Z160">
        <v>0.2774957698815567</v>
      </c>
      <c r="AA160">
        <v>0.8905472636815921</v>
      </c>
      <c r="AB160">
        <v>0.9097682119205298</v>
      </c>
      <c r="AC160">
        <v>0.456953642384106</v>
      </c>
      <c r="AD160">
        <v>0.6076158940397351</v>
      </c>
    </row>
    <row r="161" spans="1:30">
      <c r="A161" s="1" t="s">
        <v>168</v>
      </c>
      <c r="B161">
        <f>HYPERLINK("https://www.suredividend.com/sure-analysis-CVS/","CVS Health Corp.")</f>
        <v>0</v>
      </c>
      <c r="C161">
        <v>61.45</v>
      </c>
      <c r="D161">
        <v>78870.69190000001</v>
      </c>
      <c r="E161" t="s">
        <v>643</v>
      </c>
      <c r="F161" t="s">
        <v>613</v>
      </c>
      <c r="G161" t="s">
        <v>653</v>
      </c>
      <c r="H161" t="s">
        <v>682</v>
      </c>
      <c r="I161" t="s">
        <v>845</v>
      </c>
      <c r="J161" t="s">
        <v>1283</v>
      </c>
      <c r="K161">
        <v>43873</v>
      </c>
      <c r="L161">
        <v>0.033107101473266</v>
      </c>
      <c r="M161">
        <v>0.04885280281712157</v>
      </c>
      <c r="N161">
        <v>0.05</v>
      </c>
      <c r="O161">
        <v>0.1258352289419606</v>
      </c>
      <c r="P161" t="s">
        <v>618</v>
      </c>
      <c r="Q161" t="s">
        <v>618</v>
      </c>
      <c r="R161">
        <v>0</v>
      </c>
      <c r="S161">
        <v>0.2812939521800281</v>
      </c>
      <c r="T161">
        <v>78</v>
      </c>
      <c r="U161">
        <v>0.7878205128205129</v>
      </c>
      <c r="V161">
        <v>5.0943</v>
      </c>
      <c r="W161">
        <v>7.11</v>
      </c>
      <c r="X161">
        <v>2</v>
      </c>
      <c r="Y161">
        <v>0.091418</v>
      </c>
      <c r="Z161">
        <v>0.3942470389170897</v>
      </c>
      <c r="AA161">
        <v>0.8540630182421228</v>
      </c>
      <c r="AB161">
        <v>0.5033112582781457</v>
      </c>
      <c r="AC161">
        <v>0.6523178807947019</v>
      </c>
      <c r="AD161">
        <v>0.6043046357615894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61.04</v>
      </c>
      <c r="D162">
        <v>138304.1798</v>
      </c>
      <c r="E162" t="s">
        <v>643</v>
      </c>
      <c r="F162" t="s">
        <v>613</v>
      </c>
      <c r="G162" t="s">
        <v>653</v>
      </c>
      <c r="H162" t="s">
        <v>682</v>
      </c>
      <c r="I162" t="s">
        <v>846</v>
      </c>
      <c r="J162" t="s">
        <v>1283</v>
      </c>
      <c r="K162">
        <v>43868</v>
      </c>
      <c r="L162">
        <v>0.027482414526419</v>
      </c>
      <c r="M162">
        <v>0.06081552132347556</v>
      </c>
      <c r="N162">
        <v>0.04</v>
      </c>
      <c r="O162">
        <v>0.1254506827056903</v>
      </c>
      <c r="P162" t="s">
        <v>618</v>
      </c>
      <c r="Q162" t="s">
        <v>618</v>
      </c>
      <c r="R162">
        <v>11</v>
      </c>
      <c r="S162">
        <v>0.2754098360655738</v>
      </c>
      <c r="T162">
        <v>82</v>
      </c>
      <c r="U162">
        <v>0.744390243902439</v>
      </c>
      <c r="V162">
        <v>2.2003</v>
      </c>
      <c r="W162">
        <v>6.1</v>
      </c>
      <c r="X162">
        <v>1.68</v>
      </c>
      <c r="Y162">
        <v>0.294579</v>
      </c>
      <c r="Z162">
        <v>0.3231810490693739</v>
      </c>
      <c r="AA162">
        <v>0.9485903814262023</v>
      </c>
      <c r="AB162">
        <v>0.3501655629139073</v>
      </c>
      <c r="AC162">
        <v>0.7102649006622517</v>
      </c>
      <c r="AD162">
        <v>0.6026490066225165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41.365</v>
      </c>
      <c r="D163">
        <v>174512.212</v>
      </c>
      <c r="E163" t="s">
        <v>643</v>
      </c>
      <c r="F163" t="s">
        <v>613</v>
      </c>
      <c r="G163" t="s">
        <v>653</v>
      </c>
      <c r="H163" t="s">
        <v>683</v>
      </c>
      <c r="I163" t="s">
        <v>847</v>
      </c>
      <c r="J163" t="s">
        <v>1286</v>
      </c>
      <c r="K163">
        <v>43874</v>
      </c>
      <c r="L163">
        <v>0.03402187120291601</v>
      </c>
      <c r="M163">
        <v>0.03445739901913236</v>
      </c>
      <c r="N163">
        <v>0.06</v>
      </c>
      <c r="O163">
        <v>0.1239253701602141</v>
      </c>
      <c r="P163" t="s">
        <v>618</v>
      </c>
      <c r="Q163" t="s">
        <v>371</v>
      </c>
      <c r="R163">
        <v>10</v>
      </c>
      <c r="S163">
        <v>0.4320987654320987</v>
      </c>
      <c r="T163">
        <v>49</v>
      </c>
      <c r="U163">
        <v>0.8441836734693878</v>
      </c>
      <c r="V163">
        <v>2.5884</v>
      </c>
      <c r="W163">
        <v>3.24</v>
      </c>
      <c r="X163">
        <v>1.4</v>
      </c>
      <c r="Y163">
        <v>-0.230122</v>
      </c>
      <c r="Z163">
        <v>0.401015228426396</v>
      </c>
      <c r="AA163">
        <v>0.472636815920398</v>
      </c>
      <c r="AB163">
        <v>0.6423841059602649</v>
      </c>
      <c r="AC163">
        <v>0.5894039735099338</v>
      </c>
      <c r="AD163">
        <v>0.5943708609271523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121.23</v>
      </c>
      <c r="D164">
        <v>109361.65764</v>
      </c>
      <c r="E164" t="s">
        <v>642</v>
      </c>
      <c r="F164" t="s">
        <v>613</v>
      </c>
      <c r="G164" t="s">
        <v>653</v>
      </c>
      <c r="H164" t="s">
        <v>682</v>
      </c>
      <c r="I164" t="s">
        <v>848</v>
      </c>
      <c r="J164" t="s">
        <v>1286</v>
      </c>
      <c r="K164">
        <v>43864</v>
      </c>
      <c r="L164">
        <v>0.05261021352602</v>
      </c>
      <c r="M164">
        <v>0.03930124112428901</v>
      </c>
      <c r="N164">
        <v>0.04</v>
      </c>
      <c r="O164">
        <v>0.1229150284725644</v>
      </c>
      <c r="P164" t="s">
        <v>618</v>
      </c>
      <c r="Q164" t="s">
        <v>617</v>
      </c>
      <c r="R164">
        <v>24</v>
      </c>
      <c r="S164">
        <v>0.4853932584269663</v>
      </c>
      <c r="T164">
        <v>147</v>
      </c>
      <c r="U164">
        <v>0.8246938775510204</v>
      </c>
      <c r="V164">
        <v>10.166</v>
      </c>
      <c r="W164">
        <v>13.35</v>
      </c>
      <c r="X164">
        <v>6.48</v>
      </c>
      <c r="Y164">
        <v>-0.105129</v>
      </c>
      <c r="Z164">
        <v>0.622673434856176</v>
      </c>
      <c r="AA164">
        <v>0.6533996683250415</v>
      </c>
      <c r="AB164">
        <v>0.3501655629139073</v>
      </c>
      <c r="AC164">
        <v>0.6109271523178808</v>
      </c>
      <c r="AD164">
        <v>0.5877483443708609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57.26</v>
      </c>
      <c r="D165">
        <v>16122.3018</v>
      </c>
      <c r="E165" t="s">
        <v>641</v>
      </c>
      <c r="F165" t="s">
        <v>613</v>
      </c>
      <c r="G165" t="s">
        <v>653</v>
      </c>
      <c r="H165" t="s">
        <v>682</v>
      </c>
      <c r="I165" t="s">
        <v>849</v>
      </c>
      <c r="J165" t="s">
        <v>1284</v>
      </c>
      <c r="K165">
        <v>43867</v>
      </c>
      <c r="L165">
        <v>0.029846659364731</v>
      </c>
      <c r="M165">
        <v>0.04687837914827941</v>
      </c>
      <c r="N165">
        <v>0.05</v>
      </c>
      <c r="O165">
        <v>0.1222640404326496</v>
      </c>
      <c r="P165" t="s">
        <v>618</v>
      </c>
      <c r="Q165" t="s">
        <v>618</v>
      </c>
      <c r="R165">
        <v>8</v>
      </c>
      <c r="S165">
        <v>0.2725</v>
      </c>
      <c r="T165">
        <v>72</v>
      </c>
      <c r="U165">
        <v>0.7952777777777778</v>
      </c>
      <c r="V165">
        <v>5.5225</v>
      </c>
      <c r="W165">
        <v>6</v>
      </c>
      <c r="X165">
        <v>1.635</v>
      </c>
      <c r="Y165">
        <v>-0.287183</v>
      </c>
      <c r="Z165">
        <v>0.350253807106599</v>
      </c>
      <c r="AA165">
        <v>0.39469320066335</v>
      </c>
      <c r="AB165">
        <v>0.5033112582781457</v>
      </c>
      <c r="AC165">
        <v>0.6456953642384106</v>
      </c>
      <c r="AD165">
        <v>0.5860927152317881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8.26</v>
      </c>
      <c r="D166">
        <v>8917.383911999999</v>
      </c>
      <c r="E166" t="s">
        <v>643</v>
      </c>
      <c r="F166" t="s">
        <v>613</v>
      </c>
      <c r="G166" t="s">
        <v>662</v>
      </c>
      <c r="H166" t="s">
        <v>684</v>
      </c>
      <c r="I166" t="s">
        <v>850</v>
      </c>
      <c r="J166" t="s">
        <v>1287</v>
      </c>
      <c r="K166">
        <v>43909</v>
      </c>
      <c r="L166">
        <v>0.06708232445520501</v>
      </c>
      <c r="M166">
        <v>0.01730807652233701</v>
      </c>
      <c r="N166">
        <v>0.05</v>
      </c>
      <c r="O166">
        <v>0.121766125625586</v>
      </c>
      <c r="P166" t="s">
        <v>618</v>
      </c>
      <c r="Q166" t="s">
        <v>617</v>
      </c>
      <c r="R166">
        <v>4</v>
      </c>
      <c r="S166">
        <v>0.3847916666666667</v>
      </c>
      <c r="T166">
        <v>9</v>
      </c>
      <c r="U166">
        <v>0.9177777777777778</v>
      </c>
      <c r="V166">
        <v>0.745</v>
      </c>
      <c r="W166">
        <v>1.44</v>
      </c>
      <c r="X166">
        <v>0.5541</v>
      </c>
      <c r="Y166">
        <v>-0.197279</v>
      </c>
      <c r="Z166">
        <v>0.6954314720812182</v>
      </c>
      <c r="AA166">
        <v>0.527363184079602</v>
      </c>
      <c r="AB166">
        <v>0.5033112582781457</v>
      </c>
      <c r="AC166">
        <v>0.5115894039735099</v>
      </c>
      <c r="AD166">
        <v>0.5811258278145695</v>
      </c>
    </row>
    <row r="167" spans="1:30">
      <c r="A167" s="1" t="s">
        <v>174</v>
      </c>
      <c r="B167">
        <f>HYPERLINK("https://www.suredividend.com/sure-analysis-HII/","Huntington Ingalls Industries, Inc.")</f>
        <v>0</v>
      </c>
      <c r="C167">
        <v>173.31</v>
      </c>
      <c r="D167">
        <v>7275.3426</v>
      </c>
      <c r="E167" t="s">
        <v>642</v>
      </c>
      <c r="F167" t="s">
        <v>613</v>
      </c>
      <c r="G167" t="s">
        <v>653</v>
      </c>
      <c r="H167" t="s">
        <v>682</v>
      </c>
      <c r="I167" t="s">
        <v>851</v>
      </c>
      <c r="J167" t="s">
        <v>1278</v>
      </c>
      <c r="K167">
        <v>43864</v>
      </c>
      <c r="L167">
        <v>0.020207108872096</v>
      </c>
      <c r="M167">
        <v>0.03716521451920474</v>
      </c>
      <c r="N167">
        <v>0.05</v>
      </c>
      <c r="O167">
        <v>0.1093223272725128</v>
      </c>
      <c r="P167" t="s">
        <v>618</v>
      </c>
      <c r="Q167" t="s">
        <v>371</v>
      </c>
      <c r="R167">
        <v>8</v>
      </c>
      <c r="S167">
        <v>0.2604617604617604</v>
      </c>
      <c r="T167">
        <v>208</v>
      </c>
      <c r="U167">
        <v>0.8332211538461538</v>
      </c>
      <c r="V167">
        <v>13.3096</v>
      </c>
      <c r="W167">
        <v>13.86</v>
      </c>
      <c r="X167">
        <v>3.61</v>
      </c>
      <c r="Y167">
        <v>-0.143371</v>
      </c>
      <c r="Z167">
        <v>0.1962774957698815</v>
      </c>
      <c r="AA167">
        <v>0.6003316749585407</v>
      </c>
      <c r="AB167">
        <v>0.5033112582781457</v>
      </c>
      <c r="AC167">
        <v>0.6026490066225165</v>
      </c>
      <c r="AD167">
        <v>0.5248344370860927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115.22</v>
      </c>
      <c r="D168">
        <v>135061.004845</v>
      </c>
      <c r="E168" t="s">
        <v>646</v>
      </c>
      <c r="F168" t="s">
        <v>613</v>
      </c>
      <c r="G168" t="s">
        <v>659</v>
      </c>
      <c r="H168" t="s">
        <v>682</v>
      </c>
      <c r="I168" t="s">
        <v>852</v>
      </c>
      <c r="J168" t="s">
        <v>1286</v>
      </c>
      <c r="K168">
        <v>43946</v>
      </c>
      <c r="L168">
        <v>0.010874060980998</v>
      </c>
      <c r="M168">
        <v>0.004779642255362537</v>
      </c>
      <c r="N168">
        <v>0.09</v>
      </c>
      <c r="O168">
        <v>0.1081592434156198</v>
      </c>
      <c r="P168" t="s">
        <v>618</v>
      </c>
      <c r="Q168" t="s">
        <v>317</v>
      </c>
      <c r="R168">
        <v>5</v>
      </c>
      <c r="S168">
        <v>0.2085423728813559</v>
      </c>
      <c r="T168">
        <v>118</v>
      </c>
      <c r="U168">
        <v>0.9764406779661017</v>
      </c>
      <c r="V168">
        <v>3.1045</v>
      </c>
      <c r="W168">
        <v>5.9</v>
      </c>
      <c r="X168">
        <v>1.2304</v>
      </c>
      <c r="Y168">
        <v>-0.08358299999999999</v>
      </c>
      <c r="Z168">
        <v>0.06429780033840948</v>
      </c>
      <c r="AA168">
        <v>0.669983416252073</v>
      </c>
      <c r="AB168">
        <v>0.8766556291390728</v>
      </c>
      <c r="AC168">
        <v>0.4503311258278145</v>
      </c>
      <c r="AD168">
        <v>0.5099337748344371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58.82</v>
      </c>
      <c r="D169">
        <v>31596.00483</v>
      </c>
      <c r="E169" t="s">
        <v>648</v>
      </c>
      <c r="F169" t="s">
        <v>613</v>
      </c>
      <c r="G169" t="s">
        <v>653</v>
      </c>
      <c r="H169" t="s">
        <v>683</v>
      </c>
      <c r="I169" t="s">
        <v>853</v>
      </c>
      <c r="J169" t="s">
        <v>1286</v>
      </c>
      <c r="K169">
        <v>43867</v>
      </c>
      <c r="L169">
        <v>0.013891300573016</v>
      </c>
      <c r="M169">
        <v>0.02330190607151805</v>
      </c>
      <c r="N169">
        <v>0.07000000000000001</v>
      </c>
      <c r="O169">
        <v>0.1074890489015246</v>
      </c>
      <c r="P169" t="s">
        <v>618</v>
      </c>
      <c r="Q169" t="s">
        <v>317</v>
      </c>
      <c r="R169">
        <v>0</v>
      </c>
      <c r="S169">
        <v>0.1951219512195122</v>
      </c>
      <c r="T169">
        <v>66</v>
      </c>
      <c r="U169">
        <v>0.8912121212121212</v>
      </c>
      <c r="V169">
        <v>3.2949</v>
      </c>
      <c r="W169">
        <v>4.1</v>
      </c>
      <c r="X169">
        <v>0.8</v>
      </c>
      <c r="Y169">
        <v>-0.015724</v>
      </c>
      <c r="Z169">
        <v>0.09813874788494077</v>
      </c>
      <c r="AA169">
        <v>0.7396351575456053</v>
      </c>
      <c r="AB169">
        <v>0.7442052980132451</v>
      </c>
      <c r="AC169">
        <v>0.5463576158940397</v>
      </c>
      <c r="AD169">
        <v>0.5049668874172185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54.53</v>
      </c>
      <c r="D170">
        <v>19646.83644</v>
      </c>
      <c r="E170" t="s">
        <v>649</v>
      </c>
      <c r="F170" t="s">
        <v>613</v>
      </c>
      <c r="G170" t="s">
        <v>653</v>
      </c>
      <c r="H170" t="s">
        <v>682</v>
      </c>
      <c r="I170" t="s">
        <v>854</v>
      </c>
      <c r="J170" t="s">
        <v>1287</v>
      </c>
      <c r="K170">
        <v>43912</v>
      </c>
      <c r="L170">
        <v>0.046262028127313</v>
      </c>
      <c r="M170">
        <v>0.0260091606540358</v>
      </c>
      <c r="N170">
        <v>0.04</v>
      </c>
      <c r="O170">
        <v>0.1048874743431625</v>
      </c>
      <c r="P170" t="s">
        <v>618</v>
      </c>
      <c r="Q170" t="s">
        <v>618</v>
      </c>
      <c r="R170">
        <v>15</v>
      </c>
      <c r="S170">
        <v>0.5112474437627812</v>
      </c>
      <c r="T170">
        <v>62</v>
      </c>
      <c r="U170">
        <v>0.8795161290322581</v>
      </c>
      <c r="V170">
        <v>3.4612</v>
      </c>
      <c r="W170">
        <v>4.89</v>
      </c>
      <c r="X170">
        <v>2.5</v>
      </c>
      <c r="Y170">
        <v>-0.117282</v>
      </c>
      <c r="Z170">
        <v>0.5532994923857868</v>
      </c>
      <c r="AA170">
        <v>0.6384742951907131</v>
      </c>
      <c r="AB170">
        <v>0.3501655629139073</v>
      </c>
      <c r="AC170">
        <v>0.5529801324503311</v>
      </c>
      <c r="AD170">
        <v>0.4917218543046358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50.095</v>
      </c>
      <c r="D171">
        <v>71572.8444</v>
      </c>
      <c r="E171" t="s">
        <v>645</v>
      </c>
      <c r="F171" t="s">
        <v>613</v>
      </c>
      <c r="G171" t="s">
        <v>653</v>
      </c>
      <c r="H171" t="s">
        <v>683</v>
      </c>
      <c r="I171" t="s">
        <v>855</v>
      </c>
      <c r="J171" t="s">
        <v>1284</v>
      </c>
      <c r="K171">
        <v>43861</v>
      </c>
      <c r="L171">
        <v>0.022237734343837</v>
      </c>
      <c r="M171">
        <v>0.01133793481939582</v>
      </c>
      <c r="N171">
        <v>0.07000000000000001</v>
      </c>
      <c r="O171">
        <v>0.1034930197214077</v>
      </c>
      <c r="P171" t="s">
        <v>618</v>
      </c>
      <c r="Q171" t="s">
        <v>317</v>
      </c>
      <c r="R171">
        <v>7</v>
      </c>
      <c r="S171">
        <v>0.4223484848484848</v>
      </c>
      <c r="T171">
        <v>53</v>
      </c>
      <c r="U171">
        <v>0.945188679245283</v>
      </c>
      <c r="V171">
        <v>2.5722</v>
      </c>
      <c r="W171">
        <v>2.64</v>
      </c>
      <c r="X171">
        <v>1.115</v>
      </c>
      <c r="Y171">
        <v>-0.017055</v>
      </c>
      <c r="Z171">
        <v>0.2385786802030457</v>
      </c>
      <c r="AA171">
        <v>0.7379767827529021</v>
      </c>
      <c r="AB171">
        <v>0.7442052980132451</v>
      </c>
      <c r="AC171">
        <v>0.4867549668874173</v>
      </c>
      <c r="AD171">
        <v>0.4834437086092715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95.8</v>
      </c>
      <c r="D172">
        <v>23587.07044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1277</v>
      </c>
      <c r="K172">
        <v>43949</v>
      </c>
      <c r="L172">
        <v>0.035159181048343</v>
      </c>
      <c r="M172">
        <v>0.01062764281173645</v>
      </c>
      <c r="N172">
        <v>0.06</v>
      </c>
      <c r="O172">
        <v>0.1034401601945907</v>
      </c>
      <c r="P172" t="s">
        <v>618</v>
      </c>
      <c r="Q172" t="s">
        <v>618</v>
      </c>
      <c r="R172">
        <v>15</v>
      </c>
      <c r="S172">
        <v>0.3565217391304348</v>
      </c>
      <c r="T172">
        <v>101</v>
      </c>
      <c r="U172">
        <v>0.9485148514851485</v>
      </c>
      <c r="V172">
        <v>9.337300000000001</v>
      </c>
      <c r="W172">
        <v>9.199999999999999</v>
      </c>
      <c r="X172">
        <v>3.28</v>
      </c>
      <c r="Y172">
        <v>-0.341684</v>
      </c>
      <c r="Z172">
        <v>0.416243654822335</v>
      </c>
      <c r="AA172">
        <v>0.330016583747927</v>
      </c>
      <c r="AB172">
        <v>0.6423841059602649</v>
      </c>
      <c r="AC172">
        <v>0.4850993377483444</v>
      </c>
      <c r="AD172">
        <v>0.4817880794701987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36.7</v>
      </c>
      <c r="D173">
        <v>2067.6696</v>
      </c>
      <c r="E173" t="s">
        <v>646</v>
      </c>
      <c r="F173" t="s">
        <v>613</v>
      </c>
      <c r="G173" t="s">
        <v>653</v>
      </c>
      <c r="H173" t="s">
        <v>682</v>
      </c>
      <c r="I173" t="s">
        <v>857</v>
      </c>
      <c r="J173" t="s">
        <v>1279</v>
      </c>
      <c r="K173">
        <v>43903</v>
      </c>
      <c r="L173">
        <v>0.036615134255492</v>
      </c>
      <c r="M173">
        <v>0.03219197508300375</v>
      </c>
      <c r="N173">
        <v>0.04</v>
      </c>
      <c r="O173">
        <v>0.1024352681379637</v>
      </c>
      <c r="P173" t="s">
        <v>618</v>
      </c>
      <c r="Q173" t="s">
        <v>618</v>
      </c>
      <c r="R173">
        <v>21</v>
      </c>
      <c r="S173">
        <v>0.54</v>
      </c>
      <c r="T173">
        <v>43</v>
      </c>
      <c r="U173">
        <v>0.8534883720930233</v>
      </c>
      <c r="V173">
        <v>2.5998</v>
      </c>
      <c r="W173">
        <v>2.5</v>
      </c>
      <c r="X173">
        <v>1.35</v>
      </c>
      <c r="Y173">
        <v>-0.220507</v>
      </c>
      <c r="Z173">
        <v>0.4416243654822335</v>
      </c>
      <c r="AA173">
        <v>0.4892205638474295</v>
      </c>
      <c r="AB173">
        <v>0.3501655629139073</v>
      </c>
      <c r="AC173">
        <v>0.5794701986754967</v>
      </c>
      <c r="AD173">
        <v>0.4768211920529801</v>
      </c>
    </row>
    <row r="174" spans="1:30">
      <c r="A174" s="1" t="s">
        <v>181</v>
      </c>
      <c r="B174">
        <f>HYPERLINK("https://www.suredividend.com/sure-analysis-VZ/","Verizon Communications, Inc.")</f>
        <v>0</v>
      </c>
      <c r="C174">
        <v>55.58</v>
      </c>
      <c r="D174">
        <v>230238.32</v>
      </c>
      <c r="E174" t="s">
        <v>643</v>
      </c>
      <c r="F174" t="s">
        <v>613</v>
      </c>
      <c r="G174" t="s">
        <v>653</v>
      </c>
      <c r="H174" t="s">
        <v>682</v>
      </c>
      <c r="I174" t="s">
        <v>858</v>
      </c>
      <c r="J174" t="s">
        <v>1279</v>
      </c>
      <c r="K174">
        <v>43945</v>
      </c>
      <c r="L174">
        <v>0.043988138030194</v>
      </c>
      <c r="M174">
        <v>0.02537895905707055</v>
      </c>
      <c r="N174">
        <v>0.04</v>
      </c>
      <c r="O174">
        <v>0.1005071591916278</v>
      </c>
      <c r="P174" t="s">
        <v>618</v>
      </c>
      <c r="Q174" t="s">
        <v>618</v>
      </c>
      <c r="R174">
        <v>15</v>
      </c>
      <c r="S174">
        <v>0.5088357588357588</v>
      </c>
      <c r="T174">
        <v>63</v>
      </c>
      <c r="U174">
        <v>0.8822222222222222</v>
      </c>
      <c r="V174">
        <v>4.4434</v>
      </c>
      <c r="W174">
        <v>4.81</v>
      </c>
      <c r="X174">
        <v>2.4475</v>
      </c>
      <c r="Y174">
        <v>-0.017482</v>
      </c>
      <c r="Z174">
        <v>0.5245346869712352</v>
      </c>
      <c r="AA174">
        <v>0.736318407960199</v>
      </c>
      <c r="AB174">
        <v>0.3501655629139073</v>
      </c>
      <c r="AC174">
        <v>0.5513245033112583</v>
      </c>
      <c r="AD174">
        <v>0.4635761589403973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93.09</v>
      </c>
      <c r="D175">
        <v>50202.14628</v>
      </c>
      <c r="E175" t="s">
        <v>642</v>
      </c>
      <c r="F175" t="s">
        <v>613</v>
      </c>
      <c r="G175" t="s">
        <v>653</v>
      </c>
      <c r="H175" t="s">
        <v>682</v>
      </c>
      <c r="I175" t="s">
        <v>859</v>
      </c>
      <c r="J175" t="s">
        <v>1277</v>
      </c>
      <c r="K175">
        <v>43901</v>
      </c>
      <c r="L175">
        <v>0.012262916939175</v>
      </c>
      <c r="M175">
        <v>-0.02985334335043932</v>
      </c>
      <c r="N175">
        <v>0.12</v>
      </c>
      <c r="O175">
        <v>0.09939865934585068</v>
      </c>
      <c r="P175" t="s">
        <v>618</v>
      </c>
      <c r="Q175" t="s">
        <v>317</v>
      </c>
      <c r="R175">
        <v>7</v>
      </c>
      <c r="S175">
        <v>0.2665876777251185</v>
      </c>
      <c r="T175">
        <v>80</v>
      </c>
      <c r="U175">
        <v>1.163625</v>
      </c>
      <c r="V175">
        <v>3.7696</v>
      </c>
      <c r="W175">
        <v>4.22</v>
      </c>
      <c r="X175">
        <v>1.125</v>
      </c>
      <c r="Y175">
        <v>0.146463</v>
      </c>
      <c r="Z175">
        <v>0.08121827411167512</v>
      </c>
      <c r="AA175">
        <v>0.8938640132669984</v>
      </c>
      <c r="AB175">
        <v>0.9354304635761589</v>
      </c>
      <c r="AC175">
        <v>0.2731788079470199</v>
      </c>
      <c r="AD175">
        <v>0.4519867549668874</v>
      </c>
    </row>
    <row r="176" spans="1:30">
      <c r="A176" s="1" t="s">
        <v>183</v>
      </c>
      <c r="B176">
        <f>HYPERLINK("https://www.suredividend.com/sure-analysis-DNKN/","Dunkin' Brands Group, Inc.")</f>
        <v>0</v>
      </c>
      <c r="C176">
        <v>65.69</v>
      </c>
      <c r="D176">
        <v>5213.370774</v>
      </c>
      <c r="E176" t="s">
        <v>642</v>
      </c>
      <c r="F176" t="s">
        <v>613</v>
      </c>
      <c r="G176" t="s">
        <v>653</v>
      </c>
      <c r="H176" t="s">
        <v>683</v>
      </c>
      <c r="I176" t="s">
        <v>860</v>
      </c>
      <c r="J176" t="s">
        <v>1280</v>
      </c>
      <c r="K176">
        <v>43901</v>
      </c>
      <c r="L176">
        <v>0.024051330499133</v>
      </c>
      <c r="M176">
        <v>-0.005199162035890104</v>
      </c>
      <c r="N176">
        <v>0.08</v>
      </c>
      <c r="O176">
        <v>0.096768977942993</v>
      </c>
      <c r="P176" t="s">
        <v>618</v>
      </c>
      <c r="Q176" t="s">
        <v>317</v>
      </c>
      <c r="R176">
        <v>8</v>
      </c>
      <c r="S176">
        <v>0.4788401253918496</v>
      </c>
      <c r="T176">
        <v>64</v>
      </c>
      <c r="U176">
        <v>1.02640625</v>
      </c>
      <c r="V176">
        <v>2.9201</v>
      </c>
      <c r="W176">
        <v>3.19</v>
      </c>
      <c r="X176">
        <v>1.5275</v>
      </c>
      <c r="Y176">
        <v>-0.136975</v>
      </c>
      <c r="Z176">
        <v>0.2741116751269035</v>
      </c>
      <c r="AA176">
        <v>0.6102819237147595</v>
      </c>
      <c r="AB176">
        <v>0.8228476821192053</v>
      </c>
      <c r="AC176">
        <v>0.3990066225165563</v>
      </c>
      <c r="AD176">
        <v>0.4387417218543046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46.18</v>
      </c>
      <c r="D177">
        <v>11321.94591</v>
      </c>
      <c r="E177" t="s">
        <v>647</v>
      </c>
      <c r="F177" t="s">
        <v>613</v>
      </c>
      <c r="G177" t="s">
        <v>653</v>
      </c>
      <c r="H177" t="s">
        <v>683</v>
      </c>
      <c r="I177" t="s">
        <v>861</v>
      </c>
      <c r="J177" t="s">
        <v>1287</v>
      </c>
      <c r="K177">
        <v>43938</v>
      </c>
      <c r="L177">
        <v>0.030755902100931</v>
      </c>
      <c r="M177">
        <v>0.007760801506511594</v>
      </c>
      <c r="N177">
        <v>0.055</v>
      </c>
      <c r="O177">
        <v>0.09152816580830625</v>
      </c>
      <c r="P177" t="s">
        <v>618</v>
      </c>
      <c r="Q177" t="s">
        <v>371</v>
      </c>
      <c r="R177">
        <v>17</v>
      </c>
      <c r="S177">
        <v>0.5892116182572613</v>
      </c>
      <c r="T177">
        <v>48</v>
      </c>
      <c r="U177">
        <v>0.9620833333333333</v>
      </c>
      <c r="V177">
        <v>2.3352</v>
      </c>
      <c r="W177">
        <v>2.41</v>
      </c>
      <c r="X177">
        <v>1.42</v>
      </c>
      <c r="Y177">
        <v>-0.015145</v>
      </c>
      <c r="Z177">
        <v>0.3654822335025381</v>
      </c>
      <c r="AA177">
        <v>0.7412935323383084</v>
      </c>
      <c r="AB177">
        <v>0.5786423841059603</v>
      </c>
      <c r="AC177">
        <v>0.4784768211920529</v>
      </c>
      <c r="AD177">
        <v>0.4122516556291391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37.88</v>
      </c>
      <c r="D178">
        <v>17788.02904</v>
      </c>
      <c r="E178" t="s">
        <v>645</v>
      </c>
      <c r="F178" t="s">
        <v>613</v>
      </c>
      <c r="G178" t="s">
        <v>654</v>
      </c>
      <c r="H178" t="s">
        <v>682</v>
      </c>
      <c r="I178" t="s">
        <v>862</v>
      </c>
      <c r="J178" t="s">
        <v>1287</v>
      </c>
      <c r="K178">
        <v>43878</v>
      </c>
      <c r="L178">
        <v>0.035942966761674</v>
      </c>
      <c r="M178">
        <v>0.005844689498092803</v>
      </c>
      <c r="N178">
        <v>0.05</v>
      </c>
      <c r="O178">
        <v>0.0907666930844917</v>
      </c>
      <c r="P178" t="s">
        <v>618</v>
      </c>
      <c r="Q178" t="s">
        <v>618</v>
      </c>
      <c r="R178">
        <v>46</v>
      </c>
      <c r="S178">
        <v>0.681848755597703</v>
      </c>
      <c r="T178">
        <v>39</v>
      </c>
      <c r="U178">
        <v>0.9712820512820514</v>
      </c>
      <c r="V178">
        <v>2.8548</v>
      </c>
      <c r="W178">
        <v>2.02</v>
      </c>
      <c r="X178">
        <v>1.37733448630736</v>
      </c>
      <c r="Y178">
        <v>0.039327</v>
      </c>
      <c r="Z178">
        <v>0.4297800338409475</v>
      </c>
      <c r="AA178">
        <v>0.7993366500829187</v>
      </c>
      <c r="AB178">
        <v>0.5033112582781457</v>
      </c>
      <c r="AC178">
        <v>0.4652317880794702</v>
      </c>
      <c r="AD178">
        <v>0.4006622516556291</v>
      </c>
    </row>
    <row r="179" spans="1:30">
      <c r="A179" s="1" t="s">
        <v>186</v>
      </c>
      <c r="B179">
        <f>HYPERLINK("https://www.suredividend.com/sure-analysis-HON/","Honeywell International, Inc.")</f>
        <v>0</v>
      </c>
      <c r="C179">
        <v>132.79</v>
      </c>
      <c r="D179">
        <v>93373.85791999999</v>
      </c>
      <c r="E179" t="s">
        <v>643</v>
      </c>
      <c r="F179" t="s">
        <v>613</v>
      </c>
      <c r="G179" t="s">
        <v>653</v>
      </c>
      <c r="H179" t="s">
        <v>682</v>
      </c>
      <c r="I179" t="s">
        <v>863</v>
      </c>
      <c r="J179" t="s">
        <v>1278</v>
      </c>
      <c r="K179">
        <v>43956</v>
      </c>
      <c r="L179">
        <v>0.025856885147324</v>
      </c>
      <c r="M179">
        <v>-0.02500116186449863</v>
      </c>
      <c r="N179">
        <v>0.09</v>
      </c>
      <c r="O179">
        <v>0.08913618444860849</v>
      </c>
      <c r="P179" t="s">
        <v>618</v>
      </c>
      <c r="Q179" t="s">
        <v>371</v>
      </c>
      <c r="R179">
        <v>10</v>
      </c>
      <c r="S179">
        <v>0.445019404915912</v>
      </c>
      <c r="T179">
        <v>117</v>
      </c>
      <c r="U179">
        <v>1.134957264957265</v>
      </c>
      <c r="V179">
        <v>8.8103</v>
      </c>
      <c r="W179">
        <v>7.73</v>
      </c>
      <c r="X179">
        <v>3.44</v>
      </c>
      <c r="Y179">
        <v>-0.216721</v>
      </c>
      <c r="Z179">
        <v>0.3045685279187818</v>
      </c>
      <c r="AA179">
        <v>0.4925373134328359</v>
      </c>
      <c r="AB179">
        <v>0.8766556291390728</v>
      </c>
      <c r="AC179">
        <v>0.304635761589404</v>
      </c>
      <c r="AD179">
        <v>0.3923841059602649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169.58</v>
      </c>
      <c r="D180">
        <v>43086.74601</v>
      </c>
      <c r="E180" t="s">
        <v>646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43861</v>
      </c>
      <c r="L180">
        <v>0.021880016647838</v>
      </c>
      <c r="M180">
        <v>0.002837956382951479</v>
      </c>
      <c r="N180">
        <v>0.065</v>
      </c>
      <c r="O180">
        <v>0.08878198542505045</v>
      </c>
      <c r="P180" t="s">
        <v>618</v>
      </c>
      <c r="Q180" t="s">
        <v>317</v>
      </c>
      <c r="R180">
        <v>3</v>
      </c>
      <c r="S180">
        <v>0.3315315315315315</v>
      </c>
      <c r="T180">
        <v>172</v>
      </c>
      <c r="U180">
        <v>0.9859302325581396</v>
      </c>
      <c r="V180">
        <v>9.2597</v>
      </c>
      <c r="W180">
        <v>11.1</v>
      </c>
      <c r="X180">
        <v>3.68</v>
      </c>
      <c r="Y180">
        <v>-0.164024</v>
      </c>
      <c r="Z180">
        <v>0.2318104906937394</v>
      </c>
      <c r="AA180">
        <v>0.5771144278606966</v>
      </c>
      <c r="AB180">
        <v>0.7019867549668873</v>
      </c>
      <c r="AC180">
        <v>0.4420529801324504</v>
      </c>
      <c r="AD180">
        <v>0.3907284768211921</v>
      </c>
    </row>
    <row r="181" spans="1:30">
      <c r="A181" s="1" t="s">
        <v>188</v>
      </c>
      <c r="B181">
        <f>HYPERLINK("https://www.suredividend.com/sure-analysis-UNH/","UnitedHealth Group, Inc.")</f>
        <v>0</v>
      </c>
      <c r="C181">
        <v>285</v>
      </c>
      <c r="D181">
        <v>273588.20602</v>
      </c>
      <c r="E181" t="s">
        <v>644</v>
      </c>
      <c r="F181" t="s">
        <v>613</v>
      </c>
      <c r="G181" t="s">
        <v>653</v>
      </c>
      <c r="H181" t="s">
        <v>682</v>
      </c>
      <c r="I181" t="s">
        <v>865</v>
      </c>
      <c r="J181" t="s">
        <v>1283</v>
      </c>
      <c r="K181">
        <v>43940</v>
      </c>
      <c r="L181">
        <v>0.01496000277037</v>
      </c>
      <c r="M181">
        <v>-0.01519144334344946</v>
      </c>
      <c r="N181">
        <v>0.09</v>
      </c>
      <c r="O181">
        <v>0.08841127142462346</v>
      </c>
      <c r="P181" t="s">
        <v>618</v>
      </c>
      <c r="Q181" t="s">
        <v>317</v>
      </c>
      <c r="R181">
        <v>11</v>
      </c>
      <c r="S181">
        <v>0.2618181818181818</v>
      </c>
      <c r="T181">
        <v>264</v>
      </c>
      <c r="U181">
        <v>1.079545454545455</v>
      </c>
      <c r="W181">
        <v>16.5</v>
      </c>
      <c r="X181">
        <v>4.32</v>
      </c>
      <c r="Y181">
        <v>0.213064</v>
      </c>
      <c r="Z181">
        <v>0.1116751269035533</v>
      </c>
      <c r="AA181">
        <v>0.9220563847429518</v>
      </c>
      <c r="AB181">
        <v>0.8766556291390728</v>
      </c>
      <c r="AC181">
        <v>0.3592715231788079</v>
      </c>
      <c r="AD181">
        <v>0.3890728476821192</v>
      </c>
    </row>
    <row r="182" spans="1:30">
      <c r="A182" s="1" t="s">
        <v>189</v>
      </c>
      <c r="B182">
        <f>HYPERLINK("https://www.suredividend.com/sure-analysis-CP/","Canadian Pacific Railway Ltd.")</f>
        <v>0</v>
      </c>
      <c r="C182">
        <v>224.41</v>
      </c>
      <c r="D182">
        <v>29986.87888</v>
      </c>
      <c r="E182" t="s">
        <v>645</v>
      </c>
      <c r="F182" t="s">
        <v>613</v>
      </c>
      <c r="G182" t="s">
        <v>654</v>
      </c>
      <c r="H182" t="s">
        <v>682</v>
      </c>
      <c r="I182" t="s">
        <v>866</v>
      </c>
      <c r="J182" t="s">
        <v>1278</v>
      </c>
      <c r="K182">
        <v>43951</v>
      </c>
      <c r="L182">
        <v>0.01128372461214</v>
      </c>
      <c r="M182">
        <v>-0.001259798681611413</v>
      </c>
      <c r="N182">
        <v>0.075</v>
      </c>
      <c r="O182">
        <v>0.08803168945934248</v>
      </c>
      <c r="P182" t="s">
        <v>618</v>
      </c>
      <c r="Q182" t="s">
        <v>317</v>
      </c>
      <c r="R182">
        <v>4</v>
      </c>
      <c r="S182">
        <v>0.2013493684017918</v>
      </c>
      <c r="T182">
        <v>223</v>
      </c>
      <c r="U182">
        <v>1.006322869955157</v>
      </c>
      <c r="V182">
        <v>13.1529</v>
      </c>
      <c r="W182">
        <v>12.39</v>
      </c>
      <c r="X182">
        <v>2.4947186744982</v>
      </c>
      <c r="Y182">
        <v>0.009866</v>
      </c>
      <c r="Z182">
        <v>0.06768189509306261</v>
      </c>
      <c r="AA182">
        <v>0.769485903814262</v>
      </c>
      <c r="AB182">
        <v>0.7839403973509934</v>
      </c>
      <c r="AC182">
        <v>0.4139072847682119</v>
      </c>
      <c r="AD182">
        <v>0.3841059602649007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106.12</v>
      </c>
      <c r="D183">
        <v>17956.7217</v>
      </c>
      <c r="E183" t="s">
        <v>649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0.016052880075542</v>
      </c>
      <c r="M183">
        <v>-0.03675428402789171</v>
      </c>
      <c r="N183">
        <v>0.112</v>
      </c>
      <c r="O183">
        <v>0.08752488397566949</v>
      </c>
      <c r="P183" t="s">
        <v>618</v>
      </c>
      <c r="Q183" t="s">
        <v>317</v>
      </c>
      <c r="R183">
        <v>5</v>
      </c>
      <c r="S183">
        <v>0.2896081771720613</v>
      </c>
      <c r="T183">
        <v>88</v>
      </c>
      <c r="U183">
        <v>1.205909090909091</v>
      </c>
      <c r="V183">
        <v>4.6409</v>
      </c>
      <c r="W183">
        <v>5.87</v>
      </c>
      <c r="X183">
        <v>1.7</v>
      </c>
      <c r="Y183">
        <v>0.267504</v>
      </c>
      <c r="Z183">
        <v>0.1252115059221658</v>
      </c>
      <c r="AA183">
        <v>0.9419568822553898</v>
      </c>
      <c r="AB183">
        <v>0.9254966887417219</v>
      </c>
      <c r="AC183">
        <v>0.2450331125827815</v>
      </c>
      <c r="AD183">
        <v>0.3791390728476822</v>
      </c>
    </row>
    <row r="184" spans="1:30">
      <c r="A184" s="1" t="s">
        <v>191</v>
      </c>
      <c r="B184">
        <f>HYPERLINK("https://www.suredividend.com/sure-analysis-MRK/","Merck &amp; Co., Inc.")</f>
        <v>0</v>
      </c>
      <c r="C184">
        <v>75.59999999999999</v>
      </c>
      <c r="D184">
        <v>194734.9408</v>
      </c>
      <c r="E184" t="s">
        <v>643</v>
      </c>
      <c r="F184" t="s">
        <v>613</v>
      </c>
      <c r="G184" t="s">
        <v>653</v>
      </c>
      <c r="H184" t="s">
        <v>682</v>
      </c>
      <c r="I184" t="s">
        <v>868</v>
      </c>
      <c r="J184" t="s">
        <v>1283</v>
      </c>
      <c r="K184">
        <v>43950</v>
      </c>
      <c r="L184">
        <v>0.030082987551867</v>
      </c>
      <c r="M184">
        <v>0.008837132783177104</v>
      </c>
      <c r="N184">
        <v>0.05</v>
      </c>
      <c r="O184">
        <v>0.08746057003913399</v>
      </c>
      <c r="P184" t="s">
        <v>618</v>
      </c>
      <c r="Q184" t="s">
        <v>371</v>
      </c>
      <c r="R184">
        <v>9</v>
      </c>
      <c r="S184">
        <v>0.4402277039848198</v>
      </c>
      <c r="T184">
        <v>79</v>
      </c>
      <c r="U184">
        <v>0.9569620253164556</v>
      </c>
      <c r="W184">
        <v>5.27</v>
      </c>
      <c r="X184">
        <v>2.32</v>
      </c>
      <c r="Y184">
        <v>-0.010013</v>
      </c>
      <c r="Z184">
        <v>0.3553299492385787</v>
      </c>
      <c r="AA184">
        <v>0.7495854063018242</v>
      </c>
      <c r="AB184">
        <v>0.5033112582781457</v>
      </c>
      <c r="AC184">
        <v>0.4817880794701987</v>
      </c>
      <c r="AD184">
        <v>0.3758278145695364</v>
      </c>
    </row>
    <row r="185" spans="1:30">
      <c r="A185" s="1" t="s">
        <v>192</v>
      </c>
      <c r="B185">
        <f>HYPERLINK("https://www.suredividend.com/sure-analysis-XYL/","Xylem, Inc.")</f>
        <v>0</v>
      </c>
      <c r="C185">
        <v>63.55</v>
      </c>
      <c r="D185">
        <v>11345.50296</v>
      </c>
      <c r="E185" t="s">
        <v>646</v>
      </c>
      <c r="F185" t="s">
        <v>613</v>
      </c>
      <c r="G185" t="s">
        <v>653</v>
      </c>
      <c r="H185" t="s">
        <v>682</v>
      </c>
      <c r="I185" t="s">
        <v>869</v>
      </c>
      <c r="J185" t="s">
        <v>1278</v>
      </c>
      <c r="K185">
        <v>43867</v>
      </c>
      <c r="L185">
        <v>0.015540754836663</v>
      </c>
      <c r="M185">
        <v>-0.01811078965777679</v>
      </c>
      <c r="N185">
        <v>0.09</v>
      </c>
      <c r="O185">
        <v>0.08695882976367275</v>
      </c>
      <c r="P185" t="s">
        <v>618</v>
      </c>
      <c r="Q185" t="s">
        <v>317</v>
      </c>
      <c r="R185">
        <v>9</v>
      </c>
      <c r="S185">
        <v>0.3202614379084967</v>
      </c>
      <c r="T185">
        <v>58</v>
      </c>
      <c r="U185">
        <v>1.095689655172414</v>
      </c>
      <c r="V185">
        <v>1.9969</v>
      </c>
      <c r="W185">
        <v>3.06</v>
      </c>
      <c r="X185">
        <v>0.98</v>
      </c>
      <c r="Y185">
        <v>-0.203486</v>
      </c>
      <c r="Z185">
        <v>0.1184433164128596</v>
      </c>
      <c r="AA185">
        <v>0.5107794361525705</v>
      </c>
      <c r="AB185">
        <v>0.8766556291390728</v>
      </c>
      <c r="AC185">
        <v>0.3493377483443709</v>
      </c>
      <c r="AD185">
        <v>0.3725165562913907</v>
      </c>
    </row>
    <row r="186" spans="1:30">
      <c r="A186" s="1" t="s">
        <v>193</v>
      </c>
      <c r="B186">
        <f>HYPERLINK("https://www.suredividend.com/sure-analysis-UVV/","Universal Corp.")</f>
        <v>0</v>
      </c>
      <c r="C186">
        <v>43.09</v>
      </c>
      <c r="D186">
        <v>1078.5724</v>
      </c>
      <c r="E186" t="s">
        <v>646</v>
      </c>
      <c r="F186" t="s">
        <v>613</v>
      </c>
      <c r="G186" t="s">
        <v>653</v>
      </c>
      <c r="H186" t="s">
        <v>682</v>
      </c>
      <c r="I186" t="s">
        <v>870</v>
      </c>
      <c r="J186" t="s">
        <v>1284</v>
      </c>
      <c r="K186">
        <v>43881</v>
      </c>
      <c r="L186">
        <v>0.069304666056724</v>
      </c>
      <c r="M186">
        <v>-0.0004180797671246017</v>
      </c>
      <c r="N186">
        <v>0.025</v>
      </c>
      <c r="O186">
        <v>0.08501734105945058</v>
      </c>
      <c r="P186" t="s">
        <v>618</v>
      </c>
      <c r="Q186" t="s">
        <v>617</v>
      </c>
      <c r="R186">
        <v>48</v>
      </c>
      <c r="S186">
        <v>0.7670886075949366</v>
      </c>
      <c r="T186">
        <v>43</v>
      </c>
      <c r="U186">
        <v>1.002093023255814</v>
      </c>
      <c r="V186">
        <v>3.4906</v>
      </c>
      <c r="W186">
        <v>3.95</v>
      </c>
      <c r="X186">
        <v>3.03</v>
      </c>
      <c r="Y186">
        <v>-0.187512</v>
      </c>
      <c r="Z186">
        <v>0.7106598984771574</v>
      </c>
      <c r="AA186">
        <v>0.5406301824212272</v>
      </c>
      <c r="AB186">
        <v>0.1730132450331126</v>
      </c>
      <c r="AC186">
        <v>0.4188741721854305</v>
      </c>
      <c r="AD186">
        <v>0.3592715231788079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49.54</v>
      </c>
      <c r="D187">
        <v>8181.5006</v>
      </c>
      <c r="E187" t="s">
        <v>649</v>
      </c>
      <c r="F187" t="s">
        <v>615</v>
      </c>
      <c r="G187" t="s">
        <v>653</v>
      </c>
      <c r="H187" t="s">
        <v>682</v>
      </c>
      <c r="I187" t="s">
        <v>871</v>
      </c>
      <c r="J187" t="s">
        <v>1287</v>
      </c>
      <c r="K187">
        <v>43858</v>
      </c>
      <c r="L187">
        <v>0.041581632653061</v>
      </c>
      <c r="M187">
        <v>0.005825946934035819</v>
      </c>
      <c r="N187">
        <v>0.04</v>
      </c>
      <c r="O187">
        <v>0.08272631894500115</v>
      </c>
      <c r="P187" t="s">
        <v>618</v>
      </c>
      <c r="Q187" t="s">
        <v>618</v>
      </c>
      <c r="R187">
        <v>5</v>
      </c>
      <c r="S187">
        <v>0.3091805766312595</v>
      </c>
      <c r="T187">
        <v>51</v>
      </c>
      <c r="U187">
        <v>0.9713725490196078</v>
      </c>
      <c r="V187">
        <v>-4.549</v>
      </c>
      <c r="W187">
        <v>6.59</v>
      </c>
      <c r="X187">
        <v>2.0375</v>
      </c>
      <c r="Y187">
        <v>0.091071</v>
      </c>
      <c r="Z187">
        <v>0.4957698815566836</v>
      </c>
      <c r="AA187">
        <v>0.8524046434494196</v>
      </c>
      <c r="AB187">
        <v>0.3501655629139073</v>
      </c>
      <c r="AC187">
        <v>0.4635761589403973</v>
      </c>
      <c r="AD187">
        <v>0.3394039735099338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59.195</v>
      </c>
      <c r="D188">
        <v>250568.12</v>
      </c>
      <c r="E188" t="s">
        <v>643</v>
      </c>
      <c r="F188" t="s">
        <v>613</v>
      </c>
      <c r="G188" t="s">
        <v>653</v>
      </c>
      <c r="H188" t="s">
        <v>683</v>
      </c>
      <c r="I188" t="s">
        <v>872</v>
      </c>
      <c r="J188" t="s">
        <v>1286</v>
      </c>
      <c r="K188">
        <v>43945</v>
      </c>
      <c r="L188">
        <v>0.021544440689422</v>
      </c>
      <c r="M188">
        <v>0.01253747281928841</v>
      </c>
      <c r="N188">
        <v>0.05</v>
      </c>
      <c r="O188">
        <v>0.08265453397357958</v>
      </c>
      <c r="P188" t="s">
        <v>618</v>
      </c>
      <c r="Q188" t="s">
        <v>371</v>
      </c>
      <c r="R188">
        <v>6</v>
      </c>
      <c r="S188">
        <v>0.2639751552795031</v>
      </c>
      <c r="T188">
        <v>63</v>
      </c>
      <c r="U188">
        <v>0.9396031746031747</v>
      </c>
      <c r="V188">
        <v>5.2299</v>
      </c>
      <c r="W188">
        <v>4.83</v>
      </c>
      <c r="X188">
        <v>1.275</v>
      </c>
      <c r="Y188">
        <v>0.172345</v>
      </c>
      <c r="Z188">
        <v>0.22165820642978</v>
      </c>
      <c r="AA188">
        <v>0.9054726368159204</v>
      </c>
      <c r="AB188">
        <v>0.5033112582781457</v>
      </c>
      <c r="AC188">
        <v>0.4983443708609271</v>
      </c>
      <c r="AD188">
        <v>0.3377483443708609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122.21</v>
      </c>
      <c r="D189">
        <v>6506.19774</v>
      </c>
      <c r="E189" t="s">
        <v>644</v>
      </c>
      <c r="F189" t="s">
        <v>613</v>
      </c>
      <c r="G189" t="s">
        <v>653</v>
      </c>
      <c r="H189" t="s">
        <v>682</v>
      </c>
      <c r="I189" t="s">
        <v>873</v>
      </c>
      <c r="J189" t="s">
        <v>1278</v>
      </c>
      <c r="K189">
        <v>43945</v>
      </c>
      <c r="L189">
        <v>0.03391812865497</v>
      </c>
      <c r="M189">
        <v>0.04732819515732634</v>
      </c>
      <c r="N189">
        <v>0</v>
      </c>
      <c r="O189">
        <v>0.08217022959251041</v>
      </c>
      <c r="P189" t="s">
        <v>618</v>
      </c>
      <c r="Q189" t="s">
        <v>371</v>
      </c>
      <c r="R189">
        <v>10</v>
      </c>
      <c r="S189">
        <v>0.4437158469945355</v>
      </c>
      <c r="T189">
        <v>154</v>
      </c>
      <c r="U189">
        <v>0.7935714285714285</v>
      </c>
      <c r="V189">
        <v>11.8945</v>
      </c>
      <c r="W189">
        <v>9.15</v>
      </c>
      <c r="X189">
        <v>4.06</v>
      </c>
      <c r="Y189">
        <v>-0.289909</v>
      </c>
      <c r="Z189">
        <v>0.3993231810490694</v>
      </c>
      <c r="AA189">
        <v>0.3880597014925373</v>
      </c>
      <c r="AB189">
        <v>0.02897350993377483</v>
      </c>
      <c r="AC189">
        <v>0.6473509933774834</v>
      </c>
      <c r="AD189">
        <v>0.3360927152317881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44.6</v>
      </c>
      <c r="D190">
        <v>192196.3275</v>
      </c>
      <c r="E190" t="s">
        <v>644</v>
      </c>
      <c r="F190" t="s">
        <v>613</v>
      </c>
      <c r="G190" t="s">
        <v>653</v>
      </c>
      <c r="H190" t="s">
        <v>682</v>
      </c>
      <c r="I190" t="s">
        <v>874</v>
      </c>
      <c r="J190" t="s">
        <v>1284</v>
      </c>
      <c r="K190">
        <v>43956</v>
      </c>
      <c r="L190">
        <v>0.035977653631284</v>
      </c>
      <c r="M190">
        <v>-0.02153560582859626</v>
      </c>
      <c r="N190">
        <v>0.07000000000000001</v>
      </c>
      <c r="O190">
        <v>0.08117252305813505</v>
      </c>
      <c r="P190" t="s">
        <v>618</v>
      </c>
      <c r="Q190" t="s">
        <v>618</v>
      </c>
      <c r="R190">
        <v>58</v>
      </c>
      <c r="S190">
        <v>0.8473684210526315</v>
      </c>
      <c r="T190">
        <v>40</v>
      </c>
      <c r="U190">
        <v>1.115</v>
      </c>
      <c r="V190">
        <v>2.3404</v>
      </c>
      <c r="W190">
        <v>1.9</v>
      </c>
      <c r="X190">
        <v>1.61</v>
      </c>
      <c r="Y190">
        <v>-0.06770799999999999</v>
      </c>
      <c r="Z190">
        <v>0.4314720812182741</v>
      </c>
      <c r="AA190">
        <v>0.6898839137645107</v>
      </c>
      <c r="AB190">
        <v>0.7442052980132451</v>
      </c>
      <c r="AC190">
        <v>0.3311258278145695</v>
      </c>
      <c r="AD190">
        <v>0.3327814569536424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233.46</v>
      </c>
      <c r="D191">
        <v>139173.35773</v>
      </c>
      <c r="E191" t="s">
        <v>643</v>
      </c>
      <c r="F191" t="s">
        <v>613</v>
      </c>
      <c r="G191" t="s">
        <v>653</v>
      </c>
      <c r="H191" t="s">
        <v>683</v>
      </c>
      <c r="I191" t="s">
        <v>875</v>
      </c>
      <c r="J191" t="s">
        <v>1283</v>
      </c>
      <c r="K191">
        <v>43953</v>
      </c>
      <c r="L191">
        <v>0.025148991926962</v>
      </c>
      <c r="M191">
        <v>-0.03437451767286992</v>
      </c>
      <c r="N191">
        <v>0.09</v>
      </c>
      <c r="O191">
        <v>0.08018748741524173</v>
      </c>
      <c r="P191" t="s">
        <v>618</v>
      </c>
      <c r="Q191" t="s">
        <v>371</v>
      </c>
      <c r="R191">
        <v>10</v>
      </c>
      <c r="S191">
        <v>0.3906762967826658</v>
      </c>
      <c r="T191">
        <v>196</v>
      </c>
      <c r="U191">
        <v>1.191122448979592</v>
      </c>
      <c r="V191">
        <v>12.8403</v>
      </c>
      <c r="W191">
        <v>15.23</v>
      </c>
      <c r="X191">
        <v>5.95</v>
      </c>
      <c r="Y191">
        <v>0.360729</v>
      </c>
      <c r="Z191">
        <v>0.2910321489001692</v>
      </c>
      <c r="AA191">
        <v>0.966832504145937</v>
      </c>
      <c r="AB191">
        <v>0.8766556291390728</v>
      </c>
      <c r="AC191">
        <v>0.2549668874172186</v>
      </c>
      <c r="AD191">
        <v>0.3311258278145695</v>
      </c>
    </row>
    <row r="192" spans="1:30">
      <c r="A192" s="1" t="s">
        <v>199</v>
      </c>
      <c r="B192">
        <f>HYPERLINK("https://www.suredividend.com/sure-analysis-DPZ/","Domino's Pizza, Inc.")</f>
        <v>0</v>
      </c>
      <c r="C192">
        <v>367.17</v>
      </c>
      <c r="D192">
        <v>14564.846215</v>
      </c>
      <c r="E192" t="s">
        <v>648</v>
      </c>
      <c r="F192" t="s">
        <v>613</v>
      </c>
      <c r="G192" t="s">
        <v>653</v>
      </c>
      <c r="H192" t="s">
        <v>682</v>
      </c>
      <c r="I192" t="s">
        <v>876</v>
      </c>
      <c r="J192" t="s">
        <v>1280</v>
      </c>
      <c r="K192">
        <v>43945</v>
      </c>
      <c r="L192">
        <v>0.007332796132151</v>
      </c>
      <c r="M192">
        <v>-0.05074291079758664</v>
      </c>
      <c r="N192">
        <v>0.12</v>
      </c>
      <c r="O192">
        <v>0.07273641720050383</v>
      </c>
      <c r="P192" t="s">
        <v>618</v>
      </c>
      <c r="Q192" t="s">
        <v>317</v>
      </c>
      <c r="R192">
        <v>7</v>
      </c>
      <c r="S192">
        <v>0.2373913043478261</v>
      </c>
      <c r="T192">
        <v>283</v>
      </c>
      <c r="U192">
        <v>1.297420494699647</v>
      </c>
      <c r="V192">
        <v>10.7072</v>
      </c>
      <c r="W192">
        <v>11.5</v>
      </c>
      <c r="X192">
        <v>2.73</v>
      </c>
      <c r="Y192">
        <v>0.342154</v>
      </c>
      <c r="Z192">
        <v>0.02368866328257191</v>
      </c>
      <c r="AA192">
        <v>0.9601990049751243</v>
      </c>
      <c r="AB192">
        <v>0.9354304635761589</v>
      </c>
      <c r="AC192">
        <v>0.1970198675496689</v>
      </c>
      <c r="AD192">
        <v>0.2864238410596027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19.45</v>
      </c>
      <c r="D193">
        <v>7999.65837</v>
      </c>
      <c r="E193" t="s">
        <v>642</v>
      </c>
      <c r="F193" t="s">
        <v>613</v>
      </c>
      <c r="G193" t="s">
        <v>653</v>
      </c>
      <c r="H193" t="s">
        <v>682</v>
      </c>
      <c r="I193" t="s">
        <v>877</v>
      </c>
      <c r="J193" t="s">
        <v>1277</v>
      </c>
      <c r="K193">
        <v>43878</v>
      </c>
      <c r="L193">
        <v>0.042372881355932</v>
      </c>
      <c r="M193">
        <v>0.01545325912735485</v>
      </c>
      <c r="N193">
        <v>0.01</v>
      </c>
      <c r="O193">
        <v>0.07013405660541006</v>
      </c>
      <c r="P193" t="s">
        <v>618</v>
      </c>
      <c r="Q193" t="s">
        <v>618</v>
      </c>
      <c r="R193">
        <v>5</v>
      </c>
      <c r="S193">
        <v>0.4296875000000001</v>
      </c>
      <c r="T193">
        <v>21</v>
      </c>
      <c r="U193">
        <v>0.9261904761904761</v>
      </c>
      <c r="V193">
        <v>2.498</v>
      </c>
      <c r="W193">
        <v>1.92</v>
      </c>
      <c r="X193">
        <v>0.8250000000000001</v>
      </c>
      <c r="Y193">
        <v>0.014063</v>
      </c>
      <c r="Z193">
        <v>0.5076142131979695</v>
      </c>
      <c r="AA193">
        <v>0.7728026533996684</v>
      </c>
      <c r="AB193">
        <v>0.05711920529801325</v>
      </c>
      <c r="AC193">
        <v>0.5082781456953642</v>
      </c>
      <c r="AD193">
        <v>0.2781456953642384</v>
      </c>
    </row>
    <row r="194" spans="1:30">
      <c r="A194" s="1" t="s">
        <v>201</v>
      </c>
      <c r="B194">
        <f>HYPERLINK("https://www.suredividend.com/sure-analysis-DE/","Deere &amp; Co.")</f>
        <v>0</v>
      </c>
      <c r="C194">
        <v>136</v>
      </c>
      <c r="D194">
        <v>41438.6106</v>
      </c>
      <c r="E194" t="s">
        <v>641</v>
      </c>
      <c r="F194" t="s">
        <v>613</v>
      </c>
      <c r="G194" t="s">
        <v>653</v>
      </c>
      <c r="H194" t="s">
        <v>682</v>
      </c>
      <c r="I194" t="s">
        <v>878</v>
      </c>
      <c r="J194" t="s">
        <v>1278</v>
      </c>
      <c r="K194">
        <v>43886</v>
      </c>
      <c r="L194">
        <v>0.023007643986982</v>
      </c>
      <c r="M194">
        <v>-0.01205171365803037</v>
      </c>
      <c r="N194">
        <v>0.06</v>
      </c>
      <c r="O194">
        <v>0.06846108650751814</v>
      </c>
      <c r="P194" t="s">
        <v>618</v>
      </c>
      <c r="Q194" t="s">
        <v>371</v>
      </c>
      <c r="R194">
        <v>3</v>
      </c>
      <c r="S194">
        <v>0.33224043715847</v>
      </c>
      <c r="T194">
        <v>128</v>
      </c>
      <c r="U194">
        <v>1.0625</v>
      </c>
      <c r="V194">
        <v>10.356</v>
      </c>
      <c r="W194">
        <v>9.15</v>
      </c>
      <c r="X194">
        <v>3.04</v>
      </c>
      <c r="Y194">
        <v>-0.162462</v>
      </c>
      <c r="Z194">
        <v>0.2554991539763113</v>
      </c>
      <c r="AA194">
        <v>0.582089552238806</v>
      </c>
      <c r="AB194">
        <v>0.6423841059602649</v>
      </c>
      <c r="AC194">
        <v>0.3758278145695364</v>
      </c>
      <c r="AD194">
        <v>0.2698675496688742</v>
      </c>
    </row>
    <row r="195" spans="1:30">
      <c r="A195" s="1" t="s">
        <v>202</v>
      </c>
      <c r="B195">
        <f>HYPERLINK("https://www.suredividend.com/sure-analysis-HD/","The Home Depot, Inc.")</f>
        <v>0</v>
      </c>
      <c r="C195">
        <v>229.45</v>
      </c>
      <c r="D195">
        <v>240516.9504</v>
      </c>
      <c r="E195" t="s">
        <v>650</v>
      </c>
      <c r="F195" t="s">
        <v>613</v>
      </c>
      <c r="G195" t="s">
        <v>653</v>
      </c>
      <c r="H195" t="s">
        <v>682</v>
      </c>
      <c r="I195" t="s">
        <v>879</v>
      </c>
      <c r="J195" t="s">
        <v>1280</v>
      </c>
      <c r="K195">
        <v>43916</v>
      </c>
      <c r="L195">
        <v>0.024294390853876</v>
      </c>
      <c r="M195">
        <v>-0.02807444136720783</v>
      </c>
      <c r="N195">
        <v>0.07000000000000001</v>
      </c>
      <c r="O195">
        <v>0.06613185211772454</v>
      </c>
      <c r="P195" t="s">
        <v>618</v>
      </c>
      <c r="Q195" t="s">
        <v>317</v>
      </c>
      <c r="R195">
        <v>11</v>
      </c>
      <c r="S195">
        <v>0.5205741626794259</v>
      </c>
      <c r="T195">
        <v>199</v>
      </c>
      <c r="U195">
        <v>1.153015075376884</v>
      </c>
      <c r="V195">
        <v>10.2932</v>
      </c>
      <c r="W195">
        <v>10.45</v>
      </c>
      <c r="X195">
        <v>5.44</v>
      </c>
      <c r="Y195">
        <v>0.149664</v>
      </c>
      <c r="Z195">
        <v>0.2758037225042301</v>
      </c>
      <c r="AA195">
        <v>0.8971807628524047</v>
      </c>
      <c r="AB195">
        <v>0.7442052980132451</v>
      </c>
      <c r="AC195">
        <v>0.2798013245033112</v>
      </c>
      <c r="AD195">
        <v>0.2615894039735099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85.38</v>
      </c>
      <c r="D196">
        <v>15255.00945</v>
      </c>
      <c r="E196" t="s">
        <v>644</v>
      </c>
      <c r="F196" t="s">
        <v>613</v>
      </c>
      <c r="G196" t="s">
        <v>653</v>
      </c>
      <c r="H196" t="s">
        <v>682</v>
      </c>
      <c r="I196" t="s">
        <v>880</v>
      </c>
      <c r="J196" t="s">
        <v>1277</v>
      </c>
      <c r="K196">
        <v>43955</v>
      </c>
      <c r="L196">
        <v>0.021628340584213</v>
      </c>
      <c r="M196">
        <v>-0.01293269396057783</v>
      </c>
      <c r="N196">
        <v>0.06</v>
      </c>
      <c r="O196">
        <v>0.065554493026039</v>
      </c>
      <c r="P196" t="s">
        <v>618</v>
      </c>
      <c r="Q196" t="s">
        <v>317</v>
      </c>
      <c r="R196">
        <v>10</v>
      </c>
      <c r="S196">
        <v>0.435</v>
      </c>
      <c r="T196">
        <v>80</v>
      </c>
      <c r="U196">
        <v>1.06725</v>
      </c>
      <c r="V196">
        <v>3.6278</v>
      </c>
      <c r="W196">
        <v>4</v>
      </c>
      <c r="X196">
        <v>1.74</v>
      </c>
      <c r="Y196">
        <v>-0.022003</v>
      </c>
      <c r="Z196">
        <v>0.2284263959390863</v>
      </c>
      <c r="AA196">
        <v>0.7313432835820897</v>
      </c>
      <c r="AB196">
        <v>0.6423841059602649</v>
      </c>
      <c r="AC196">
        <v>0.3708609271523178</v>
      </c>
      <c r="AD196">
        <v>0.2582781456953642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113.53</v>
      </c>
      <c r="D197">
        <v>13017.4377</v>
      </c>
      <c r="E197" t="s">
        <v>641</v>
      </c>
      <c r="F197" t="s">
        <v>613</v>
      </c>
      <c r="G197" t="s">
        <v>653</v>
      </c>
      <c r="H197" t="s">
        <v>682</v>
      </c>
      <c r="I197" t="s">
        <v>881</v>
      </c>
      <c r="J197" t="s">
        <v>1284</v>
      </c>
      <c r="K197">
        <v>43888</v>
      </c>
      <c r="L197">
        <v>0.030573806395094</v>
      </c>
      <c r="M197">
        <v>-0.01363183838785209</v>
      </c>
      <c r="N197">
        <v>0.05</v>
      </c>
      <c r="O197">
        <v>0.0640835355121776</v>
      </c>
      <c r="P197" t="s">
        <v>618</v>
      </c>
      <c r="Q197" t="s">
        <v>371</v>
      </c>
      <c r="R197">
        <v>22</v>
      </c>
      <c r="S197">
        <v>0.527190332326284</v>
      </c>
      <c r="T197">
        <v>106</v>
      </c>
      <c r="U197">
        <v>1.071037735849057</v>
      </c>
      <c r="V197">
        <v>5.4787</v>
      </c>
      <c r="W197">
        <v>6.62</v>
      </c>
      <c r="X197">
        <v>3.49</v>
      </c>
      <c r="Y197">
        <v>-0.08745699999999999</v>
      </c>
      <c r="Z197">
        <v>0.3620981387478849</v>
      </c>
      <c r="AA197">
        <v>0.6650082918739635</v>
      </c>
      <c r="AB197">
        <v>0.5033112582781457</v>
      </c>
      <c r="AC197">
        <v>0.369205298013245</v>
      </c>
      <c r="AD197">
        <v>0.2516556291390729</v>
      </c>
    </row>
    <row r="198" spans="1:30">
      <c r="A198" s="1" t="s">
        <v>205</v>
      </c>
      <c r="B198">
        <f>HYPERLINK("https://www.suredividend.com/sure-analysis-GILD/","Gilead Sciences, Inc.")</f>
        <v>0</v>
      </c>
      <c r="C198">
        <v>77.61</v>
      </c>
      <c r="D198">
        <v>97536.2794</v>
      </c>
      <c r="E198" t="s">
        <v>646</v>
      </c>
      <c r="F198" t="s">
        <v>613</v>
      </c>
      <c r="G198" t="s">
        <v>653</v>
      </c>
      <c r="H198" t="s">
        <v>683</v>
      </c>
      <c r="I198" t="s">
        <v>882</v>
      </c>
      <c r="J198" t="s">
        <v>1283</v>
      </c>
      <c r="K198">
        <v>43867</v>
      </c>
      <c r="L198">
        <v>0.033174131922034</v>
      </c>
      <c r="M198">
        <v>-0.02324356417968965</v>
      </c>
      <c r="N198">
        <v>0.05</v>
      </c>
      <c r="O198">
        <v>0.06188568648757631</v>
      </c>
      <c r="P198" t="s">
        <v>618</v>
      </c>
      <c r="Q198" t="s">
        <v>371</v>
      </c>
      <c r="R198">
        <v>5</v>
      </c>
      <c r="S198">
        <v>0.4112000000000001</v>
      </c>
      <c r="T198">
        <v>69</v>
      </c>
      <c r="U198">
        <v>1.124782608695652</v>
      </c>
      <c r="V198">
        <v>3.9194</v>
      </c>
      <c r="W198">
        <v>6.25</v>
      </c>
      <c r="X198">
        <v>2.57</v>
      </c>
      <c r="Y198">
        <v>0.166717</v>
      </c>
      <c r="Z198">
        <v>0.3959390862944162</v>
      </c>
      <c r="AA198">
        <v>0.9021558872305141</v>
      </c>
      <c r="AB198">
        <v>0.5033112582781457</v>
      </c>
      <c r="AC198">
        <v>0.3162251655629139</v>
      </c>
      <c r="AD198">
        <v>0.2483443708609272</v>
      </c>
    </row>
    <row r="199" spans="1:30">
      <c r="A199" s="1" t="s">
        <v>206</v>
      </c>
      <c r="B199">
        <f>HYPERLINK("https://www.suredividend.com/sure-analysis-AROW/","Arrow Financial Corp.")</f>
        <v>0</v>
      </c>
      <c r="C199">
        <v>26.32</v>
      </c>
      <c r="D199">
        <v>394.62588</v>
      </c>
      <c r="E199" t="s">
        <v>644</v>
      </c>
      <c r="F199" t="s">
        <v>613</v>
      </c>
      <c r="G199" t="s">
        <v>653</v>
      </c>
      <c r="H199" t="s">
        <v>683</v>
      </c>
      <c r="I199" t="s">
        <v>883</v>
      </c>
      <c r="J199" t="s">
        <v>1277</v>
      </c>
      <c r="K199">
        <v>43951</v>
      </c>
      <c r="L199">
        <v>0.038908883826879</v>
      </c>
      <c r="M199">
        <v>0.01245196889366262</v>
      </c>
      <c r="N199">
        <v>0.01</v>
      </c>
      <c r="O199">
        <v>0.06046795510249803</v>
      </c>
      <c r="P199" t="s">
        <v>618</v>
      </c>
      <c r="Q199" t="s">
        <v>618</v>
      </c>
      <c r="R199">
        <v>26</v>
      </c>
      <c r="S199">
        <v>0.4455913043478262</v>
      </c>
      <c r="T199">
        <v>28</v>
      </c>
      <c r="U199">
        <v>0.9400000000000001</v>
      </c>
      <c r="V199">
        <v>2.4641</v>
      </c>
      <c r="W199">
        <v>2.3</v>
      </c>
      <c r="X199">
        <v>1.02486</v>
      </c>
      <c r="Y199">
        <v>-0.19899</v>
      </c>
      <c r="Z199">
        <v>0.4653130287648054</v>
      </c>
      <c r="AA199">
        <v>0.5207296849087893</v>
      </c>
      <c r="AB199">
        <v>0.05711920529801325</v>
      </c>
      <c r="AC199">
        <v>0.4958609271523178</v>
      </c>
      <c r="AD199">
        <v>0.2466887417218543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156.22</v>
      </c>
      <c r="D200">
        <v>104703.0424</v>
      </c>
      <c r="E200" t="s">
        <v>643</v>
      </c>
      <c r="F200" t="s">
        <v>613</v>
      </c>
      <c r="G200" t="s">
        <v>653</v>
      </c>
      <c r="H200" t="s">
        <v>682</v>
      </c>
      <c r="I200" t="s">
        <v>884</v>
      </c>
      <c r="J200" t="s">
        <v>1278</v>
      </c>
      <c r="K200">
        <v>43944</v>
      </c>
      <c r="L200">
        <v>0.024562540505508</v>
      </c>
      <c r="M200">
        <v>-0.03167085956788496</v>
      </c>
      <c r="N200">
        <v>0.07000000000000001</v>
      </c>
      <c r="O200">
        <v>0.05998747288047102</v>
      </c>
      <c r="P200" t="s">
        <v>618</v>
      </c>
      <c r="Q200" t="s">
        <v>317</v>
      </c>
      <c r="R200">
        <v>13</v>
      </c>
      <c r="S200">
        <v>0.4815756035578145</v>
      </c>
      <c r="T200">
        <v>133</v>
      </c>
      <c r="U200">
        <v>1.174586466165414</v>
      </c>
      <c r="V200">
        <v>8.634600000000001</v>
      </c>
      <c r="W200">
        <v>7.87</v>
      </c>
      <c r="X200">
        <v>3.79</v>
      </c>
      <c r="Y200">
        <v>-0.117024</v>
      </c>
      <c r="Z200">
        <v>0.2825719120135364</v>
      </c>
      <c r="AA200">
        <v>0.6401326699834162</v>
      </c>
      <c r="AB200">
        <v>0.7442052980132451</v>
      </c>
      <c r="AC200">
        <v>0.2582781456953642</v>
      </c>
      <c r="AD200">
        <v>0.2433774834437086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74.06999999999999</v>
      </c>
      <c r="D201">
        <v>24841.13488</v>
      </c>
      <c r="E201" t="s">
        <v>643</v>
      </c>
      <c r="F201" t="s">
        <v>613</v>
      </c>
      <c r="G201" t="s">
        <v>653</v>
      </c>
      <c r="H201" t="s">
        <v>682</v>
      </c>
      <c r="I201" t="s">
        <v>885</v>
      </c>
      <c r="J201" t="s">
        <v>1287</v>
      </c>
      <c r="K201">
        <v>43882</v>
      </c>
      <c r="L201">
        <v>0.03979564399031901</v>
      </c>
      <c r="M201">
        <v>-0.01695519239856502</v>
      </c>
      <c r="N201">
        <v>0.035</v>
      </c>
      <c r="O201">
        <v>0.05701326259457429</v>
      </c>
      <c r="P201" t="s">
        <v>618</v>
      </c>
      <c r="Q201" t="s">
        <v>618</v>
      </c>
      <c r="R201">
        <v>46</v>
      </c>
      <c r="S201">
        <v>0.6727272727272726</v>
      </c>
      <c r="T201">
        <v>68</v>
      </c>
      <c r="U201">
        <v>1.089264705882353</v>
      </c>
      <c r="V201">
        <v>4.0888</v>
      </c>
      <c r="W201">
        <v>4.4</v>
      </c>
      <c r="X201">
        <v>2.96</v>
      </c>
      <c r="Y201">
        <v>-0.127098</v>
      </c>
      <c r="Z201">
        <v>0.4788494077834179</v>
      </c>
      <c r="AA201">
        <v>0.6235489220563847</v>
      </c>
      <c r="AB201">
        <v>0.2698675496688742</v>
      </c>
      <c r="AC201">
        <v>0.3526490066225165</v>
      </c>
      <c r="AD201">
        <v>0.2301324503311258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35.01</v>
      </c>
      <c r="D202">
        <v>325.45296</v>
      </c>
      <c r="E202" t="s">
        <v>649</v>
      </c>
      <c r="F202" t="s">
        <v>613</v>
      </c>
      <c r="G202" t="s">
        <v>653</v>
      </c>
      <c r="H202" t="s">
        <v>683</v>
      </c>
      <c r="I202" t="s">
        <v>886</v>
      </c>
      <c r="J202" t="s">
        <v>1287</v>
      </c>
      <c r="K202">
        <v>43936</v>
      </c>
      <c r="L202">
        <v>0.028097686375321</v>
      </c>
      <c r="M202">
        <v>-0.005837537050733421</v>
      </c>
      <c r="N202">
        <v>0.036</v>
      </c>
      <c r="O202">
        <v>0.05633678405383491</v>
      </c>
      <c r="P202" t="s">
        <v>618</v>
      </c>
      <c r="Q202" t="s">
        <v>371</v>
      </c>
      <c r="R202">
        <v>25</v>
      </c>
      <c r="S202">
        <v>0.5855357142857143</v>
      </c>
      <c r="T202">
        <v>34</v>
      </c>
      <c r="U202">
        <v>1.029705882352941</v>
      </c>
      <c r="V202">
        <v>1.6089</v>
      </c>
      <c r="W202">
        <v>1.68</v>
      </c>
      <c r="X202">
        <v>0.9837</v>
      </c>
      <c r="Y202">
        <v>-0.029118</v>
      </c>
      <c r="Z202">
        <v>0.3299492385786802</v>
      </c>
      <c r="AA202">
        <v>0.724709784411277</v>
      </c>
      <c r="AB202">
        <v>0.2806291390728477</v>
      </c>
      <c r="AC202">
        <v>0.3973509933774835</v>
      </c>
      <c r="AD202">
        <v>0.2251655629139073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41.36</v>
      </c>
      <c r="D203">
        <v>28699.93035</v>
      </c>
      <c r="E203" t="s">
        <v>649</v>
      </c>
      <c r="F203" t="s">
        <v>613</v>
      </c>
      <c r="G203" t="s">
        <v>653</v>
      </c>
      <c r="H203" t="s">
        <v>683</v>
      </c>
      <c r="I203" t="s">
        <v>887</v>
      </c>
      <c r="J203" t="s">
        <v>1280</v>
      </c>
      <c r="K203">
        <v>43915</v>
      </c>
      <c r="L203">
        <v>0.014163614163614</v>
      </c>
      <c r="M203">
        <v>-0.02737731611282146</v>
      </c>
      <c r="N203">
        <v>0.07000000000000001</v>
      </c>
      <c r="O203">
        <v>0.05526745535675159</v>
      </c>
      <c r="P203" t="s">
        <v>618</v>
      </c>
      <c r="Q203" t="s">
        <v>317</v>
      </c>
      <c r="R203">
        <v>1</v>
      </c>
      <c r="S203">
        <v>0.1933333333333333</v>
      </c>
      <c r="T203">
        <v>36</v>
      </c>
      <c r="U203">
        <v>1.148888888888889</v>
      </c>
      <c r="V203">
        <v>6.0637</v>
      </c>
      <c r="W203">
        <v>3</v>
      </c>
      <c r="X203">
        <v>0.58</v>
      </c>
      <c r="Y203">
        <v>0.086783</v>
      </c>
      <c r="Z203">
        <v>0.1015228426395939</v>
      </c>
      <c r="AA203">
        <v>0.8490878938640133</v>
      </c>
      <c r="AB203">
        <v>0.7442052980132451</v>
      </c>
      <c r="AC203">
        <v>0.2864238410596027</v>
      </c>
      <c r="AD203">
        <v>0.2185430463576159</v>
      </c>
    </row>
    <row r="204" spans="1:30">
      <c r="A204" s="1" t="s">
        <v>211</v>
      </c>
      <c r="B204">
        <f>HYPERLINK("https://www.suredividend.com/sure-analysis-UBSI/","United Bankshares, Inc. (West Virginia)")</f>
        <v>0</v>
      </c>
      <c r="C204">
        <v>26.175</v>
      </c>
      <c r="D204">
        <v>3446.9568</v>
      </c>
      <c r="E204" t="s">
        <v>644</v>
      </c>
      <c r="F204" t="s">
        <v>613</v>
      </c>
      <c r="G204" t="s">
        <v>653</v>
      </c>
      <c r="H204" t="s">
        <v>683</v>
      </c>
      <c r="I204" t="s">
        <v>888</v>
      </c>
      <c r="J204" t="s">
        <v>1277</v>
      </c>
      <c r="K204">
        <v>43956</v>
      </c>
      <c r="L204">
        <v>0.051957831325301</v>
      </c>
      <c r="M204">
        <v>-0.0172005375389892</v>
      </c>
      <c r="N204">
        <v>0.02</v>
      </c>
      <c r="O204">
        <v>0.0533427767475203</v>
      </c>
      <c r="P204" t="s">
        <v>618</v>
      </c>
      <c r="Q204" t="s">
        <v>617</v>
      </c>
      <c r="R204">
        <v>46</v>
      </c>
      <c r="S204">
        <v>0.6899999999999999</v>
      </c>
      <c r="T204">
        <v>24</v>
      </c>
      <c r="U204">
        <v>1.090625</v>
      </c>
      <c r="V204">
        <v>2.3295</v>
      </c>
      <c r="W204">
        <v>2</v>
      </c>
      <c r="X204">
        <v>1.38</v>
      </c>
      <c r="Y204">
        <v>-0.3181</v>
      </c>
      <c r="Z204">
        <v>0.6142131979695431</v>
      </c>
      <c r="AA204">
        <v>0.3582089552238806</v>
      </c>
      <c r="AB204">
        <v>0.130794701986755</v>
      </c>
      <c r="AC204">
        <v>0.3509933774834437</v>
      </c>
      <c r="AD204">
        <v>0.2135761589403974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92.77</v>
      </c>
      <c r="D205">
        <v>18609.61872</v>
      </c>
      <c r="E205" t="s">
        <v>646</v>
      </c>
      <c r="F205" t="s">
        <v>613</v>
      </c>
      <c r="G205" t="s">
        <v>653</v>
      </c>
      <c r="H205" t="s">
        <v>682</v>
      </c>
      <c r="I205" t="s">
        <v>889</v>
      </c>
      <c r="J205" t="s">
        <v>1287</v>
      </c>
      <c r="K205">
        <v>43884</v>
      </c>
      <c r="L205">
        <v>0.039494982194885</v>
      </c>
      <c r="M205">
        <v>-0.01966536622238602</v>
      </c>
      <c r="N205">
        <v>0.035</v>
      </c>
      <c r="O205">
        <v>0.05249034282973475</v>
      </c>
      <c r="P205" t="s">
        <v>618</v>
      </c>
      <c r="Q205" t="s">
        <v>618</v>
      </c>
      <c r="R205">
        <v>26</v>
      </c>
      <c r="S205">
        <v>0.6535714285714287</v>
      </c>
      <c r="T205">
        <v>84</v>
      </c>
      <c r="U205">
        <v>1.104404761904762</v>
      </c>
      <c r="V205">
        <v>6.3373</v>
      </c>
      <c r="W205">
        <v>5.6</v>
      </c>
      <c r="X205">
        <v>3.66</v>
      </c>
      <c r="Y205">
        <v>-0.039789</v>
      </c>
      <c r="Z205">
        <v>0.4720812182741117</v>
      </c>
      <c r="AA205">
        <v>0.7114427860696517</v>
      </c>
      <c r="AB205">
        <v>0.2698675496688742</v>
      </c>
      <c r="AC205">
        <v>0.3410596026490066</v>
      </c>
      <c r="AD205">
        <v>0.206953642384106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130.53</v>
      </c>
      <c r="D206">
        <v>27401.127924</v>
      </c>
      <c r="E206" t="s">
        <v>641</v>
      </c>
      <c r="F206" t="s">
        <v>613</v>
      </c>
      <c r="G206" t="s">
        <v>653</v>
      </c>
      <c r="H206" t="s">
        <v>682</v>
      </c>
      <c r="I206" t="s">
        <v>890</v>
      </c>
      <c r="J206" t="s">
        <v>1284</v>
      </c>
      <c r="K206">
        <v>43951</v>
      </c>
      <c r="L206">
        <v>0.023085098307143</v>
      </c>
      <c r="M206">
        <v>-0.0301567736059013</v>
      </c>
      <c r="N206">
        <v>0.06</v>
      </c>
      <c r="O206">
        <v>0.0522162059567941</v>
      </c>
      <c r="P206" t="s">
        <v>618</v>
      </c>
      <c r="Q206" t="s">
        <v>317</v>
      </c>
      <c r="R206">
        <v>10</v>
      </c>
      <c r="S206">
        <v>0.5154237288135592</v>
      </c>
      <c r="T206">
        <v>112</v>
      </c>
      <c r="U206">
        <v>1.165446428571429</v>
      </c>
      <c r="V206">
        <v>5.331</v>
      </c>
      <c r="W206">
        <v>5.9</v>
      </c>
      <c r="X206">
        <v>3.041</v>
      </c>
      <c r="Y206">
        <v>0.059689</v>
      </c>
      <c r="Z206">
        <v>0.2588832487309645</v>
      </c>
      <c r="AA206">
        <v>0.8208955223880596</v>
      </c>
      <c r="AB206">
        <v>0.6423841059602649</v>
      </c>
      <c r="AC206">
        <v>0.271523178807947</v>
      </c>
      <c r="AD206">
        <v>0.2052980132450331</v>
      </c>
    </row>
    <row r="207" spans="1:30">
      <c r="A207" s="1" t="s">
        <v>214</v>
      </c>
      <c r="B207">
        <f>HYPERLINK("https://www.suredividend.com/sure-analysis-BLK/","BlackRock, Inc.")</f>
        <v>0</v>
      </c>
      <c r="C207">
        <v>497.39</v>
      </c>
      <c r="D207">
        <v>74968.5724</v>
      </c>
      <c r="E207" t="s">
        <v>645</v>
      </c>
      <c r="F207" t="s">
        <v>613</v>
      </c>
      <c r="G207" t="s">
        <v>653</v>
      </c>
      <c r="H207" t="s">
        <v>682</v>
      </c>
      <c r="I207" t="s">
        <v>891</v>
      </c>
      <c r="J207" t="s">
        <v>1277</v>
      </c>
      <c r="K207">
        <v>43944</v>
      </c>
      <c r="L207">
        <v>0.027989242863053</v>
      </c>
      <c r="M207">
        <v>-0.04602037285029414</v>
      </c>
      <c r="N207">
        <v>0.07000000000000001</v>
      </c>
      <c r="O207">
        <v>0.05189612407390465</v>
      </c>
      <c r="P207" t="s">
        <v>618</v>
      </c>
      <c r="Q207" t="s">
        <v>371</v>
      </c>
      <c r="R207">
        <v>10</v>
      </c>
      <c r="S207">
        <v>0.516412213740458</v>
      </c>
      <c r="T207">
        <v>393</v>
      </c>
      <c r="U207">
        <v>1.265623409669211</v>
      </c>
      <c r="V207">
        <v>27.2411</v>
      </c>
      <c r="W207">
        <v>26.2</v>
      </c>
      <c r="X207">
        <v>13.53</v>
      </c>
      <c r="Y207">
        <v>0.042327</v>
      </c>
      <c r="Z207">
        <v>0.3282571912013536</v>
      </c>
      <c r="AA207">
        <v>0.8026533996683249</v>
      </c>
      <c r="AB207">
        <v>0.7442052980132451</v>
      </c>
      <c r="AC207">
        <v>0.206953642384106</v>
      </c>
      <c r="AD207">
        <v>0.2019867549668874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184.79</v>
      </c>
      <c r="D208">
        <v>93981.3189</v>
      </c>
      <c r="E208" t="s">
        <v>646</v>
      </c>
      <c r="F208" t="s">
        <v>613</v>
      </c>
      <c r="G208" t="s">
        <v>655</v>
      </c>
      <c r="H208" t="s">
        <v>682</v>
      </c>
      <c r="I208" t="s">
        <v>892</v>
      </c>
      <c r="J208" t="s">
        <v>1281</v>
      </c>
      <c r="K208">
        <v>43881</v>
      </c>
      <c r="L208">
        <v>0.019558535903883</v>
      </c>
      <c r="M208">
        <v>-0.0259812665386886</v>
      </c>
      <c r="N208">
        <v>0.06</v>
      </c>
      <c r="O208">
        <v>0.05112278044892427</v>
      </c>
      <c r="P208" t="s">
        <v>618</v>
      </c>
      <c r="Q208" t="s">
        <v>371</v>
      </c>
      <c r="R208">
        <v>26</v>
      </c>
      <c r="S208">
        <v>0.4310344827586207</v>
      </c>
      <c r="T208">
        <v>162</v>
      </c>
      <c r="U208">
        <v>1.140679012345679</v>
      </c>
      <c r="V208">
        <v>4.2235</v>
      </c>
      <c r="W208">
        <v>8.119999999999999</v>
      </c>
      <c r="X208">
        <v>3.5</v>
      </c>
      <c r="Y208">
        <v>0.02509</v>
      </c>
      <c r="Z208">
        <v>0.1861252115059222</v>
      </c>
      <c r="AA208">
        <v>0.7827529021558872</v>
      </c>
      <c r="AB208">
        <v>0.6423841059602649</v>
      </c>
      <c r="AC208">
        <v>0.2947019867549669</v>
      </c>
      <c r="AD208">
        <v>0.2003311258278146</v>
      </c>
    </row>
    <row r="209" spans="1:30">
      <c r="A209" s="1" t="s">
        <v>216</v>
      </c>
      <c r="B209">
        <f>HYPERLINK("https://www.suredividend.com/sure-analysis-ROK/","Rockwell Automation, Inc.")</f>
        <v>0</v>
      </c>
      <c r="C209">
        <v>191.02</v>
      </c>
      <c r="D209">
        <v>21915.05904</v>
      </c>
      <c r="E209" t="s">
        <v>646</v>
      </c>
      <c r="F209" t="s">
        <v>613</v>
      </c>
      <c r="G209" t="s">
        <v>653</v>
      </c>
      <c r="H209" t="s">
        <v>682</v>
      </c>
      <c r="I209" t="s">
        <v>893</v>
      </c>
      <c r="J209" t="s">
        <v>1278</v>
      </c>
      <c r="K209">
        <v>43878</v>
      </c>
      <c r="L209">
        <v>0.02103482902595</v>
      </c>
      <c r="M209">
        <v>-0.03482019046332663</v>
      </c>
      <c r="N209">
        <v>0.065</v>
      </c>
      <c r="O209">
        <v>0.05044526108203207</v>
      </c>
      <c r="P209" t="s">
        <v>618</v>
      </c>
      <c r="Q209" t="s">
        <v>317</v>
      </c>
      <c r="R209">
        <v>10</v>
      </c>
      <c r="S209">
        <v>0.4471910112359551</v>
      </c>
      <c r="T209">
        <v>160</v>
      </c>
      <c r="U209">
        <v>1.193875</v>
      </c>
      <c r="V209">
        <v>6.1127</v>
      </c>
      <c r="W209">
        <v>8.9</v>
      </c>
      <c r="X209">
        <v>3.98</v>
      </c>
      <c r="Y209">
        <v>0.09369899999999999</v>
      </c>
      <c r="Z209">
        <v>0.2081218274111675</v>
      </c>
      <c r="AA209">
        <v>0.8557213930348259</v>
      </c>
      <c r="AB209">
        <v>0.7019867549668873</v>
      </c>
      <c r="AC209">
        <v>0.25</v>
      </c>
      <c r="AD209">
        <v>0.1986754966887417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71.88</v>
      </c>
      <c r="D210">
        <v>9480.5823</v>
      </c>
      <c r="E210" t="s">
        <v>647</v>
      </c>
      <c r="F210" t="s">
        <v>613</v>
      </c>
      <c r="G210" t="s">
        <v>653</v>
      </c>
      <c r="H210" t="s">
        <v>683</v>
      </c>
      <c r="I210" t="s">
        <v>894</v>
      </c>
      <c r="J210" t="s">
        <v>1278</v>
      </c>
      <c r="K210">
        <v>43862</v>
      </c>
      <c r="L210">
        <v>0.028680959818259</v>
      </c>
      <c r="M210">
        <v>-0.0199210588854285</v>
      </c>
      <c r="N210">
        <v>0.04</v>
      </c>
      <c r="O210">
        <v>0.04922407221164016</v>
      </c>
      <c r="P210" t="s">
        <v>618</v>
      </c>
      <c r="Q210" t="s">
        <v>371</v>
      </c>
      <c r="R210">
        <v>22</v>
      </c>
      <c r="S210">
        <v>0.5611111111111111</v>
      </c>
      <c r="T210">
        <v>65</v>
      </c>
      <c r="U210">
        <v>1.105846153846154</v>
      </c>
      <c r="V210">
        <v>3.6159</v>
      </c>
      <c r="W210">
        <v>3.6</v>
      </c>
      <c r="X210">
        <v>2.02</v>
      </c>
      <c r="Y210">
        <v>-0.14682</v>
      </c>
      <c r="Z210">
        <v>0.3367174280879865</v>
      </c>
      <c r="AA210">
        <v>0.5953565505804312</v>
      </c>
      <c r="AB210">
        <v>0.3501655629139073</v>
      </c>
      <c r="AC210">
        <v>0.3377483443708609</v>
      </c>
      <c r="AD210">
        <v>0.1970198675496689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76.25</v>
      </c>
      <c r="D211">
        <v>19052.64697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1280</v>
      </c>
      <c r="K211">
        <v>43909</v>
      </c>
      <c r="L211">
        <v>0.027030679821597</v>
      </c>
      <c r="M211">
        <v>-0.043647500209963</v>
      </c>
      <c r="N211">
        <v>0.06</v>
      </c>
      <c r="O211">
        <v>0.04619067418239053</v>
      </c>
      <c r="P211" t="s">
        <v>618</v>
      </c>
      <c r="Q211" t="s">
        <v>371</v>
      </c>
      <c r="R211">
        <v>16</v>
      </c>
      <c r="S211">
        <v>0.3636363636363636</v>
      </c>
      <c r="T211">
        <v>61</v>
      </c>
      <c r="U211">
        <v>1.25</v>
      </c>
      <c r="V211">
        <v>5.8632</v>
      </c>
      <c r="W211">
        <v>5.5</v>
      </c>
      <c r="X211">
        <v>2</v>
      </c>
      <c r="Y211">
        <v>0.009550999999999999</v>
      </c>
      <c r="Z211">
        <v>0.3164128595600677</v>
      </c>
      <c r="AA211">
        <v>0.7678275290215589</v>
      </c>
      <c r="AB211">
        <v>0.6423841059602649</v>
      </c>
      <c r="AC211">
        <v>0.2127483443708609</v>
      </c>
      <c r="AD211">
        <v>0.1788079470198675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131.53</v>
      </c>
      <c r="D212">
        <v>181457.25</v>
      </c>
      <c r="E212" t="s">
        <v>643</v>
      </c>
      <c r="F212" t="s">
        <v>613</v>
      </c>
      <c r="G212" t="s">
        <v>653</v>
      </c>
      <c r="H212" t="s">
        <v>683</v>
      </c>
      <c r="I212" t="s">
        <v>896</v>
      </c>
      <c r="J212" t="s">
        <v>1284</v>
      </c>
      <c r="K212">
        <v>43949</v>
      </c>
      <c r="L212">
        <v>0.029209359229239</v>
      </c>
      <c r="M212">
        <v>-0.04044076062692481</v>
      </c>
      <c r="N212">
        <v>0.055</v>
      </c>
      <c r="O212">
        <v>0.04503726730020929</v>
      </c>
      <c r="P212" t="s">
        <v>618</v>
      </c>
      <c r="Q212" t="s">
        <v>618</v>
      </c>
      <c r="R212">
        <v>48</v>
      </c>
      <c r="S212">
        <v>0.6773049645390071</v>
      </c>
      <c r="T212">
        <v>107</v>
      </c>
      <c r="U212">
        <v>1.229252336448598</v>
      </c>
      <c r="V212">
        <v>5.1854</v>
      </c>
      <c r="W212">
        <v>5.64</v>
      </c>
      <c r="X212">
        <v>3.82</v>
      </c>
      <c r="Y212">
        <v>0.038101</v>
      </c>
      <c r="Z212">
        <v>0.3451776649746193</v>
      </c>
      <c r="AA212">
        <v>0.7976782752902156</v>
      </c>
      <c r="AB212">
        <v>0.5786423841059603</v>
      </c>
      <c r="AC212">
        <v>0.2235099337748344</v>
      </c>
      <c r="AD212">
        <v>0.1754966887417218</v>
      </c>
    </row>
    <row r="213" spans="1:30">
      <c r="A213" s="1" t="s">
        <v>220</v>
      </c>
      <c r="B213">
        <f>HYPERLINK("https://www.suredividend.com/sure-analysis-CNI/","Canadian National Railway Co.")</f>
        <v>0</v>
      </c>
      <c r="C213">
        <v>80.70999999999999</v>
      </c>
      <c r="D213">
        <v>57138.9</v>
      </c>
      <c r="E213" t="s">
        <v>643</v>
      </c>
      <c r="F213" t="s">
        <v>613</v>
      </c>
      <c r="G213" t="s">
        <v>654</v>
      </c>
      <c r="H213" t="s">
        <v>682</v>
      </c>
      <c r="I213" t="s">
        <v>897</v>
      </c>
      <c r="J213" t="s">
        <v>1278</v>
      </c>
      <c r="K213">
        <v>43951</v>
      </c>
      <c r="L213">
        <v>0.020415352419214</v>
      </c>
      <c r="M213">
        <v>-0.04533604498913246</v>
      </c>
      <c r="N213">
        <v>0.07000000000000001</v>
      </c>
      <c r="O213">
        <v>0.04348881211478828</v>
      </c>
      <c r="P213" t="s">
        <v>618</v>
      </c>
      <c r="Q213" t="s">
        <v>371</v>
      </c>
      <c r="R213">
        <v>25</v>
      </c>
      <c r="S213">
        <v>0.4313479973088714</v>
      </c>
      <c r="T213">
        <v>64</v>
      </c>
      <c r="U213">
        <v>1.26109375</v>
      </c>
      <c r="V213">
        <v>4.6502</v>
      </c>
      <c r="W213">
        <v>3.81</v>
      </c>
      <c r="X213">
        <v>1.6434358697468</v>
      </c>
      <c r="Y213">
        <v>-0.12481</v>
      </c>
      <c r="Z213">
        <v>0.1996615905245347</v>
      </c>
      <c r="AA213">
        <v>0.6268656716417911</v>
      </c>
      <c r="AB213">
        <v>0.7442052980132451</v>
      </c>
      <c r="AC213">
        <v>0.2102649006622516</v>
      </c>
      <c r="AD213">
        <v>0.1688741721854305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105.25</v>
      </c>
      <c r="D214">
        <v>303125.203771</v>
      </c>
      <c r="E214" t="s">
        <v>648</v>
      </c>
      <c r="F214" t="s">
        <v>613</v>
      </c>
      <c r="G214" t="s">
        <v>656</v>
      </c>
      <c r="H214" t="s">
        <v>684</v>
      </c>
      <c r="I214" t="s">
        <v>898</v>
      </c>
      <c r="J214" t="s">
        <v>1284</v>
      </c>
      <c r="K214">
        <v>43878</v>
      </c>
      <c r="L214">
        <v>0.022033254156769</v>
      </c>
      <c r="M214">
        <v>-0.03082080889476457</v>
      </c>
      <c r="N214">
        <v>0.05</v>
      </c>
      <c r="O214">
        <v>0.04271046755930352</v>
      </c>
      <c r="P214" t="s">
        <v>618</v>
      </c>
      <c r="Q214" t="s">
        <v>371</v>
      </c>
      <c r="R214">
        <v>25</v>
      </c>
      <c r="S214">
        <v>0.4638</v>
      </c>
      <c r="T214">
        <v>90</v>
      </c>
      <c r="U214">
        <v>1.169444444444445</v>
      </c>
      <c r="V214">
        <v>4.3373</v>
      </c>
      <c r="W214">
        <v>5</v>
      </c>
      <c r="X214">
        <v>2.319</v>
      </c>
      <c r="Y214">
        <v>0.104291</v>
      </c>
      <c r="Z214">
        <v>0.2351945854483926</v>
      </c>
      <c r="AA214">
        <v>0.8689883913764511</v>
      </c>
      <c r="AB214">
        <v>0.5033112582781457</v>
      </c>
      <c r="AC214">
        <v>0.2649006622516556</v>
      </c>
      <c r="AD214">
        <v>0.1639072847682119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62.31</v>
      </c>
      <c r="D215">
        <v>109367.4288</v>
      </c>
      <c r="E215" t="s">
        <v>642</v>
      </c>
      <c r="F215" t="s">
        <v>613</v>
      </c>
      <c r="G215" t="s">
        <v>663</v>
      </c>
      <c r="H215" t="s">
        <v>682</v>
      </c>
      <c r="I215" t="s">
        <v>899</v>
      </c>
      <c r="J215" t="s">
        <v>1283</v>
      </c>
      <c r="K215">
        <v>43871</v>
      </c>
      <c r="L215">
        <v>0.014138867376573</v>
      </c>
      <c r="M215">
        <v>-0.0392674943576522</v>
      </c>
      <c r="N215">
        <v>0.06</v>
      </c>
      <c r="O215">
        <v>0.04174028172934308</v>
      </c>
      <c r="P215" t="s">
        <v>618</v>
      </c>
      <c r="Q215" t="s">
        <v>317</v>
      </c>
      <c r="R215">
        <v>0</v>
      </c>
      <c r="S215">
        <v>0.3463743083003953</v>
      </c>
      <c r="T215">
        <v>51</v>
      </c>
      <c r="U215">
        <v>1.221764705882353</v>
      </c>
      <c r="V215">
        <v>2.4604</v>
      </c>
      <c r="W215">
        <v>2.53</v>
      </c>
      <c r="X215">
        <v>0.876327</v>
      </c>
      <c r="Y215">
        <v>0.306768</v>
      </c>
      <c r="Z215">
        <v>0.09983079526226735</v>
      </c>
      <c r="AA215">
        <v>0.9519071310116086</v>
      </c>
      <c r="AB215">
        <v>0.6423841059602649</v>
      </c>
      <c r="AC215">
        <v>0.2334437086092715</v>
      </c>
      <c r="AD215">
        <v>0.1622516556291391</v>
      </c>
    </row>
    <row r="216" spans="1:30">
      <c r="A216" s="1" t="s">
        <v>223</v>
      </c>
      <c r="B216">
        <f>HYPERLINK("https://www.suredividend.com/sure-analysis-WM/","Waste Management, Inc.")</f>
        <v>0</v>
      </c>
      <c r="C216">
        <v>101.45</v>
      </c>
      <c r="D216">
        <v>41007.0936</v>
      </c>
      <c r="E216" t="s">
        <v>641</v>
      </c>
      <c r="F216" t="s">
        <v>613</v>
      </c>
      <c r="G216" t="s">
        <v>653</v>
      </c>
      <c r="H216" t="s">
        <v>682</v>
      </c>
      <c r="I216" t="s">
        <v>900</v>
      </c>
      <c r="J216" t="s">
        <v>1278</v>
      </c>
      <c r="K216">
        <v>43879</v>
      </c>
      <c r="L216">
        <v>0.021177685950413</v>
      </c>
      <c r="M216">
        <v>-0.03026417459773623</v>
      </c>
      <c r="N216">
        <v>0.05</v>
      </c>
      <c r="O216">
        <v>0.03999023874326779</v>
      </c>
      <c r="P216" t="s">
        <v>618</v>
      </c>
      <c r="Q216" t="s">
        <v>317</v>
      </c>
      <c r="R216">
        <v>17</v>
      </c>
      <c r="S216">
        <v>0.4456521739130435</v>
      </c>
      <c r="T216">
        <v>87</v>
      </c>
      <c r="U216">
        <v>1.166091954022989</v>
      </c>
      <c r="V216">
        <v>3.9391</v>
      </c>
      <c r="W216">
        <v>4.6</v>
      </c>
      <c r="X216">
        <v>2.05</v>
      </c>
      <c r="Y216">
        <v>-0.07563</v>
      </c>
      <c r="Z216">
        <v>0.2131979695431472</v>
      </c>
      <c r="AA216">
        <v>0.6749585406301825</v>
      </c>
      <c r="AB216">
        <v>0.5033112582781457</v>
      </c>
      <c r="AC216">
        <v>0.2698675496688742</v>
      </c>
      <c r="AD216">
        <v>0.1572847682119205</v>
      </c>
    </row>
    <row r="217" spans="1:30">
      <c r="A217" s="1" t="s">
        <v>224</v>
      </c>
      <c r="B217">
        <f>HYPERLINK("https://www.suredividend.com/sure-analysis-CBU/","Community Bank System, Inc.")</f>
        <v>0</v>
      </c>
      <c r="C217">
        <v>57.5</v>
      </c>
      <c r="D217">
        <v>3036.43792</v>
      </c>
      <c r="E217" t="s">
        <v>644</v>
      </c>
      <c r="F217" t="s">
        <v>613</v>
      </c>
      <c r="G217" t="s">
        <v>653</v>
      </c>
      <c r="H217" t="s">
        <v>682</v>
      </c>
      <c r="I217" t="s">
        <v>901</v>
      </c>
      <c r="J217" t="s">
        <v>1277</v>
      </c>
      <c r="K217">
        <v>43945</v>
      </c>
      <c r="L217">
        <v>0.02755905511811</v>
      </c>
      <c r="M217">
        <v>-0.03148657049553261</v>
      </c>
      <c r="N217">
        <v>0.04</v>
      </c>
      <c r="O217">
        <v>0.03925365531028757</v>
      </c>
      <c r="P217" t="s">
        <v>618</v>
      </c>
      <c r="Q217" t="s">
        <v>371</v>
      </c>
      <c r="R217">
        <v>28</v>
      </c>
      <c r="S217">
        <v>0.6192307692307691</v>
      </c>
      <c r="T217">
        <v>49</v>
      </c>
      <c r="U217">
        <v>1.173469387755102</v>
      </c>
      <c r="V217">
        <v>3.2211</v>
      </c>
      <c r="W217">
        <v>2.6</v>
      </c>
      <c r="X217">
        <v>1.61</v>
      </c>
      <c r="Y217">
        <v>-0.118987</v>
      </c>
      <c r="Z217">
        <v>0.3248730964467005</v>
      </c>
      <c r="AA217">
        <v>0.6318407960199005</v>
      </c>
      <c r="AB217">
        <v>0.3501655629139073</v>
      </c>
      <c r="AC217">
        <v>0.2599337748344371</v>
      </c>
      <c r="AD217">
        <v>0.1556291390728477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57.47</v>
      </c>
      <c r="D218">
        <v>6433.51776</v>
      </c>
      <c r="E218" t="s">
        <v>646</v>
      </c>
      <c r="F218" t="s">
        <v>613</v>
      </c>
      <c r="G218" t="s">
        <v>653</v>
      </c>
      <c r="H218" t="s">
        <v>683</v>
      </c>
      <c r="I218" t="s">
        <v>902</v>
      </c>
      <c r="J218" t="s">
        <v>1277</v>
      </c>
      <c r="K218">
        <v>43955</v>
      </c>
      <c r="L218">
        <v>0.01768257856066</v>
      </c>
      <c r="M218">
        <v>-0.0394248834544344</v>
      </c>
      <c r="N218">
        <v>0.06</v>
      </c>
      <c r="O218">
        <v>0.03883133912907843</v>
      </c>
      <c r="P218" t="s">
        <v>618</v>
      </c>
      <c r="Q218" t="s">
        <v>317</v>
      </c>
      <c r="R218">
        <v>10</v>
      </c>
      <c r="S218">
        <v>0.405143239981856</v>
      </c>
      <c r="T218">
        <v>47</v>
      </c>
      <c r="U218">
        <v>1.222765957446808</v>
      </c>
      <c r="V218">
        <v>3.2108</v>
      </c>
      <c r="W218">
        <v>2.5</v>
      </c>
      <c r="X218">
        <v>1.01285809995464</v>
      </c>
      <c r="Y218">
        <v>-0.007362</v>
      </c>
      <c r="Z218">
        <v>0.1489001692047377</v>
      </c>
      <c r="AA218">
        <v>0.75787728026534</v>
      </c>
      <c r="AB218">
        <v>0.6423841059602649</v>
      </c>
      <c r="AC218">
        <v>0.2317880794701987</v>
      </c>
      <c r="AD218">
        <v>0.1539735099337748</v>
      </c>
    </row>
    <row r="219" spans="1:30">
      <c r="A219" s="1" t="s">
        <v>226</v>
      </c>
      <c r="B219">
        <f>HYPERLINK("https://www.suredividend.com/sure-analysis-IFF/","International Flavors &amp; Fragrances, Inc.")</f>
        <v>0</v>
      </c>
      <c r="C219">
        <v>130.28</v>
      </c>
      <c r="D219">
        <v>14024.17062</v>
      </c>
      <c r="E219" t="s">
        <v>642</v>
      </c>
      <c r="F219" t="s">
        <v>613</v>
      </c>
      <c r="G219" t="s">
        <v>653</v>
      </c>
      <c r="H219" t="s">
        <v>682</v>
      </c>
      <c r="I219" t="s">
        <v>903</v>
      </c>
      <c r="J219" t="s">
        <v>1281</v>
      </c>
      <c r="K219">
        <v>43875</v>
      </c>
      <c r="L219">
        <v>0.02254207600335</v>
      </c>
      <c r="M219">
        <v>-0.02634427839532549</v>
      </c>
      <c r="N219">
        <v>0.04</v>
      </c>
      <c r="O219">
        <v>0.03615555346340127</v>
      </c>
      <c r="P219" t="s">
        <v>618</v>
      </c>
      <c r="Q219" t="s">
        <v>371</v>
      </c>
      <c r="R219">
        <v>17</v>
      </c>
      <c r="S219">
        <v>0.4676145339652448</v>
      </c>
      <c r="T219">
        <v>114</v>
      </c>
      <c r="U219">
        <v>1.14280701754386</v>
      </c>
      <c r="V219">
        <v>4.0439</v>
      </c>
      <c r="W219">
        <v>6.33</v>
      </c>
      <c r="X219">
        <v>2.96</v>
      </c>
      <c r="Y219">
        <v>-0.027333</v>
      </c>
      <c r="Z219">
        <v>0.2470389170896785</v>
      </c>
      <c r="AA219">
        <v>0.7263681592039801</v>
      </c>
      <c r="AB219">
        <v>0.3501655629139073</v>
      </c>
      <c r="AC219">
        <v>0.293046357615894</v>
      </c>
      <c r="AD219">
        <v>0.1456953642384106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224.48</v>
      </c>
      <c r="D220">
        <v>108980.937</v>
      </c>
      <c r="E220" t="s">
        <v>645</v>
      </c>
      <c r="F220" t="s">
        <v>613</v>
      </c>
      <c r="G220" t="s">
        <v>653</v>
      </c>
      <c r="H220" t="s">
        <v>682</v>
      </c>
      <c r="I220" t="s">
        <v>871</v>
      </c>
      <c r="J220" t="s">
        <v>1287</v>
      </c>
      <c r="K220">
        <v>43951</v>
      </c>
      <c r="L220">
        <v>0.023129435013024</v>
      </c>
      <c r="M220">
        <v>-0.06431504927885756</v>
      </c>
      <c r="N220">
        <v>0.07000000000000001</v>
      </c>
      <c r="O220">
        <v>0.03001869016869296</v>
      </c>
      <c r="P220" t="s">
        <v>618</v>
      </c>
      <c r="Q220" t="s">
        <v>371</v>
      </c>
      <c r="R220">
        <v>25</v>
      </c>
      <c r="S220">
        <v>0.5754189944134079</v>
      </c>
      <c r="T220">
        <v>161</v>
      </c>
      <c r="U220">
        <v>1.394285714285714</v>
      </c>
      <c r="V220">
        <v>7.2583</v>
      </c>
      <c r="W220">
        <v>8.949999999999999</v>
      </c>
      <c r="X220">
        <v>5.15</v>
      </c>
      <c r="Y220">
        <v>0.173439</v>
      </c>
      <c r="Z220">
        <v>0.2622673434856176</v>
      </c>
      <c r="AA220">
        <v>0.9087893864013268</v>
      </c>
      <c r="AB220">
        <v>0.7442052980132451</v>
      </c>
      <c r="AC220">
        <v>0.1357615894039735</v>
      </c>
      <c r="AD220">
        <v>0.1341059602649007</v>
      </c>
    </row>
    <row r="221" spans="1:30">
      <c r="A221" s="1" t="s">
        <v>228</v>
      </c>
      <c r="B221">
        <f>HYPERLINK("https://www.suredividend.com/sure-analysis-TMP/","Tompkins Financial Corp.")</f>
        <v>0</v>
      </c>
      <c r="C221">
        <v>62.86</v>
      </c>
      <c r="D221">
        <v>953.956521</v>
      </c>
      <c r="E221" t="s">
        <v>644</v>
      </c>
      <c r="F221" t="s">
        <v>613</v>
      </c>
      <c r="G221" t="s">
        <v>653</v>
      </c>
      <c r="H221" t="s">
        <v>685</v>
      </c>
      <c r="I221" t="s">
        <v>904</v>
      </c>
      <c r="J221" t="s">
        <v>1277</v>
      </c>
      <c r="K221">
        <v>43955</v>
      </c>
      <c r="L221">
        <v>0.03187998124706901</v>
      </c>
      <c r="M221">
        <v>-0.009269861284801784</v>
      </c>
      <c r="N221">
        <v>0</v>
      </c>
      <c r="O221">
        <v>0.02670776555721344</v>
      </c>
      <c r="P221" t="s">
        <v>618</v>
      </c>
      <c r="Q221" t="s">
        <v>618</v>
      </c>
      <c r="R221">
        <v>33</v>
      </c>
      <c r="S221">
        <v>0.5666666666666667</v>
      </c>
      <c r="T221">
        <v>60</v>
      </c>
      <c r="U221">
        <v>1.047666666666667</v>
      </c>
      <c r="V221">
        <v>4.561</v>
      </c>
      <c r="W221">
        <v>3.6</v>
      </c>
      <c r="X221">
        <v>2.04</v>
      </c>
      <c r="Y221">
        <v>-0.203411</v>
      </c>
      <c r="Z221">
        <v>0.3773265651438241</v>
      </c>
      <c r="AA221">
        <v>0.5124378109452736</v>
      </c>
      <c r="AB221">
        <v>0.02897350993377483</v>
      </c>
      <c r="AC221">
        <v>0.3890728476821192</v>
      </c>
      <c r="AD221">
        <v>0.1241721854304636</v>
      </c>
    </row>
    <row r="222" spans="1:30">
      <c r="A222" s="1" t="s">
        <v>229</v>
      </c>
      <c r="B222">
        <f>HYPERLINK("https://www.suredividend.com/sure-analysis-RMD/","ResMed, Inc.")</f>
        <v>0</v>
      </c>
      <c r="C222">
        <v>160.7</v>
      </c>
      <c r="D222">
        <v>23136.75324</v>
      </c>
      <c r="E222" t="s">
        <v>646</v>
      </c>
      <c r="F222" t="s">
        <v>613</v>
      </c>
      <c r="G222" t="s">
        <v>653</v>
      </c>
      <c r="H222" t="s">
        <v>682</v>
      </c>
      <c r="I222" t="s">
        <v>905</v>
      </c>
      <c r="J222" t="s">
        <v>1283</v>
      </c>
      <c r="K222">
        <v>43955</v>
      </c>
      <c r="L222">
        <v>0.009629212780591001</v>
      </c>
      <c r="M222">
        <v>-0.09417971977560968</v>
      </c>
      <c r="N222">
        <v>0.12</v>
      </c>
      <c r="O222">
        <v>0.02653126431869413</v>
      </c>
      <c r="P222" t="s">
        <v>618</v>
      </c>
      <c r="Q222" t="s">
        <v>317</v>
      </c>
      <c r="R222">
        <v>7</v>
      </c>
      <c r="S222">
        <v>0.3460674157303371</v>
      </c>
      <c r="T222">
        <v>98</v>
      </c>
      <c r="U222">
        <v>1.639795918367347</v>
      </c>
      <c r="V222">
        <v>3.5568</v>
      </c>
      <c r="W222">
        <v>4.45</v>
      </c>
      <c r="X222">
        <v>1.54</v>
      </c>
      <c r="Y222">
        <v>0.423625</v>
      </c>
      <c r="Z222">
        <v>0.05245346869712351</v>
      </c>
      <c r="AA222">
        <v>0.9751243781094527</v>
      </c>
      <c r="AB222">
        <v>0.9354304635761589</v>
      </c>
      <c r="AC222">
        <v>0.07119205298013245</v>
      </c>
      <c r="AD222">
        <v>0.1225165562913907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58.05</v>
      </c>
      <c r="D223">
        <v>1570.40492</v>
      </c>
      <c r="E223" t="s">
        <v>643</v>
      </c>
      <c r="F223" t="s">
        <v>613</v>
      </c>
      <c r="G223" t="s">
        <v>653</v>
      </c>
      <c r="H223" t="s">
        <v>683</v>
      </c>
      <c r="I223" t="s">
        <v>906</v>
      </c>
      <c r="J223" t="s">
        <v>1277</v>
      </c>
      <c r="K223">
        <v>43937</v>
      </c>
      <c r="L223">
        <v>0.028125535928657</v>
      </c>
      <c r="M223">
        <v>-0.02177169736480045</v>
      </c>
      <c r="N223">
        <v>0.02</v>
      </c>
      <c r="O223">
        <v>0.02636115612659284</v>
      </c>
      <c r="P223" t="s">
        <v>618</v>
      </c>
      <c r="Q223" t="s">
        <v>371</v>
      </c>
      <c r="R223">
        <v>28</v>
      </c>
      <c r="S223">
        <v>0.563573883161512</v>
      </c>
      <c r="T223">
        <v>52</v>
      </c>
      <c r="U223">
        <v>1.116346153846154</v>
      </c>
      <c r="V223">
        <v>2.8769</v>
      </c>
      <c r="W223">
        <v>2.91</v>
      </c>
      <c r="X223">
        <v>1.64</v>
      </c>
      <c r="Y223">
        <v>-0.08375199999999999</v>
      </c>
      <c r="Z223">
        <v>0.3316412859560068</v>
      </c>
      <c r="AA223">
        <v>0.6683250414593698</v>
      </c>
      <c r="AB223">
        <v>0.130794701986755</v>
      </c>
      <c r="AC223">
        <v>0.3245033112582781</v>
      </c>
      <c r="AD223">
        <v>0.1208609271523179</v>
      </c>
    </row>
    <row r="224" spans="1:30">
      <c r="A224" s="1" t="s">
        <v>231</v>
      </c>
      <c r="B224">
        <f>HYPERLINK("https://www.suredividend.com/sure-analysis-AMT/","American Tower Corp.")</f>
        <v>0</v>
      </c>
      <c r="C224">
        <v>235.25</v>
      </c>
      <c r="D224">
        <v>105178.78156</v>
      </c>
      <c r="E224" t="s">
        <v>641</v>
      </c>
      <c r="F224" t="s">
        <v>614</v>
      </c>
      <c r="G224" t="s">
        <v>653</v>
      </c>
      <c r="H224" t="s">
        <v>682</v>
      </c>
      <c r="I224" t="s">
        <v>907</v>
      </c>
      <c r="J224" t="s">
        <v>1282</v>
      </c>
      <c r="K224">
        <v>43886</v>
      </c>
      <c r="L224">
        <v>0.016690550450982</v>
      </c>
      <c r="M224">
        <v>-0.0531859808015327</v>
      </c>
      <c r="N224">
        <v>0.06</v>
      </c>
      <c r="O224">
        <v>0.02366836212409429</v>
      </c>
      <c r="P224" t="s">
        <v>618</v>
      </c>
      <c r="Q224" t="s">
        <v>317</v>
      </c>
      <c r="R224">
        <v>9</v>
      </c>
      <c r="S224">
        <v>0.4658823529411765</v>
      </c>
      <c r="T224">
        <v>179</v>
      </c>
      <c r="U224">
        <v>1.314245810055866</v>
      </c>
      <c r="V224">
        <v>4.3032</v>
      </c>
      <c r="W224">
        <v>8.5</v>
      </c>
      <c r="X224">
        <v>3.96</v>
      </c>
      <c r="Y224">
        <v>0.249723</v>
      </c>
      <c r="Z224">
        <v>0.1336717428087986</v>
      </c>
      <c r="AA224">
        <v>0.9353233830845771</v>
      </c>
      <c r="AB224">
        <v>0.6423841059602649</v>
      </c>
      <c r="AC224">
        <v>0.1854304635761589</v>
      </c>
      <c r="AD224">
        <v>0.1158940397350993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40.53</v>
      </c>
      <c r="D225">
        <v>9962.889230000001</v>
      </c>
      <c r="E225" t="s">
        <v>648</v>
      </c>
      <c r="F225" t="s">
        <v>613</v>
      </c>
      <c r="G225" t="s">
        <v>653</v>
      </c>
      <c r="H225" t="s">
        <v>682</v>
      </c>
      <c r="I225" t="s">
        <v>908</v>
      </c>
      <c r="J225" t="s">
        <v>1287</v>
      </c>
      <c r="K225">
        <v>43894</v>
      </c>
      <c r="L225">
        <v>0.022291615441357</v>
      </c>
      <c r="M225">
        <v>-0.07129820379293261</v>
      </c>
      <c r="N225">
        <v>0.07000000000000001</v>
      </c>
      <c r="O225">
        <v>0.02147487575068618</v>
      </c>
      <c r="P225" t="s">
        <v>618</v>
      </c>
      <c r="Q225" t="s">
        <v>371</v>
      </c>
      <c r="R225">
        <v>28</v>
      </c>
      <c r="S225">
        <v>0.5811538461538461</v>
      </c>
      <c r="T225">
        <v>28</v>
      </c>
      <c r="U225">
        <v>1.4475</v>
      </c>
      <c r="V225">
        <v>1.0036</v>
      </c>
      <c r="W225">
        <v>1.56</v>
      </c>
      <c r="X225">
        <v>0.9066000000000001</v>
      </c>
      <c r="Y225">
        <v>0.073654</v>
      </c>
      <c r="Z225">
        <v>0.2419627749576988</v>
      </c>
      <c r="AA225">
        <v>0.8325041459369819</v>
      </c>
      <c r="AB225">
        <v>0.7442052980132451</v>
      </c>
      <c r="AC225">
        <v>0.1241721854304636</v>
      </c>
      <c r="AD225">
        <v>0.1076158940397351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73.84999999999999</v>
      </c>
      <c r="D226">
        <v>10339.4541</v>
      </c>
      <c r="E226" t="s">
        <v>642</v>
      </c>
      <c r="F226" t="s">
        <v>613</v>
      </c>
      <c r="G226" t="s">
        <v>653</v>
      </c>
      <c r="H226" t="s">
        <v>682</v>
      </c>
      <c r="I226" t="s">
        <v>909</v>
      </c>
      <c r="J226" t="s">
        <v>1278</v>
      </c>
      <c r="K226">
        <v>43901</v>
      </c>
      <c r="L226">
        <v>0.013018714401952</v>
      </c>
      <c r="M226">
        <v>-0.07136737943095339</v>
      </c>
      <c r="N226">
        <v>0.08</v>
      </c>
      <c r="O226">
        <v>0.02056264932867435</v>
      </c>
      <c r="P226" t="s">
        <v>618</v>
      </c>
      <c r="Q226" t="s">
        <v>317</v>
      </c>
      <c r="R226">
        <v>8</v>
      </c>
      <c r="S226">
        <v>0.3037974683544303</v>
      </c>
      <c r="T226">
        <v>51</v>
      </c>
      <c r="U226">
        <v>1.448039215686274</v>
      </c>
      <c r="V226">
        <v>3.0792</v>
      </c>
      <c r="W226">
        <v>3.16</v>
      </c>
      <c r="X226">
        <v>0.96</v>
      </c>
      <c r="Y226">
        <v>0.238079</v>
      </c>
      <c r="Z226">
        <v>0.08629441624365482</v>
      </c>
      <c r="AA226">
        <v>0.933665008291874</v>
      </c>
      <c r="AB226">
        <v>0.8228476821192053</v>
      </c>
      <c r="AC226">
        <v>0.1225165562913907</v>
      </c>
      <c r="AD226">
        <v>0.1059602649006623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105.13</v>
      </c>
      <c r="D227">
        <v>12188.42625</v>
      </c>
      <c r="E227" t="s">
        <v>649</v>
      </c>
      <c r="F227" t="s">
        <v>613</v>
      </c>
      <c r="G227" t="s">
        <v>653</v>
      </c>
      <c r="H227" t="s">
        <v>683</v>
      </c>
      <c r="I227" t="s">
        <v>910</v>
      </c>
      <c r="J227" t="s">
        <v>1280</v>
      </c>
      <c r="K227">
        <v>43915</v>
      </c>
      <c r="L227">
        <v>0.013326987148976</v>
      </c>
      <c r="M227">
        <v>-0.06283214120249248</v>
      </c>
      <c r="N227">
        <v>0.065</v>
      </c>
      <c r="O227">
        <v>0.01425740057849811</v>
      </c>
      <c r="P227" t="s">
        <v>618</v>
      </c>
      <c r="Q227" t="s">
        <v>317</v>
      </c>
      <c r="R227">
        <v>9</v>
      </c>
      <c r="S227">
        <v>0.35</v>
      </c>
      <c r="T227">
        <v>76</v>
      </c>
      <c r="U227">
        <v>1.383289473684211</v>
      </c>
      <c r="V227">
        <v>4.7835</v>
      </c>
      <c r="W227">
        <v>4</v>
      </c>
      <c r="X227">
        <v>1.4</v>
      </c>
      <c r="Y227">
        <v>0.043716</v>
      </c>
      <c r="Z227">
        <v>0.08967851099830795</v>
      </c>
      <c r="AA227">
        <v>0.8059701492537313</v>
      </c>
      <c r="AB227">
        <v>0.7019867549668873</v>
      </c>
      <c r="AC227">
        <v>0.1423841059602649</v>
      </c>
      <c r="AD227">
        <v>0.09437086092715231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142.29</v>
      </c>
      <c r="D228">
        <v>6215.697775</v>
      </c>
      <c r="E228" t="s">
        <v>644</v>
      </c>
      <c r="F228" t="s">
        <v>613</v>
      </c>
      <c r="G228" t="s">
        <v>653</v>
      </c>
      <c r="H228" t="s">
        <v>683</v>
      </c>
      <c r="I228" t="s">
        <v>911</v>
      </c>
      <c r="J228" t="s">
        <v>1277</v>
      </c>
      <c r="K228">
        <v>43890</v>
      </c>
      <c r="L228">
        <v>0.007986230636833</v>
      </c>
      <c r="M228">
        <v>-0.05365416467794837</v>
      </c>
      <c r="N228">
        <v>0.06</v>
      </c>
      <c r="O228">
        <v>0.01345385784261088</v>
      </c>
      <c r="P228" t="s">
        <v>618</v>
      </c>
      <c r="Q228" t="s">
        <v>317</v>
      </c>
      <c r="R228">
        <v>10</v>
      </c>
      <c r="S228">
        <v>0.29</v>
      </c>
      <c r="T228">
        <v>108</v>
      </c>
      <c r="U228">
        <v>1.3175</v>
      </c>
      <c r="V228">
        <v>3.3351</v>
      </c>
      <c r="W228">
        <v>4</v>
      </c>
      <c r="X228">
        <v>1.16</v>
      </c>
      <c r="Y228">
        <v>0.050557</v>
      </c>
      <c r="Z228">
        <v>0.03214890016920474</v>
      </c>
      <c r="AA228">
        <v>0.8159203980099502</v>
      </c>
      <c r="AB228">
        <v>0.6423841059602649</v>
      </c>
      <c r="AC228">
        <v>0.1804635761589404</v>
      </c>
      <c r="AD228">
        <v>0.09271523178807946</v>
      </c>
    </row>
    <row r="229" spans="1:30">
      <c r="A229" s="1" t="s">
        <v>236</v>
      </c>
      <c r="B229">
        <f>HYPERLINK("https://www.suredividend.com/sure-analysis-MSFT/","Microsoft Corp.")</f>
        <v>0</v>
      </c>
      <c r="C229">
        <v>183.59</v>
      </c>
      <c r="D229">
        <v>1384281.1376</v>
      </c>
      <c r="E229" t="s">
        <v>641</v>
      </c>
      <c r="F229" t="s">
        <v>613</v>
      </c>
      <c r="G229" t="s">
        <v>653</v>
      </c>
      <c r="H229" t="s">
        <v>683</v>
      </c>
      <c r="I229" t="s">
        <v>912</v>
      </c>
      <c r="J229" t="s">
        <v>1286</v>
      </c>
      <c r="K229">
        <v>43861</v>
      </c>
      <c r="L229">
        <v>0.010901720170921</v>
      </c>
      <c r="M229">
        <v>-0.07697977365541031</v>
      </c>
      <c r="N229">
        <v>0.08</v>
      </c>
      <c r="O229">
        <v>0.01196173002566847</v>
      </c>
      <c r="P229" t="s">
        <v>618</v>
      </c>
      <c r="Q229" t="s">
        <v>317</v>
      </c>
      <c r="R229">
        <v>18</v>
      </c>
      <c r="S229">
        <v>0.3553571428571429</v>
      </c>
      <c r="T229">
        <v>123</v>
      </c>
      <c r="U229">
        <v>1.49260162601626</v>
      </c>
      <c r="V229">
        <v>6.0629</v>
      </c>
      <c r="W229">
        <v>5.6</v>
      </c>
      <c r="X229">
        <v>1.99</v>
      </c>
      <c r="Y229">
        <v>0.4542700000000001</v>
      </c>
      <c r="Z229">
        <v>0.06598984771573604</v>
      </c>
      <c r="AA229">
        <v>0.978441127694859</v>
      </c>
      <c r="AB229">
        <v>0.8228476821192053</v>
      </c>
      <c r="AC229">
        <v>0.09602649006622517</v>
      </c>
      <c r="AD229">
        <v>0.08609271523178809</v>
      </c>
    </row>
    <row r="230" spans="1:30">
      <c r="A230" s="1" t="s">
        <v>237</v>
      </c>
      <c r="B230">
        <f>HYPERLINK("https://www.suredividend.com/sure-analysis-XEL/","Xcel Energy, Inc.")</f>
        <v>0</v>
      </c>
      <c r="C230">
        <v>59.995</v>
      </c>
      <c r="D230">
        <v>32142.27538</v>
      </c>
      <c r="E230" t="s">
        <v>641</v>
      </c>
      <c r="F230" t="s">
        <v>613</v>
      </c>
      <c r="G230" t="s">
        <v>653</v>
      </c>
      <c r="H230" t="s">
        <v>683</v>
      </c>
      <c r="I230" t="s">
        <v>913</v>
      </c>
      <c r="J230" t="s">
        <v>1287</v>
      </c>
      <c r="K230">
        <v>43861</v>
      </c>
      <c r="L230">
        <v>0.026461940542306</v>
      </c>
      <c r="M230">
        <v>-0.06013057063734617</v>
      </c>
      <c r="N230">
        <v>0.04</v>
      </c>
      <c r="O230">
        <v>0.008807082869092042</v>
      </c>
      <c r="P230" t="s">
        <v>618</v>
      </c>
      <c r="Q230" t="s">
        <v>317</v>
      </c>
      <c r="R230">
        <v>16</v>
      </c>
      <c r="S230">
        <v>0.5827338129496403</v>
      </c>
      <c r="T230">
        <v>44</v>
      </c>
      <c r="U230">
        <v>1.363522727272727</v>
      </c>
      <c r="V230">
        <v>2.6416</v>
      </c>
      <c r="W230">
        <v>2.78</v>
      </c>
      <c r="X230">
        <v>1.62</v>
      </c>
      <c r="Y230">
        <v>0.082008</v>
      </c>
      <c r="Z230">
        <v>0.311336717428088</v>
      </c>
      <c r="AA230">
        <v>0.8424543946932006</v>
      </c>
      <c r="AB230">
        <v>0.3501655629139073</v>
      </c>
      <c r="AC230">
        <v>0.1556291390728477</v>
      </c>
      <c r="AD230">
        <v>0.07781456953642384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226.8</v>
      </c>
      <c r="D231">
        <v>49334.5899</v>
      </c>
      <c r="E231" t="s">
        <v>646</v>
      </c>
      <c r="F231" t="s">
        <v>613</v>
      </c>
      <c r="G231" t="s">
        <v>653</v>
      </c>
      <c r="H231" t="s">
        <v>682</v>
      </c>
      <c r="I231" t="s">
        <v>914</v>
      </c>
      <c r="J231" t="s">
        <v>1281</v>
      </c>
      <c r="K231">
        <v>43946</v>
      </c>
      <c r="L231">
        <v>0.021577580804011</v>
      </c>
      <c r="M231">
        <v>-0.07570697416918715</v>
      </c>
      <c r="N231">
        <v>0.06</v>
      </c>
      <c r="O231">
        <v>0.007803168142960226</v>
      </c>
      <c r="P231" t="s">
        <v>618</v>
      </c>
      <c r="Q231" t="s">
        <v>371</v>
      </c>
      <c r="R231">
        <v>38</v>
      </c>
      <c r="S231">
        <v>0.5670588235294118</v>
      </c>
      <c r="T231">
        <v>153</v>
      </c>
      <c r="U231">
        <v>1.482352941176471</v>
      </c>
      <c r="V231">
        <v>8.867699999999999</v>
      </c>
      <c r="W231">
        <v>8.5</v>
      </c>
      <c r="X231">
        <v>4.82</v>
      </c>
      <c r="Y231">
        <v>0.110404</v>
      </c>
      <c r="Z231">
        <v>0.2250423011844332</v>
      </c>
      <c r="AA231">
        <v>0.8706467661691542</v>
      </c>
      <c r="AB231">
        <v>0.6423841059602649</v>
      </c>
      <c r="AC231">
        <v>0.1043046357615894</v>
      </c>
      <c r="AD231">
        <v>0.07450331125827814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88.56</v>
      </c>
      <c r="D232">
        <v>137525.9688</v>
      </c>
      <c r="E232" t="s">
        <v>641</v>
      </c>
      <c r="F232" t="s">
        <v>613</v>
      </c>
      <c r="G232" t="s">
        <v>653</v>
      </c>
      <c r="H232" t="s">
        <v>682</v>
      </c>
      <c r="I232" t="s">
        <v>915</v>
      </c>
      <c r="J232" t="s">
        <v>1280</v>
      </c>
      <c r="K232">
        <v>43916</v>
      </c>
      <c r="L232">
        <v>0.010515603799185</v>
      </c>
      <c r="M232">
        <v>-0.09087203636235541</v>
      </c>
      <c r="N232">
        <v>0.09</v>
      </c>
      <c r="O232">
        <v>0.005441927971314042</v>
      </c>
      <c r="P232" t="s">
        <v>618</v>
      </c>
      <c r="Q232" t="s">
        <v>317</v>
      </c>
      <c r="R232">
        <v>18</v>
      </c>
      <c r="S232">
        <v>0.372</v>
      </c>
      <c r="T232">
        <v>55</v>
      </c>
      <c r="U232">
        <v>1.610181818181818</v>
      </c>
      <c r="V232">
        <v>2.7635</v>
      </c>
      <c r="W232">
        <v>2.5</v>
      </c>
      <c r="X232">
        <v>0.93</v>
      </c>
      <c r="Y232">
        <v>0.07148</v>
      </c>
      <c r="Z232">
        <v>0.06260575296108291</v>
      </c>
      <c r="AA232">
        <v>0.8308457711442786</v>
      </c>
      <c r="AB232">
        <v>0.8766556291390728</v>
      </c>
      <c r="AC232">
        <v>0.07781456953642384</v>
      </c>
      <c r="AD232">
        <v>0.06622516556291391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63.19</v>
      </c>
      <c r="D233">
        <v>1867.104712</v>
      </c>
      <c r="E233" t="s">
        <v>649</v>
      </c>
      <c r="F233" t="s">
        <v>613</v>
      </c>
      <c r="G233" t="s">
        <v>653</v>
      </c>
      <c r="H233" t="s">
        <v>682</v>
      </c>
      <c r="I233" t="s">
        <v>916</v>
      </c>
      <c r="J233" t="s">
        <v>1287</v>
      </c>
      <c r="K233">
        <v>43937</v>
      </c>
      <c r="L233">
        <v>0.031106932635709</v>
      </c>
      <c r="M233">
        <v>-0.05748146287388012</v>
      </c>
      <c r="N233">
        <v>0.029</v>
      </c>
      <c r="O233">
        <v>0.003961031789964098</v>
      </c>
      <c r="P233" t="s">
        <v>618</v>
      </c>
      <c r="Q233" t="s">
        <v>618</v>
      </c>
      <c r="R233">
        <v>64</v>
      </c>
      <c r="S233">
        <v>0.8095744680851064</v>
      </c>
      <c r="T233">
        <v>47</v>
      </c>
      <c r="U233">
        <v>1.344468085106383</v>
      </c>
      <c r="V233">
        <v>2.1042</v>
      </c>
      <c r="W233">
        <v>2.35</v>
      </c>
      <c r="X233">
        <v>1.9025</v>
      </c>
      <c r="Y233">
        <v>-0.117715</v>
      </c>
      <c r="Z233">
        <v>0.3705583756345178</v>
      </c>
      <c r="AA233">
        <v>0.6368159203980099</v>
      </c>
      <c r="AB233">
        <v>0.1821192052980133</v>
      </c>
      <c r="AC233">
        <v>0.1639072847682119</v>
      </c>
      <c r="AD233">
        <v>0.06125827814569536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66.81999999999999</v>
      </c>
      <c r="D234">
        <v>5108.44516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1280</v>
      </c>
      <c r="K234">
        <v>43916</v>
      </c>
      <c r="L234">
        <v>0.029020556227327</v>
      </c>
      <c r="M234">
        <v>-0.071952357012805</v>
      </c>
      <c r="N234">
        <v>0.04</v>
      </c>
      <c r="O234">
        <v>-8.136220902965619e-05</v>
      </c>
      <c r="P234" t="s">
        <v>618</v>
      </c>
      <c r="Q234" t="s">
        <v>371</v>
      </c>
      <c r="R234">
        <v>14</v>
      </c>
      <c r="S234">
        <v>0.5485714285714286</v>
      </c>
      <c r="T234">
        <v>46</v>
      </c>
      <c r="U234">
        <v>1.452608695652174</v>
      </c>
      <c r="V234">
        <v>4.5728</v>
      </c>
      <c r="W234">
        <v>3.5</v>
      </c>
      <c r="X234">
        <v>1.92</v>
      </c>
      <c r="Y234">
        <v>0.223147</v>
      </c>
      <c r="Z234">
        <v>0.3434856175972927</v>
      </c>
      <c r="AA234">
        <v>0.9253731343283582</v>
      </c>
      <c r="AB234">
        <v>0.3501655629139073</v>
      </c>
      <c r="AC234">
        <v>0.119205298013245</v>
      </c>
      <c r="AD234">
        <v>0.05463576158940397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201.99</v>
      </c>
      <c r="D235">
        <v>24993.729</v>
      </c>
      <c r="E235" t="s">
        <v>644</v>
      </c>
      <c r="F235" t="s">
        <v>613</v>
      </c>
      <c r="G235" t="s">
        <v>653</v>
      </c>
      <c r="H235" t="s">
        <v>682</v>
      </c>
      <c r="I235" t="s">
        <v>918</v>
      </c>
      <c r="J235" t="s">
        <v>1284</v>
      </c>
      <c r="K235">
        <v>43957</v>
      </c>
      <c r="L235">
        <v>0.021222283397567</v>
      </c>
      <c r="M235">
        <v>-0.07336256016895104</v>
      </c>
      <c r="N235">
        <v>0.04</v>
      </c>
      <c r="O235">
        <v>-0.01031416679104769</v>
      </c>
      <c r="P235" t="s">
        <v>618</v>
      </c>
      <c r="Q235" t="s">
        <v>371</v>
      </c>
      <c r="R235">
        <v>42</v>
      </c>
      <c r="S235">
        <v>0.6144927536231884</v>
      </c>
      <c r="T235">
        <v>138</v>
      </c>
      <c r="U235">
        <v>1.463695652173913</v>
      </c>
      <c r="V235">
        <v>6.9087</v>
      </c>
      <c r="W235">
        <v>6.9</v>
      </c>
      <c r="X235">
        <v>4.24</v>
      </c>
      <c r="Y235">
        <v>0.34575</v>
      </c>
      <c r="Z235">
        <v>0.2165820642978003</v>
      </c>
      <c r="AA235">
        <v>0.9618573797678275</v>
      </c>
      <c r="AB235">
        <v>0.3501655629139073</v>
      </c>
      <c r="AC235">
        <v>0.1092715231788079</v>
      </c>
      <c r="AD235">
        <v>0.04470198675496689</v>
      </c>
    </row>
    <row r="236" spans="1:30">
      <c r="A236" s="1" t="s">
        <v>243</v>
      </c>
      <c r="B236">
        <f>HYPERLINK("https://www.suredividend.com/sure-analysis-ERIE/","Erie Indemnity Co.")</f>
        <v>0</v>
      </c>
      <c r="C236">
        <v>182.99</v>
      </c>
      <c r="D236">
        <v>8426.25927</v>
      </c>
      <c r="E236" t="s">
        <v>646</v>
      </c>
      <c r="F236" t="s">
        <v>613</v>
      </c>
      <c r="G236" t="s">
        <v>653</v>
      </c>
      <c r="H236" t="s">
        <v>683</v>
      </c>
      <c r="I236" t="s">
        <v>919</v>
      </c>
      <c r="J236" t="s">
        <v>1277</v>
      </c>
      <c r="K236">
        <v>43899</v>
      </c>
      <c r="L236">
        <v>0.020089897494929</v>
      </c>
      <c r="M236">
        <v>-0.09030564692238918</v>
      </c>
      <c r="N236">
        <v>0.055</v>
      </c>
      <c r="O236">
        <v>-0.01300239456023955</v>
      </c>
      <c r="P236" t="s">
        <v>618</v>
      </c>
      <c r="Q236" t="s">
        <v>317</v>
      </c>
      <c r="R236">
        <v>30</v>
      </c>
      <c r="S236">
        <v>0.5771653543307087</v>
      </c>
      <c r="T236">
        <v>114</v>
      </c>
      <c r="U236">
        <v>1.605175438596491</v>
      </c>
      <c r="V236">
        <v>6.8031</v>
      </c>
      <c r="W236">
        <v>6.35</v>
      </c>
      <c r="X236">
        <v>3.665</v>
      </c>
      <c r="Y236">
        <v>-0.072406</v>
      </c>
      <c r="Z236">
        <v>0.1928934010152284</v>
      </c>
      <c r="AA236">
        <v>0.681592039800995</v>
      </c>
      <c r="AB236">
        <v>0.5786423841059603</v>
      </c>
      <c r="AC236">
        <v>0.08112582781456953</v>
      </c>
      <c r="AD236">
        <v>0.03973509933774835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152.97</v>
      </c>
      <c r="D237">
        <v>149856.586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1283</v>
      </c>
      <c r="K237">
        <v>43944</v>
      </c>
      <c r="L237">
        <v>0.017073015062547</v>
      </c>
      <c r="M237">
        <v>-0.07249425895662909</v>
      </c>
      <c r="N237">
        <v>0.04</v>
      </c>
      <c r="O237">
        <v>-0.01437816566655548</v>
      </c>
      <c r="P237" t="s">
        <v>618</v>
      </c>
      <c r="Q237" t="s">
        <v>317</v>
      </c>
      <c r="R237">
        <v>6</v>
      </c>
      <c r="S237">
        <v>0.3933823529411765</v>
      </c>
      <c r="T237">
        <v>105</v>
      </c>
      <c r="U237">
        <v>1.456857142857143</v>
      </c>
      <c r="V237">
        <v>6.051</v>
      </c>
      <c r="W237">
        <v>6.8</v>
      </c>
      <c r="X237">
        <v>2.675</v>
      </c>
      <c r="Y237">
        <v>0.363146</v>
      </c>
      <c r="Z237">
        <v>0.1421319796954315</v>
      </c>
      <c r="AA237">
        <v>0.9684908789386401</v>
      </c>
      <c r="AB237">
        <v>0.3501655629139073</v>
      </c>
      <c r="AC237">
        <v>0.1142384105960265</v>
      </c>
      <c r="AD237">
        <v>0.03642384105960265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11.24</v>
      </c>
      <c r="D238">
        <v>152.49284</v>
      </c>
      <c r="E238" t="s">
        <v>643</v>
      </c>
      <c r="F238" t="s">
        <v>613</v>
      </c>
      <c r="G238" t="s">
        <v>653</v>
      </c>
      <c r="H238" t="s">
        <v>682</v>
      </c>
      <c r="I238" t="s">
        <v>921</v>
      </c>
      <c r="J238" t="s">
        <v>1282</v>
      </c>
      <c r="K238">
        <v>43894</v>
      </c>
      <c r="L238">
        <v>0.268576544315129</v>
      </c>
      <c r="M238">
        <v>0.2953988557491674</v>
      </c>
      <c r="N238">
        <v>0.02</v>
      </c>
      <c r="O238">
        <v>0.3991462198632931</v>
      </c>
      <c r="P238" t="s">
        <v>371</v>
      </c>
      <c r="Q238" t="s">
        <v>617</v>
      </c>
      <c r="R238">
        <v>0</v>
      </c>
      <c r="S238">
        <v>0.7317073170731708</v>
      </c>
      <c r="T238">
        <v>41</v>
      </c>
      <c r="U238">
        <v>0.2741463414634147</v>
      </c>
      <c r="V238">
        <v>-0.3854</v>
      </c>
      <c r="W238">
        <v>4.1</v>
      </c>
      <c r="X238">
        <v>3</v>
      </c>
      <c r="Y238">
        <v>-0.717715</v>
      </c>
      <c r="Z238">
        <v>0.976311336717428</v>
      </c>
      <c r="AA238">
        <v>0.02985074626865672</v>
      </c>
      <c r="AB238">
        <v>0.130794701986755</v>
      </c>
      <c r="AC238">
        <v>0.9917218543046357</v>
      </c>
      <c r="AD238">
        <v>0.9933774834437087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9.535</v>
      </c>
      <c r="D239">
        <v>3911.77875</v>
      </c>
      <c r="E239" t="s">
        <v>641</v>
      </c>
      <c r="F239" t="s">
        <v>613</v>
      </c>
      <c r="G239" t="s">
        <v>653</v>
      </c>
      <c r="H239" t="s">
        <v>683</v>
      </c>
      <c r="I239" t="s">
        <v>922</v>
      </c>
      <c r="J239" t="s">
        <v>1278</v>
      </c>
      <c r="K239">
        <v>43853</v>
      </c>
      <c r="L239">
        <v>0.043243243243243</v>
      </c>
      <c r="M239">
        <v>0.3321338339540549</v>
      </c>
      <c r="N239">
        <v>0.04</v>
      </c>
      <c r="O239">
        <v>0.3966236221221868</v>
      </c>
      <c r="P239" t="s">
        <v>371</v>
      </c>
      <c r="Q239" t="s">
        <v>371</v>
      </c>
      <c r="R239">
        <v>0</v>
      </c>
      <c r="S239">
        <v>0.08</v>
      </c>
      <c r="T239">
        <v>40</v>
      </c>
      <c r="U239">
        <v>0.238375</v>
      </c>
      <c r="V239">
        <v>-1.8597</v>
      </c>
      <c r="W239">
        <v>5</v>
      </c>
      <c r="X239">
        <v>0.4</v>
      </c>
      <c r="Y239">
        <v>-0.7272189999999999</v>
      </c>
      <c r="Z239">
        <v>0.5160744500846024</v>
      </c>
      <c r="AA239">
        <v>0.02653399668325042</v>
      </c>
      <c r="AB239">
        <v>0.3501655629139073</v>
      </c>
      <c r="AC239">
        <v>0.9966887417218543</v>
      </c>
      <c r="AD239">
        <v>0.9917218543046357</v>
      </c>
    </row>
    <row r="240" spans="1:30">
      <c r="A240" s="1" t="s">
        <v>247</v>
      </c>
      <c r="B240">
        <f>HYPERLINK("https://www.suredividend.com/sure-analysis-RCL/","Royal Caribbean Cruises Ltd.")</f>
        <v>0</v>
      </c>
      <c r="C240">
        <v>38.03</v>
      </c>
      <c r="D240">
        <v>7551.21487</v>
      </c>
      <c r="E240" t="s">
        <v>644</v>
      </c>
      <c r="F240" t="s">
        <v>613</v>
      </c>
      <c r="G240" t="s">
        <v>653</v>
      </c>
      <c r="H240" t="s">
        <v>682</v>
      </c>
      <c r="I240" t="s">
        <v>923</v>
      </c>
      <c r="J240" t="s">
        <v>1280</v>
      </c>
      <c r="K240">
        <v>43869</v>
      </c>
      <c r="L240">
        <v>0.08197175297701401</v>
      </c>
      <c r="M240">
        <v>0.2666571295496456</v>
      </c>
      <c r="N240">
        <v>0.08</v>
      </c>
      <c r="O240">
        <v>0.3964481939612312</v>
      </c>
      <c r="P240" t="s">
        <v>371</v>
      </c>
      <c r="Q240" t="s">
        <v>618</v>
      </c>
      <c r="R240">
        <v>8</v>
      </c>
      <c r="S240">
        <v>0.287378640776699</v>
      </c>
      <c r="T240">
        <v>124</v>
      </c>
      <c r="U240">
        <v>0.3066935483870968</v>
      </c>
      <c r="V240">
        <v>8.9695</v>
      </c>
      <c r="W240">
        <v>10.3</v>
      </c>
      <c r="X240">
        <v>2.96</v>
      </c>
      <c r="Y240">
        <v>-0.716295</v>
      </c>
      <c r="Z240">
        <v>0.7918781725888324</v>
      </c>
      <c r="AA240">
        <v>0.03150912106135986</v>
      </c>
      <c r="AB240">
        <v>0.8228476821192053</v>
      </c>
      <c r="AC240">
        <v>0.9900662251655629</v>
      </c>
      <c r="AD240">
        <v>0.9900662251655629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16.395</v>
      </c>
      <c r="D241">
        <v>9150.970848000001</v>
      </c>
      <c r="E241" t="s">
        <v>647</v>
      </c>
      <c r="F241" t="s">
        <v>613</v>
      </c>
      <c r="G241" t="s">
        <v>653</v>
      </c>
      <c r="H241" t="s">
        <v>683</v>
      </c>
      <c r="I241" t="s">
        <v>924</v>
      </c>
      <c r="J241" t="s">
        <v>1279</v>
      </c>
      <c r="K241">
        <v>43906</v>
      </c>
      <c r="L241">
        <v>0.05241935483870901</v>
      </c>
      <c r="M241">
        <v>0.2644826935685431</v>
      </c>
      <c r="N241">
        <v>0.05</v>
      </c>
      <c r="O241">
        <v>0.3489349200467242</v>
      </c>
      <c r="P241" t="s">
        <v>371</v>
      </c>
      <c r="Q241" t="s">
        <v>618</v>
      </c>
      <c r="R241">
        <v>1</v>
      </c>
      <c r="S241">
        <v>0.1471698113207547</v>
      </c>
      <c r="T241">
        <v>53</v>
      </c>
      <c r="U241">
        <v>0.3093396226415094</v>
      </c>
      <c r="V241">
        <v>5.8534</v>
      </c>
      <c r="W241">
        <v>5.3</v>
      </c>
      <c r="X241">
        <v>0.78</v>
      </c>
      <c r="Y241">
        <v>-0.693133</v>
      </c>
      <c r="Z241">
        <v>0.6209813874788493</v>
      </c>
      <c r="AA241">
        <v>0.03980099502487562</v>
      </c>
      <c r="AB241">
        <v>0.5033112582781457</v>
      </c>
      <c r="AC241">
        <v>0.9884105960264901</v>
      </c>
      <c r="AD241">
        <v>0.9850993377483444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6.18</v>
      </c>
      <c r="D242">
        <v>557.529433</v>
      </c>
      <c r="E242" t="s">
        <v>650</v>
      </c>
      <c r="F242" t="s">
        <v>614</v>
      </c>
      <c r="G242" t="s">
        <v>653</v>
      </c>
      <c r="H242" t="s">
        <v>682</v>
      </c>
      <c r="I242" t="s">
        <v>925</v>
      </c>
      <c r="J242" t="s">
        <v>1282</v>
      </c>
      <c r="K242">
        <v>43868</v>
      </c>
      <c r="L242">
        <v>0.236227045075125</v>
      </c>
      <c r="M242">
        <v>0.2243119521886459</v>
      </c>
      <c r="N242">
        <v>0.02</v>
      </c>
      <c r="O242">
        <v>0.3366033790773575</v>
      </c>
      <c r="P242" t="s">
        <v>371</v>
      </c>
      <c r="Q242" t="s">
        <v>617</v>
      </c>
      <c r="R242">
        <v>27</v>
      </c>
      <c r="S242">
        <v>0.7075</v>
      </c>
      <c r="T242">
        <v>17</v>
      </c>
      <c r="U242">
        <v>0.3635294117647059</v>
      </c>
      <c r="V242">
        <v>0.9281</v>
      </c>
      <c r="W242">
        <v>2</v>
      </c>
      <c r="X242">
        <v>1.415</v>
      </c>
      <c r="Y242">
        <v>-0.6818909999999999</v>
      </c>
      <c r="Z242">
        <v>0.9661590524534687</v>
      </c>
      <c r="AA242">
        <v>0.04311774461028192</v>
      </c>
      <c r="AB242">
        <v>0.130794701986755</v>
      </c>
      <c r="AC242">
        <v>0.9834437086092715</v>
      </c>
      <c r="AD242">
        <v>0.9817880794701986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29.75</v>
      </c>
      <c r="D243">
        <v>11858.43555</v>
      </c>
      <c r="E243" t="s">
        <v>646</v>
      </c>
      <c r="F243" t="s">
        <v>613</v>
      </c>
      <c r="G243" t="s">
        <v>653</v>
      </c>
      <c r="H243" t="s">
        <v>682</v>
      </c>
      <c r="I243" t="s">
        <v>926</v>
      </c>
      <c r="J243" t="s">
        <v>1285</v>
      </c>
      <c r="K243">
        <v>43892</v>
      </c>
      <c r="L243">
        <v>0.1282722513089</v>
      </c>
      <c r="M243">
        <v>0.1933534837248507</v>
      </c>
      <c r="N243">
        <v>0.065</v>
      </c>
      <c r="O243">
        <v>0.3260967938531887</v>
      </c>
      <c r="P243" t="s">
        <v>371</v>
      </c>
      <c r="Q243" t="s">
        <v>617</v>
      </c>
      <c r="R243">
        <v>18</v>
      </c>
      <c r="S243">
        <v>0.6681818181818181</v>
      </c>
      <c r="T243">
        <v>72</v>
      </c>
      <c r="U243">
        <v>0.4131944444444444</v>
      </c>
      <c r="V243">
        <v>1.9312</v>
      </c>
      <c r="W243">
        <v>5.5</v>
      </c>
      <c r="X243">
        <v>3.675</v>
      </c>
      <c r="Y243">
        <v>-0.5680689999999999</v>
      </c>
      <c r="Z243">
        <v>0.8900169204737733</v>
      </c>
      <c r="AA243">
        <v>0.09950248756218905</v>
      </c>
      <c r="AB243">
        <v>0.7019867549668873</v>
      </c>
      <c r="AC243">
        <v>0.9635761589403974</v>
      </c>
      <c r="AD243">
        <v>0.9768211920529801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28.25</v>
      </c>
      <c r="D244">
        <v>3411.54055</v>
      </c>
      <c r="E244" t="s">
        <v>644</v>
      </c>
      <c r="F244" t="s">
        <v>613</v>
      </c>
      <c r="G244" t="s">
        <v>653</v>
      </c>
      <c r="H244" t="s">
        <v>682</v>
      </c>
      <c r="I244" t="s">
        <v>927</v>
      </c>
      <c r="J244" t="s">
        <v>1278</v>
      </c>
      <c r="K244">
        <v>43862</v>
      </c>
      <c r="L244">
        <v>0.051203736974487</v>
      </c>
      <c r="M244">
        <v>0.2220654179806398</v>
      </c>
      <c r="N244">
        <v>0.06</v>
      </c>
      <c r="O244">
        <v>0.3187411806906875</v>
      </c>
      <c r="P244" t="s">
        <v>371</v>
      </c>
      <c r="Q244" t="s">
        <v>618</v>
      </c>
      <c r="R244">
        <v>7</v>
      </c>
      <c r="S244">
        <v>0.2035714285714286</v>
      </c>
      <c r="T244">
        <v>77</v>
      </c>
      <c r="U244">
        <v>0.3668831168831169</v>
      </c>
      <c r="V244">
        <v>4.3158</v>
      </c>
      <c r="W244">
        <v>7</v>
      </c>
      <c r="X244">
        <v>1.425</v>
      </c>
      <c r="Y244">
        <v>-0.544443</v>
      </c>
      <c r="Z244">
        <v>0.6091370558375635</v>
      </c>
      <c r="AA244">
        <v>0.1127694859038143</v>
      </c>
      <c r="AB244">
        <v>0.6423841059602649</v>
      </c>
      <c r="AC244">
        <v>0.9817880794701986</v>
      </c>
      <c r="AD244">
        <v>0.9751655629139073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13.39</v>
      </c>
      <c r="D245">
        <v>571.289292</v>
      </c>
      <c r="E245" t="s">
        <v>643</v>
      </c>
      <c r="F245" t="s">
        <v>613</v>
      </c>
      <c r="G245" t="s">
        <v>653</v>
      </c>
      <c r="H245" t="s">
        <v>682</v>
      </c>
      <c r="I245" t="s">
        <v>928</v>
      </c>
      <c r="J245" t="s">
        <v>1279</v>
      </c>
      <c r="K245">
        <v>43868</v>
      </c>
      <c r="L245">
        <v>0.182539682539682</v>
      </c>
      <c r="M245">
        <v>0.19769620255607</v>
      </c>
      <c r="N245">
        <v>0.036</v>
      </c>
      <c r="O245">
        <v>0.3088568621305994</v>
      </c>
      <c r="P245" t="s">
        <v>371</v>
      </c>
      <c r="Q245" t="s">
        <v>617</v>
      </c>
      <c r="R245">
        <v>27</v>
      </c>
      <c r="S245">
        <v>0.8424908424908424</v>
      </c>
      <c r="T245">
        <v>33</v>
      </c>
      <c r="U245">
        <v>0.4057575757575758</v>
      </c>
      <c r="V245">
        <v>-0.5887</v>
      </c>
      <c r="W245">
        <v>2.73</v>
      </c>
      <c r="X245">
        <v>2.3</v>
      </c>
      <c r="Y245">
        <v>-0.788555</v>
      </c>
      <c r="Z245">
        <v>0.9526226734348562</v>
      </c>
      <c r="AA245">
        <v>0.008291873963515755</v>
      </c>
      <c r="AB245">
        <v>0.2806291390728477</v>
      </c>
      <c r="AC245">
        <v>0.966887417218543</v>
      </c>
      <c r="AD245">
        <v>0.9701986754966887</v>
      </c>
    </row>
    <row r="246" spans="1:30">
      <c r="A246" s="1" t="s">
        <v>253</v>
      </c>
      <c r="B246">
        <f>HYPERLINK("https://www.suredividend.com/sure-analysis-MFGP/","Micro Focus International Plc")</f>
        <v>0</v>
      </c>
      <c r="C246">
        <v>5.86</v>
      </c>
      <c r="D246">
        <v>1907.4822</v>
      </c>
      <c r="E246" t="s">
        <v>643</v>
      </c>
      <c r="F246" t="s">
        <v>613</v>
      </c>
      <c r="G246" t="s">
        <v>655</v>
      </c>
      <c r="H246" t="s">
        <v>682</v>
      </c>
      <c r="I246" t="s">
        <v>929</v>
      </c>
      <c r="J246" t="s">
        <v>1286</v>
      </c>
      <c r="K246">
        <v>43872</v>
      </c>
      <c r="L246">
        <v>0.195944912280701</v>
      </c>
      <c r="M246">
        <v>0.1727600065884665</v>
      </c>
      <c r="N246">
        <v>0.04</v>
      </c>
      <c r="O246">
        <v>0.3075520030096042</v>
      </c>
      <c r="P246" t="s">
        <v>371</v>
      </c>
      <c r="Q246" t="s">
        <v>617</v>
      </c>
      <c r="R246">
        <v>2</v>
      </c>
      <c r="S246">
        <v>0.6204922222222222</v>
      </c>
      <c r="T246">
        <v>13</v>
      </c>
      <c r="U246">
        <v>0.4507692307692308</v>
      </c>
      <c r="V246">
        <v>-0.7031000000000001</v>
      </c>
      <c r="W246">
        <v>1.8</v>
      </c>
      <c r="X246">
        <v>1.116886</v>
      </c>
      <c r="Y246">
        <v>-0.751092</v>
      </c>
      <c r="Z246">
        <v>0.9593908629441624</v>
      </c>
      <c r="AA246">
        <v>0.02321724709784411</v>
      </c>
      <c r="AB246">
        <v>0.3501655629139073</v>
      </c>
      <c r="AC246">
        <v>0.9486754966887417</v>
      </c>
      <c r="AD246">
        <v>0.9685430463576159</v>
      </c>
    </row>
    <row r="247" spans="1:30">
      <c r="A247" s="1" t="s">
        <v>254</v>
      </c>
      <c r="B247">
        <f>HYPERLINK("https://www.suredividend.com/sure-analysis-RRD/","R.R. Donnelley &amp; Sons Co.")</f>
        <v>0</v>
      </c>
      <c r="C247">
        <v>1.18</v>
      </c>
      <c r="D247">
        <v>87.699</v>
      </c>
      <c r="E247" t="s">
        <v>641</v>
      </c>
      <c r="F247" t="s">
        <v>613</v>
      </c>
      <c r="G247" t="s">
        <v>653</v>
      </c>
      <c r="H247" t="s">
        <v>682</v>
      </c>
      <c r="I247" t="s">
        <v>930</v>
      </c>
      <c r="J247" t="s">
        <v>1278</v>
      </c>
      <c r="K247">
        <v>43888</v>
      </c>
      <c r="L247">
        <v>0.097560975609756</v>
      </c>
      <c r="M247">
        <v>0.26351475499257</v>
      </c>
      <c r="N247">
        <v>0</v>
      </c>
      <c r="O247">
        <v>0.3011103567478237</v>
      </c>
      <c r="P247" t="s">
        <v>371</v>
      </c>
      <c r="Q247" t="s">
        <v>617</v>
      </c>
      <c r="R247">
        <v>0</v>
      </c>
      <c r="S247">
        <v>0.16</v>
      </c>
      <c r="T247">
        <v>3.8</v>
      </c>
      <c r="U247">
        <v>0.3105263157894737</v>
      </c>
      <c r="V247">
        <v>-1.362</v>
      </c>
      <c r="W247">
        <v>0.75</v>
      </c>
      <c r="X247">
        <v>0.12</v>
      </c>
      <c r="Y247">
        <v>-0.652542</v>
      </c>
      <c r="Z247">
        <v>0.8375634517766497</v>
      </c>
      <c r="AA247">
        <v>0.05804311774461028</v>
      </c>
      <c r="AB247">
        <v>0.02897350993377483</v>
      </c>
      <c r="AC247">
        <v>0.9867549668874172</v>
      </c>
      <c r="AD247">
        <v>0.966887417218543</v>
      </c>
    </row>
    <row r="248" spans="1:30">
      <c r="A248" s="1" t="s">
        <v>255</v>
      </c>
      <c r="B248">
        <f>HYPERLINK("https://www.suredividend.com/sure-analysis-IPPLF/","Inter Pipeline Ltd.")</f>
        <v>0</v>
      </c>
      <c r="C248">
        <v>7.89</v>
      </c>
      <c r="D248">
        <v>3298.02</v>
      </c>
      <c r="E248" t="s">
        <v>645</v>
      </c>
      <c r="F248" t="s">
        <v>613</v>
      </c>
      <c r="G248" t="s">
        <v>654</v>
      </c>
      <c r="H248" t="s">
        <v>684</v>
      </c>
      <c r="I248" t="s">
        <v>931</v>
      </c>
      <c r="J248" t="s">
        <v>1285</v>
      </c>
      <c r="K248">
        <v>43886</v>
      </c>
      <c r="L248">
        <v>0.163330348905022</v>
      </c>
      <c r="M248">
        <v>0.1659351184658946</v>
      </c>
      <c r="N248">
        <v>0.05</v>
      </c>
      <c r="O248">
        <v>0.2952536508626447</v>
      </c>
      <c r="P248" t="s">
        <v>371</v>
      </c>
      <c r="Q248" t="s">
        <v>617</v>
      </c>
      <c r="R248">
        <v>11</v>
      </c>
      <c r="S248">
        <v>0.7810160320367455</v>
      </c>
      <c r="T248">
        <v>17</v>
      </c>
      <c r="U248">
        <v>0.4641176470588235</v>
      </c>
      <c r="V248">
        <v>0.9841000000000001</v>
      </c>
      <c r="W248">
        <v>1.65</v>
      </c>
      <c r="X248">
        <v>1.28867645286063</v>
      </c>
      <c r="Y248">
        <v>-0.490691</v>
      </c>
      <c r="Z248">
        <v>0.9357021996615906</v>
      </c>
      <c r="AA248">
        <v>0.1592039800995025</v>
      </c>
      <c r="AB248">
        <v>0.5033112582781457</v>
      </c>
      <c r="AC248">
        <v>0.945364238410596</v>
      </c>
      <c r="AD248">
        <v>0.9619205298013245</v>
      </c>
    </row>
    <row r="249" spans="1:30">
      <c r="A249" s="1" t="s">
        <v>256</v>
      </c>
      <c r="B249">
        <f>HYPERLINK("https://www.suredividend.com/sure-analysis-PBR/","Petróleo Brasileiro SA")</f>
        <v>0</v>
      </c>
      <c r="C249">
        <v>6.33</v>
      </c>
      <c r="D249">
        <v>23554.649215</v>
      </c>
      <c r="E249" t="s">
        <v>642</v>
      </c>
      <c r="F249" t="s">
        <v>613</v>
      </c>
      <c r="G249" t="s">
        <v>664</v>
      </c>
      <c r="H249" t="s">
        <v>682</v>
      </c>
      <c r="I249" t="s">
        <v>932</v>
      </c>
      <c r="J249" t="s">
        <v>1285</v>
      </c>
      <c r="K249">
        <v>43886</v>
      </c>
      <c r="L249">
        <v>0.044408372827804</v>
      </c>
      <c r="M249">
        <v>0.1548030665228675</v>
      </c>
      <c r="N249">
        <v>0.1</v>
      </c>
      <c r="O249">
        <v>0.2811282611099684</v>
      </c>
      <c r="P249" t="s">
        <v>371</v>
      </c>
      <c r="Q249" t="s">
        <v>371</v>
      </c>
      <c r="R249">
        <v>0</v>
      </c>
      <c r="S249">
        <v>0.2342541666666667</v>
      </c>
      <c r="T249">
        <v>13</v>
      </c>
      <c r="U249">
        <v>0.4869230769230769</v>
      </c>
      <c r="V249">
        <v>1.5567</v>
      </c>
      <c r="W249">
        <v>1.2</v>
      </c>
      <c r="X249">
        <v>0.281105</v>
      </c>
      <c r="Y249">
        <v>-0.5696800000000001</v>
      </c>
      <c r="Z249">
        <v>0.5279187817258884</v>
      </c>
      <c r="AA249">
        <v>0.0978441127694859</v>
      </c>
      <c r="AB249">
        <v>0.9097682119205298</v>
      </c>
      <c r="AC249">
        <v>0.9337748344370861</v>
      </c>
      <c r="AD249">
        <v>0.9586092715231789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15.08</v>
      </c>
      <c r="D250">
        <v>5287.62052</v>
      </c>
      <c r="E250" t="s">
        <v>646</v>
      </c>
      <c r="F250" t="s">
        <v>613</v>
      </c>
      <c r="G250" t="s">
        <v>653</v>
      </c>
      <c r="H250" t="s">
        <v>682</v>
      </c>
      <c r="I250" t="s">
        <v>933</v>
      </c>
      <c r="J250" t="s">
        <v>1277</v>
      </c>
      <c r="K250">
        <v>43856</v>
      </c>
      <c r="L250">
        <v>0.04940014114326</v>
      </c>
      <c r="M250">
        <v>0.1834048383661915</v>
      </c>
      <c r="N250">
        <v>0.06</v>
      </c>
      <c r="O250">
        <v>0.2805758697171483</v>
      </c>
      <c r="P250" t="s">
        <v>371</v>
      </c>
      <c r="Q250" t="s">
        <v>371</v>
      </c>
      <c r="R250">
        <v>4</v>
      </c>
      <c r="S250">
        <v>0.1678657074340528</v>
      </c>
      <c r="T250">
        <v>35</v>
      </c>
      <c r="U250">
        <v>0.4308571428571429</v>
      </c>
      <c r="V250">
        <v>2.582</v>
      </c>
      <c r="W250">
        <v>4.17</v>
      </c>
      <c r="X250">
        <v>0.7000000000000001</v>
      </c>
      <c r="Y250">
        <v>-0.520149</v>
      </c>
      <c r="Z250">
        <v>0.5922165820642978</v>
      </c>
      <c r="AA250">
        <v>0.1326699834162521</v>
      </c>
      <c r="AB250">
        <v>0.6423841059602649</v>
      </c>
      <c r="AC250">
        <v>0.9552980132450331</v>
      </c>
      <c r="AD250">
        <v>0.9552980132450331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11.79</v>
      </c>
      <c r="D251">
        <v>537.14381</v>
      </c>
      <c r="E251" t="s">
        <v>644</v>
      </c>
      <c r="F251" t="s">
        <v>613</v>
      </c>
      <c r="G251" t="s">
        <v>653</v>
      </c>
      <c r="H251" t="s">
        <v>683</v>
      </c>
      <c r="I251" t="s">
        <v>934</v>
      </c>
      <c r="J251" t="s">
        <v>1278</v>
      </c>
      <c r="K251">
        <v>43865</v>
      </c>
      <c r="L251">
        <v>0.04106073567151401</v>
      </c>
      <c r="M251">
        <v>0.1972279263218883</v>
      </c>
      <c r="N251">
        <v>0.035</v>
      </c>
      <c r="O251">
        <v>0.2569449827961561</v>
      </c>
      <c r="P251" t="s">
        <v>371</v>
      </c>
      <c r="Q251" t="s">
        <v>371</v>
      </c>
      <c r="R251">
        <v>0</v>
      </c>
      <c r="S251">
        <v>0.1263157894736842</v>
      </c>
      <c r="T251">
        <v>29</v>
      </c>
      <c r="U251">
        <v>0.406551724137931</v>
      </c>
      <c r="V251">
        <v>0.8386</v>
      </c>
      <c r="W251">
        <v>3.8</v>
      </c>
      <c r="X251">
        <v>0.48</v>
      </c>
      <c r="Y251">
        <v>-0.5761419999999999</v>
      </c>
      <c r="Z251">
        <v>0.4906937394247039</v>
      </c>
      <c r="AA251">
        <v>0.09618573797678275</v>
      </c>
      <c r="AB251">
        <v>0.2698675496688742</v>
      </c>
      <c r="AC251">
        <v>0.9652317880794702</v>
      </c>
      <c r="AD251">
        <v>0.9437086092715232</v>
      </c>
    </row>
    <row r="252" spans="1:30">
      <c r="A252" s="1" t="s">
        <v>259</v>
      </c>
      <c r="B252">
        <f>HYPERLINK("https://www.suredividend.com/sure-analysis-DFS/","Discover Financial Services")</f>
        <v>0</v>
      </c>
      <c r="C252">
        <v>40.48</v>
      </c>
      <c r="D252">
        <v>11988.62114</v>
      </c>
      <c r="E252" t="s">
        <v>646</v>
      </c>
      <c r="F252" t="s">
        <v>613</v>
      </c>
      <c r="G252" t="s">
        <v>653</v>
      </c>
      <c r="H252" t="s">
        <v>682</v>
      </c>
      <c r="I252" t="s">
        <v>935</v>
      </c>
      <c r="J252" t="s">
        <v>1277</v>
      </c>
      <c r="K252">
        <v>43946</v>
      </c>
      <c r="L252">
        <v>0.043944813490035</v>
      </c>
      <c r="M252">
        <v>0.1488118403139111</v>
      </c>
      <c r="N252">
        <v>0.075</v>
      </c>
      <c r="O252">
        <v>0.2565694242957199</v>
      </c>
      <c r="P252" t="s">
        <v>371</v>
      </c>
      <c r="Q252" t="s">
        <v>371</v>
      </c>
      <c r="R252">
        <v>9</v>
      </c>
      <c r="S252">
        <v>0.3510204081632653</v>
      </c>
      <c r="T252">
        <v>81</v>
      </c>
      <c r="U252">
        <v>0.499753086419753</v>
      </c>
      <c r="V252">
        <v>6.689</v>
      </c>
      <c r="W252">
        <v>4.9</v>
      </c>
      <c r="X252">
        <v>1.72</v>
      </c>
      <c r="Y252">
        <v>-0.513608</v>
      </c>
      <c r="Z252">
        <v>0.5228426395939086</v>
      </c>
      <c r="AA252">
        <v>0.1409618573797678</v>
      </c>
      <c r="AB252">
        <v>0.7839403973509934</v>
      </c>
      <c r="AC252">
        <v>0.9271523178807947</v>
      </c>
      <c r="AD252">
        <v>0.9403973509933775</v>
      </c>
    </row>
    <row r="253" spans="1:30">
      <c r="A253" s="1" t="s">
        <v>260</v>
      </c>
      <c r="B253">
        <f>HYPERLINK("https://www.suredividend.com/sure-analysis-GPS/","Gap, Inc.")</f>
        <v>0</v>
      </c>
      <c r="C253">
        <v>7.42</v>
      </c>
      <c r="D253">
        <v>2671.82163</v>
      </c>
      <c r="E253" t="s">
        <v>647</v>
      </c>
      <c r="F253" t="s">
        <v>613</v>
      </c>
      <c r="G253" t="s">
        <v>653</v>
      </c>
      <c r="H253" t="s">
        <v>682</v>
      </c>
      <c r="I253" t="s">
        <v>936</v>
      </c>
      <c r="J253" t="s">
        <v>1280</v>
      </c>
      <c r="K253">
        <v>43904</v>
      </c>
      <c r="L253">
        <v>0.135285913528591</v>
      </c>
      <c r="M253">
        <v>0.180345104754535</v>
      </c>
      <c r="N253">
        <v>0.01</v>
      </c>
      <c r="O253">
        <v>0.2508063224447461</v>
      </c>
      <c r="P253" t="s">
        <v>371</v>
      </c>
      <c r="Q253" t="s">
        <v>617</v>
      </c>
      <c r="R253">
        <v>1</v>
      </c>
      <c r="S253">
        <v>0.521505376344086</v>
      </c>
      <c r="T253">
        <v>17</v>
      </c>
      <c r="U253">
        <v>0.4364705882352941</v>
      </c>
      <c r="V253">
        <v>0.9234</v>
      </c>
      <c r="W253">
        <v>1.86</v>
      </c>
      <c r="X253">
        <v>0.97</v>
      </c>
      <c r="Y253">
        <v>-0.712279</v>
      </c>
      <c r="Z253">
        <v>0.8934010152284264</v>
      </c>
      <c r="AA253">
        <v>0.03482587064676617</v>
      </c>
      <c r="AB253">
        <v>0.05711920529801325</v>
      </c>
      <c r="AC253">
        <v>0.9536423841059603</v>
      </c>
      <c r="AD253">
        <v>0.9354304635761589</v>
      </c>
    </row>
    <row r="254" spans="1:30">
      <c r="A254" s="1" t="s">
        <v>261</v>
      </c>
      <c r="B254">
        <f>HYPERLINK("https://www.suredividend.com/sure-analysis-RDS.B/","Royal Dutch Shell Plc")</f>
        <v>0</v>
      </c>
      <c r="C254">
        <v>30.86</v>
      </c>
      <c r="D254">
        <v>56228.5152</v>
      </c>
      <c r="E254" t="s">
        <v>648</v>
      </c>
      <c r="F254" t="s">
        <v>613</v>
      </c>
      <c r="G254" t="s">
        <v>665</v>
      </c>
      <c r="H254" t="s">
        <v>682</v>
      </c>
      <c r="I254" t="s">
        <v>937</v>
      </c>
      <c r="J254" t="s">
        <v>1285</v>
      </c>
      <c r="K254">
        <v>43865</v>
      </c>
      <c r="L254">
        <v>0.123928806855636</v>
      </c>
      <c r="M254">
        <v>0.1422234333971786</v>
      </c>
      <c r="N254">
        <v>0.04</v>
      </c>
      <c r="O254">
        <v>0.2436224990132707</v>
      </c>
      <c r="P254" t="s">
        <v>371</v>
      </c>
      <c r="Q254" t="s">
        <v>618</v>
      </c>
      <c r="R254">
        <v>0</v>
      </c>
      <c r="S254">
        <v>0.752</v>
      </c>
      <c r="T254">
        <v>60</v>
      </c>
      <c r="U254">
        <v>0.5143333333333333</v>
      </c>
      <c r="V254">
        <v>3.9292</v>
      </c>
      <c r="W254">
        <v>5</v>
      </c>
      <c r="X254">
        <v>3.76</v>
      </c>
      <c r="Y254">
        <v>-0.518795</v>
      </c>
      <c r="Z254">
        <v>0.8849407783417935</v>
      </c>
      <c r="AA254">
        <v>0.1343283582089552</v>
      </c>
      <c r="AB254">
        <v>0.3501655629139073</v>
      </c>
      <c r="AC254">
        <v>0.912251655629139</v>
      </c>
      <c r="AD254">
        <v>0.9254966887417219</v>
      </c>
    </row>
    <row r="255" spans="1:30">
      <c r="A255" s="1" t="s">
        <v>262</v>
      </c>
      <c r="B255">
        <f>HYPERLINK("https://www.suredividend.com/sure-analysis-VTR/","Ventas, Inc.")</f>
        <v>0</v>
      </c>
      <c r="C255">
        <v>27.08</v>
      </c>
      <c r="D255">
        <v>10606.20952</v>
      </c>
      <c r="E255" t="s">
        <v>648</v>
      </c>
      <c r="F255" t="s">
        <v>614</v>
      </c>
      <c r="G255" t="s">
        <v>653</v>
      </c>
      <c r="H255" t="s">
        <v>682</v>
      </c>
      <c r="I255" t="s">
        <v>938</v>
      </c>
      <c r="J255" t="s">
        <v>1282</v>
      </c>
      <c r="K255">
        <v>43886</v>
      </c>
      <c r="L255">
        <v>0.111501934576151</v>
      </c>
      <c r="M255">
        <v>0.1437350804435895</v>
      </c>
      <c r="N255">
        <v>0.04</v>
      </c>
      <c r="O255">
        <v>0.243552943172288</v>
      </c>
      <c r="P255" t="s">
        <v>371</v>
      </c>
      <c r="Q255" t="s">
        <v>617</v>
      </c>
      <c r="R255">
        <v>18</v>
      </c>
      <c r="S255">
        <v>0.8684931506849315</v>
      </c>
      <c r="T255">
        <v>53</v>
      </c>
      <c r="U255">
        <v>0.510943396226415</v>
      </c>
      <c r="V255">
        <v>1.1941</v>
      </c>
      <c r="W255">
        <v>3.65</v>
      </c>
      <c r="X255">
        <v>3.17</v>
      </c>
      <c r="Y255">
        <v>-0.533705</v>
      </c>
      <c r="Z255">
        <v>0.8646362098138748</v>
      </c>
      <c r="AA255">
        <v>0.12106135986733</v>
      </c>
      <c r="AB255">
        <v>0.3501655629139073</v>
      </c>
      <c r="AC255">
        <v>0.9221854304635762</v>
      </c>
      <c r="AD255">
        <v>0.9238410596026491</v>
      </c>
    </row>
    <row r="256" spans="1:30">
      <c r="A256" s="1" t="s">
        <v>263</v>
      </c>
      <c r="B256">
        <f>HYPERLINK("https://www.suredividend.com/sure-analysis-ERF/","Enerplus Corp.")</f>
        <v>0</v>
      </c>
      <c r="C256">
        <v>2.52</v>
      </c>
      <c r="D256">
        <v>536.37683</v>
      </c>
      <c r="E256" t="s">
        <v>647</v>
      </c>
      <c r="F256" t="s">
        <v>613</v>
      </c>
      <c r="G256" t="s">
        <v>654</v>
      </c>
      <c r="H256" t="s">
        <v>682</v>
      </c>
      <c r="I256" t="s">
        <v>939</v>
      </c>
      <c r="J256" t="s">
        <v>1285</v>
      </c>
      <c r="K256">
        <v>43896</v>
      </c>
      <c r="L256">
        <v>0.037524247007661</v>
      </c>
      <c r="M256">
        <v>0.1436398389607991</v>
      </c>
      <c r="N256">
        <v>0.066</v>
      </c>
      <c r="O256">
        <v>0.2382698186953198</v>
      </c>
      <c r="P256" t="s">
        <v>371</v>
      </c>
      <c r="Q256" t="s">
        <v>317</v>
      </c>
      <c r="R256">
        <v>0</v>
      </c>
      <c r="S256">
        <v>0.2009631895299222</v>
      </c>
      <c r="T256">
        <v>4.93</v>
      </c>
      <c r="U256">
        <v>0.5111561866125761</v>
      </c>
      <c r="V256">
        <v>-0.9169</v>
      </c>
      <c r="W256">
        <v>0.45</v>
      </c>
      <c r="X256">
        <v>0.09043343528846501</v>
      </c>
      <c r="Y256">
        <v>-0.709639</v>
      </c>
      <c r="Z256">
        <v>0.4517766497461929</v>
      </c>
      <c r="AA256">
        <v>0.03648424543946932</v>
      </c>
      <c r="AB256">
        <v>0.7086092715231789</v>
      </c>
      <c r="AC256">
        <v>0.9205298013245033</v>
      </c>
      <c r="AD256">
        <v>0.9139072847682119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16.58</v>
      </c>
      <c r="D257">
        <v>18141.3188</v>
      </c>
      <c r="E257" t="s">
        <v>641</v>
      </c>
      <c r="F257" t="s">
        <v>615</v>
      </c>
      <c r="G257" t="s">
        <v>653</v>
      </c>
      <c r="H257" t="s">
        <v>682</v>
      </c>
      <c r="I257" t="s">
        <v>808</v>
      </c>
      <c r="J257" t="s">
        <v>1285</v>
      </c>
      <c r="K257">
        <v>43868</v>
      </c>
      <c r="L257">
        <v>0.156942823803967</v>
      </c>
      <c r="M257">
        <v>0.1104901251905805</v>
      </c>
      <c r="N257">
        <v>0.02</v>
      </c>
      <c r="O257">
        <v>0.2238510725255722</v>
      </c>
      <c r="P257" t="s">
        <v>371</v>
      </c>
      <c r="Q257" t="s">
        <v>617</v>
      </c>
      <c r="R257">
        <v>7</v>
      </c>
      <c r="S257">
        <v>0.6725</v>
      </c>
      <c r="T257">
        <v>28</v>
      </c>
      <c r="U257">
        <v>0.5921428571428571</v>
      </c>
      <c r="V257">
        <v>-2.0123</v>
      </c>
      <c r="W257">
        <v>4</v>
      </c>
      <c r="X257">
        <v>2.69</v>
      </c>
      <c r="Y257">
        <v>-0.467537</v>
      </c>
      <c r="Z257">
        <v>0.9272419627749576</v>
      </c>
      <c r="AA257">
        <v>0.1840796019900497</v>
      </c>
      <c r="AB257">
        <v>0.130794701986755</v>
      </c>
      <c r="AC257">
        <v>0.8543046357615894</v>
      </c>
      <c r="AD257">
        <v>0.8907284768211921</v>
      </c>
    </row>
    <row r="258" spans="1:30">
      <c r="A258" s="1" t="s">
        <v>265</v>
      </c>
      <c r="B258">
        <f>HYPERLINK("https://www.suredividend.com/sure-analysis-PRU/","Prudential Financial, Inc.")</f>
        <v>0</v>
      </c>
      <c r="C258">
        <v>56.72</v>
      </c>
      <c r="D258">
        <v>21433.90128</v>
      </c>
      <c r="E258" t="s">
        <v>641</v>
      </c>
      <c r="F258" t="s">
        <v>613</v>
      </c>
      <c r="G258" t="s">
        <v>653</v>
      </c>
      <c r="H258" t="s">
        <v>682</v>
      </c>
      <c r="I258" t="s">
        <v>940</v>
      </c>
      <c r="J258" t="s">
        <v>1277</v>
      </c>
      <c r="K258">
        <v>43865</v>
      </c>
      <c r="L258">
        <v>0.07575757575757501</v>
      </c>
      <c r="M258">
        <v>0.1332192117596014</v>
      </c>
      <c r="N258">
        <v>0.04</v>
      </c>
      <c r="O258">
        <v>0.2207048746553377</v>
      </c>
      <c r="P258" t="s">
        <v>371</v>
      </c>
      <c r="Q258" t="s">
        <v>618</v>
      </c>
      <c r="R258">
        <v>12</v>
      </c>
      <c r="S258">
        <v>0.3306451612903226</v>
      </c>
      <c r="T258">
        <v>106</v>
      </c>
      <c r="U258">
        <v>0.5350943396226415</v>
      </c>
      <c r="V258">
        <v>7.299</v>
      </c>
      <c r="W258">
        <v>12.4</v>
      </c>
      <c r="X258">
        <v>4.1</v>
      </c>
      <c r="Y258">
        <v>-0.463468</v>
      </c>
      <c r="Z258">
        <v>0.7597292724196278</v>
      </c>
      <c r="AA258">
        <v>0.1890547263681592</v>
      </c>
      <c r="AB258">
        <v>0.3501655629139073</v>
      </c>
      <c r="AC258">
        <v>0.8973509933774834</v>
      </c>
      <c r="AD258">
        <v>0.8857615894039735</v>
      </c>
    </row>
    <row r="259" spans="1:30">
      <c r="A259" s="1" t="s">
        <v>266</v>
      </c>
      <c r="B259">
        <f>HYPERLINK("https://www.suredividend.com/sure-analysis-FRFHF/","Fairfax Financial Holdings Ltd.")</f>
        <v>0</v>
      </c>
      <c r="C259">
        <v>256.78</v>
      </c>
      <c r="D259">
        <v>7083.01952</v>
      </c>
      <c r="E259" t="s">
        <v>648</v>
      </c>
      <c r="F259" t="s">
        <v>613</v>
      </c>
      <c r="G259" t="s">
        <v>654</v>
      </c>
      <c r="H259" t="s">
        <v>684</v>
      </c>
      <c r="I259" t="s">
        <v>941</v>
      </c>
      <c r="J259" t="s">
        <v>1277</v>
      </c>
      <c r="K259">
        <v>43895</v>
      </c>
      <c r="L259">
        <v>0.038298509542354</v>
      </c>
      <c r="M259">
        <v>0.1729047152877599</v>
      </c>
      <c r="N259">
        <v>0.02</v>
      </c>
      <c r="O259">
        <v>0.2147961751277472</v>
      </c>
      <c r="P259" t="s">
        <v>371</v>
      </c>
      <c r="Q259" t="s">
        <v>371</v>
      </c>
      <c r="R259">
        <v>0</v>
      </c>
      <c r="S259">
        <v>0.0196685825605714</v>
      </c>
      <c r="T259">
        <v>570</v>
      </c>
      <c r="U259">
        <v>0.4504912280701754</v>
      </c>
      <c r="V259">
        <v>72.7358</v>
      </c>
      <c r="W259">
        <v>500</v>
      </c>
      <c r="X259">
        <v>9.834291280285701</v>
      </c>
      <c r="Y259">
        <v>-0.451587</v>
      </c>
      <c r="Z259">
        <v>0.455160744500846</v>
      </c>
      <c r="AA259">
        <v>0.2023217247097844</v>
      </c>
      <c r="AB259">
        <v>0.130794701986755</v>
      </c>
      <c r="AC259">
        <v>0.9503311258278145</v>
      </c>
      <c r="AD259">
        <v>0.8824503311258277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34.9</v>
      </c>
      <c r="D260">
        <v>88481.625455</v>
      </c>
      <c r="E260" t="s">
        <v>648</v>
      </c>
      <c r="F260" t="s">
        <v>613</v>
      </c>
      <c r="G260" t="s">
        <v>666</v>
      </c>
      <c r="H260" t="s">
        <v>682</v>
      </c>
      <c r="I260" t="s">
        <v>942</v>
      </c>
      <c r="J260" t="s">
        <v>1285</v>
      </c>
      <c r="K260">
        <v>43867</v>
      </c>
      <c r="L260">
        <v>0.085372698041508</v>
      </c>
      <c r="M260">
        <v>0.13590942154395</v>
      </c>
      <c r="N260">
        <v>0.02</v>
      </c>
      <c r="O260">
        <v>0.2055987184823433</v>
      </c>
      <c r="P260" t="s">
        <v>371</v>
      </c>
      <c r="Q260" t="s">
        <v>617</v>
      </c>
      <c r="R260">
        <v>3</v>
      </c>
      <c r="S260">
        <v>0.5310181818181818</v>
      </c>
      <c r="T260">
        <v>66</v>
      </c>
      <c r="U260">
        <v>0.5287878787878788</v>
      </c>
      <c r="V260">
        <v>4.3362</v>
      </c>
      <c r="W260">
        <v>5.5</v>
      </c>
      <c r="X260">
        <v>2.9206</v>
      </c>
      <c r="Y260">
        <v>-0.348008</v>
      </c>
      <c r="Z260">
        <v>0.7986463620981388</v>
      </c>
      <c r="AA260">
        <v>0.3266998341625207</v>
      </c>
      <c r="AB260">
        <v>0.130794701986755</v>
      </c>
      <c r="AC260">
        <v>0.9023178807947019</v>
      </c>
      <c r="AD260">
        <v>0.8658940397350993</v>
      </c>
    </row>
    <row r="261" spans="1:30">
      <c r="A261" s="1" t="s">
        <v>268</v>
      </c>
      <c r="B261">
        <f>HYPERLINK("https://www.suredividend.com/sure-analysis-KTB/","Kontoor Brands, Inc.")</f>
        <v>0</v>
      </c>
      <c r="C261">
        <v>18.68</v>
      </c>
      <c r="D261">
        <v>1121.44572</v>
      </c>
      <c r="E261" t="s">
        <v>646</v>
      </c>
      <c r="F261" t="s">
        <v>613</v>
      </c>
      <c r="G261" t="s">
        <v>653</v>
      </c>
      <c r="H261" t="s">
        <v>682</v>
      </c>
      <c r="I261" t="s">
        <v>943</v>
      </c>
      <c r="J261" t="s">
        <v>1280</v>
      </c>
      <c r="K261">
        <v>43907</v>
      </c>
      <c r="L261">
        <v>0.08545269582909401</v>
      </c>
      <c r="M261">
        <v>0.09938264426965393</v>
      </c>
      <c r="N261">
        <v>0.03</v>
      </c>
      <c r="O261">
        <v>0.2009146470994949</v>
      </c>
      <c r="P261" t="s">
        <v>371</v>
      </c>
      <c r="Q261" t="s">
        <v>617</v>
      </c>
      <c r="R261">
        <v>0</v>
      </c>
      <c r="S261">
        <v>0.5694915254237288</v>
      </c>
      <c r="T261">
        <v>30</v>
      </c>
      <c r="U261">
        <v>0.6226666666666667</v>
      </c>
      <c r="V261">
        <v>1.705</v>
      </c>
      <c r="W261">
        <v>2.95</v>
      </c>
      <c r="X261">
        <v>1.68</v>
      </c>
      <c r="Y261">
        <v>-0.490674</v>
      </c>
      <c r="Z261">
        <v>0.802030456852792</v>
      </c>
      <c r="AA261">
        <v>0.1608623548922056</v>
      </c>
      <c r="AB261">
        <v>0.2185430463576159</v>
      </c>
      <c r="AC261">
        <v>0.8245033112582781</v>
      </c>
      <c r="AD261">
        <v>0.8576158940397351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37.6</v>
      </c>
      <c r="D262">
        <v>8158.951006</v>
      </c>
      <c r="E262" t="s">
        <v>641</v>
      </c>
      <c r="F262" t="s">
        <v>613</v>
      </c>
      <c r="G262" t="s">
        <v>653</v>
      </c>
      <c r="H262" t="s">
        <v>682</v>
      </c>
      <c r="I262" t="s">
        <v>944</v>
      </c>
      <c r="J262" t="s">
        <v>1284</v>
      </c>
      <c r="K262">
        <v>43878</v>
      </c>
      <c r="L262">
        <v>0.05626326963906501</v>
      </c>
      <c r="M262">
        <v>0.1087421063462102</v>
      </c>
      <c r="N262">
        <v>0.05</v>
      </c>
      <c r="O262">
        <v>0.1982087938004347</v>
      </c>
      <c r="P262" t="s">
        <v>371</v>
      </c>
      <c r="Q262" t="s">
        <v>618</v>
      </c>
      <c r="R262">
        <v>1</v>
      </c>
      <c r="S262">
        <v>0.4711111111111111</v>
      </c>
      <c r="T262">
        <v>63</v>
      </c>
      <c r="U262">
        <v>0.5968253968253968</v>
      </c>
      <c r="V262">
        <v>-0.1234</v>
      </c>
      <c r="W262">
        <v>4.5</v>
      </c>
      <c r="X262">
        <v>2.12</v>
      </c>
      <c r="Y262">
        <v>-0.372836</v>
      </c>
      <c r="Z262">
        <v>0.6429780033840947</v>
      </c>
      <c r="AA262">
        <v>0.2868988391376451</v>
      </c>
      <c r="AB262">
        <v>0.5033112582781457</v>
      </c>
      <c r="AC262">
        <v>0.8526490066225166</v>
      </c>
      <c r="AD262">
        <v>0.8559602649006622</v>
      </c>
    </row>
    <row r="263" spans="1:30">
      <c r="A263" s="1" t="s">
        <v>270</v>
      </c>
      <c r="B263">
        <f>HYPERLINK("https://www.suredividend.com/sure-analysis-MMP/","Magellan Midstream Partners LP")</f>
        <v>0</v>
      </c>
      <c r="C263">
        <v>41.18</v>
      </c>
      <c r="D263">
        <v>9600.88896</v>
      </c>
      <c r="E263" t="s">
        <v>648</v>
      </c>
      <c r="F263" t="s">
        <v>615</v>
      </c>
      <c r="G263" t="s">
        <v>653</v>
      </c>
      <c r="H263" t="s">
        <v>682</v>
      </c>
      <c r="I263" t="s">
        <v>945</v>
      </c>
      <c r="J263" t="s">
        <v>1285</v>
      </c>
      <c r="K263">
        <v>43956</v>
      </c>
      <c r="L263">
        <v>0.09528832630098401</v>
      </c>
      <c r="M263">
        <v>0.06340901313904923</v>
      </c>
      <c r="N263">
        <v>0.05</v>
      </c>
      <c r="O263">
        <v>0.1827933657857501</v>
      </c>
      <c r="P263" t="s">
        <v>371</v>
      </c>
      <c r="Q263" t="s">
        <v>618</v>
      </c>
      <c r="R263">
        <v>20</v>
      </c>
      <c r="S263">
        <v>0.8648936170212767</v>
      </c>
      <c r="T263">
        <v>56</v>
      </c>
      <c r="U263">
        <v>0.7353571428571428</v>
      </c>
      <c r="V263">
        <v>4.8194</v>
      </c>
      <c r="W263">
        <v>4.7</v>
      </c>
      <c r="X263">
        <v>4.065</v>
      </c>
      <c r="Y263">
        <v>-0.297315</v>
      </c>
      <c r="Z263">
        <v>0.83248730964467</v>
      </c>
      <c r="AA263">
        <v>0.3830845771144278</v>
      </c>
      <c r="AB263">
        <v>0.5033112582781457</v>
      </c>
      <c r="AC263">
        <v>0.7185430463576159</v>
      </c>
      <c r="AD263">
        <v>0.8245033112582781</v>
      </c>
    </row>
    <row r="264" spans="1:30">
      <c r="A264" s="1" t="s">
        <v>271</v>
      </c>
      <c r="B264">
        <f>HYPERLINK("https://www.suredividend.com/sure-analysis-MGA/","Magna International, Inc.")</f>
        <v>0</v>
      </c>
      <c r="C264">
        <v>38.25</v>
      </c>
      <c r="D264">
        <v>10895.81625</v>
      </c>
      <c r="E264" t="s">
        <v>645</v>
      </c>
      <c r="F264" t="s">
        <v>613</v>
      </c>
      <c r="G264" t="s">
        <v>654</v>
      </c>
      <c r="H264" t="s">
        <v>682</v>
      </c>
      <c r="I264" t="s">
        <v>946</v>
      </c>
      <c r="J264" t="s">
        <v>1280</v>
      </c>
      <c r="K264">
        <v>43896</v>
      </c>
      <c r="L264">
        <v>0.040361286543893</v>
      </c>
      <c r="M264">
        <v>0.09054631459164475</v>
      </c>
      <c r="N264">
        <v>0.06</v>
      </c>
      <c r="O264">
        <v>0.1827003344771911</v>
      </c>
      <c r="P264" t="s">
        <v>371</v>
      </c>
      <c r="Q264" t="s">
        <v>371</v>
      </c>
      <c r="R264">
        <v>9</v>
      </c>
      <c r="S264">
        <v>0.2298701397695203</v>
      </c>
      <c r="T264">
        <v>59</v>
      </c>
      <c r="U264">
        <v>0.6483050847457628</v>
      </c>
      <c r="V264">
        <v>5.5143</v>
      </c>
      <c r="W264">
        <v>6.4</v>
      </c>
      <c r="X264">
        <v>1.47116889452493</v>
      </c>
      <c r="Y264">
        <v>-0.32047</v>
      </c>
      <c r="Z264">
        <v>0.4839255499153976</v>
      </c>
      <c r="AA264">
        <v>0.3565505804311775</v>
      </c>
      <c r="AB264">
        <v>0.6423841059602649</v>
      </c>
      <c r="AC264">
        <v>0.804635761589404</v>
      </c>
      <c r="AD264">
        <v>0.8228476821192053</v>
      </c>
    </row>
    <row r="265" spans="1:30">
      <c r="A265" s="1" t="s">
        <v>272</v>
      </c>
      <c r="B265">
        <f>HYPERLINK("https://www.suredividend.com/sure-analysis-STOR/","STORE Capital Corp.")</f>
        <v>0</v>
      </c>
      <c r="C265">
        <v>20.34</v>
      </c>
      <c r="D265">
        <v>4609.70304</v>
      </c>
      <c r="E265" t="s">
        <v>649</v>
      </c>
      <c r="F265" t="s">
        <v>614</v>
      </c>
      <c r="G265" t="s">
        <v>653</v>
      </c>
      <c r="H265" t="s">
        <v>682</v>
      </c>
      <c r="I265" t="s">
        <v>947</v>
      </c>
      <c r="J265" t="s">
        <v>1282</v>
      </c>
      <c r="K265">
        <v>43910</v>
      </c>
      <c r="L265">
        <v>0.07309322033898301</v>
      </c>
      <c r="M265">
        <v>0.08793299686428213</v>
      </c>
      <c r="N265">
        <v>0.046</v>
      </c>
      <c r="O265">
        <v>0.1816735555368787</v>
      </c>
      <c r="P265" t="s">
        <v>371</v>
      </c>
      <c r="Q265" t="s">
        <v>618</v>
      </c>
      <c r="R265">
        <v>5</v>
      </c>
      <c r="S265">
        <v>0.06252831898504757</v>
      </c>
      <c r="T265">
        <v>31</v>
      </c>
      <c r="U265">
        <v>0.6561290322580645</v>
      </c>
      <c r="V265">
        <v>1.2883</v>
      </c>
      <c r="W265">
        <v>22.07</v>
      </c>
      <c r="X265">
        <v>1.38</v>
      </c>
      <c r="Y265">
        <v>-0.42614</v>
      </c>
      <c r="Z265">
        <v>0.7360406091370558</v>
      </c>
      <c r="AA265">
        <v>0.2288557213930348</v>
      </c>
      <c r="AB265">
        <v>0.4312913907284768</v>
      </c>
      <c r="AC265">
        <v>0.7996688741721855</v>
      </c>
      <c r="AD265">
        <v>0.8195364238410596</v>
      </c>
    </row>
    <row r="266" spans="1:30">
      <c r="A266" s="1" t="s">
        <v>273</v>
      </c>
      <c r="B266">
        <f>HYPERLINK("https://www.suredividend.com/sure-analysis-GM/","General Motors Co.")</f>
        <v>0</v>
      </c>
      <c r="C266">
        <v>22.44</v>
      </c>
      <c r="D266">
        <v>31352.6092</v>
      </c>
      <c r="E266" t="s">
        <v>647</v>
      </c>
      <c r="F266" t="s">
        <v>613</v>
      </c>
      <c r="G266" t="s">
        <v>653</v>
      </c>
      <c r="H266" t="s">
        <v>682</v>
      </c>
      <c r="I266" t="s">
        <v>948</v>
      </c>
      <c r="J266" t="s">
        <v>1280</v>
      </c>
      <c r="K266">
        <v>43875</v>
      </c>
      <c r="L266">
        <v>0.06943809958885301</v>
      </c>
      <c r="M266">
        <v>0.1110974447024384</v>
      </c>
      <c r="N266">
        <v>0.03</v>
      </c>
      <c r="O266">
        <v>0.1814451274976485</v>
      </c>
      <c r="P266" t="s">
        <v>371</v>
      </c>
      <c r="Q266" t="s">
        <v>618</v>
      </c>
      <c r="R266">
        <v>0</v>
      </c>
      <c r="S266">
        <v>0.2533333333333334</v>
      </c>
      <c r="T266">
        <v>38</v>
      </c>
      <c r="U266">
        <v>0.5905263157894737</v>
      </c>
      <c r="V266">
        <v>4.6296</v>
      </c>
      <c r="W266">
        <v>6</v>
      </c>
      <c r="X266">
        <v>1.52</v>
      </c>
      <c r="Y266">
        <v>-0.431871</v>
      </c>
      <c r="Z266">
        <v>0.712351945854484</v>
      </c>
      <c r="AA266">
        <v>0.2222222222222222</v>
      </c>
      <c r="AB266">
        <v>0.2185430463576159</v>
      </c>
      <c r="AC266">
        <v>0.8592715231788079</v>
      </c>
      <c r="AD266">
        <v>0.8178807947019868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247.75</v>
      </c>
      <c r="D267">
        <v>35500.81872</v>
      </c>
      <c r="E267" t="s">
        <v>647</v>
      </c>
      <c r="F267" t="s">
        <v>613</v>
      </c>
      <c r="G267" t="s">
        <v>653</v>
      </c>
      <c r="H267" t="s">
        <v>683</v>
      </c>
      <c r="I267" t="s">
        <v>949</v>
      </c>
      <c r="J267" t="s">
        <v>1286</v>
      </c>
      <c r="K267">
        <v>43861</v>
      </c>
      <c r="L267">
        <v>0.018604841347726</v>
      </c>
      <c r="M267">
        <v>-0.0006061835129155257</v>
      </c>
      <c r="N267">
        <v>0.15</v>
      </c>
      <c r="O267">
        <v>0.1628656051254382</v>
      </c>
      <c r="P267" t="s">
        <v>371</v>
      </c>
      <c r="Q267" t="s">
        <v>523</v>
      </c>
      <c r="R267">
        <v>6</v>
      </c>
      <c r="S267">
        <v>0.2762598664238008</v>
      </c>
      <c r="T267">
        <v>247</v>
      </c>
      <c r="U267">
        <v>1.003036437246964</v>
      </c>
      <c r="V267">
        <v>14.4064</v>
      </c>
      <c r="W267">
        <v>16.47</v>
      </c>
      <c r="X267">
        <v>4.55</v>
      </c>
      <c r="Y267">
        <v>0.223167</v>
      </c>
      <c r="Z267">
        <v>0.1658206429780034</v>
      </c>
      <c r="AA267">
        <v>0.9270315091210614</v>
      </c>
      <c r="AB267">
        <v>0.962748344370861</v>
      </c>
      <c r="AC267">
        <v>0.4155629139072847</v>
      </c>
      <c r="AD267">
        <v>0.7698675496688742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39</v>
      </c>
      <c r="D268">
        <v>16083.30791</v>
      </c>
      <c r="E268" t="s">
        <v>645</v>
      </c>
      <c r="F268" t="s">
        <v>615</v>
      </c>
      <c r="G268" t="s">
        <v>661</v>
      </c>
      <c r="H268" t="s">
        <v>682</v>
      </c>
      <c r="I268" t="s">
        <v>950</v>
      </c>
      <c r="J268" t="s">
        <v>1287</v>
      </c>
      <c r="K268">
        <v>43873</v>
      </c>
      <c r="L268">
        <v>0.05192456729527201</v>
      </c>
      <c r="M268">
        <v>0.03802222005236078</v>
      </c>
      <c r="N268">
        <v>0.08</v>
      </c>
      <c r="O268">
        <v>0.1610942579805204</v>
      </c>
      <c r="P268" t="s">
        <v>371</v>
      </c>
      <c r="Q268" t="s">
        <v>618</v>
      </c>
      <c r="R268">
        <v>12</v>
      </c>
      <c r="S268">
        <v>0.5521978021978021</v>
      </c>
      <c r="T268">
        <v>47</v>
      </c>
      <c r="U268">
        <v>0.8297872340425532</v>
      </c>
      <c r="V268">
        <v>0.0122</v>
      </c>
      <c r="W268">
        <v>3.64</v>
      </c>
      <c r="X268">
        <v>2.01</v>
      </c>
      <c r="Y268">
        <v>0.040614</v>
      </c>
      <c r="Z268">
        <v>0.6125211505922166</v>
      </c>
      <c r="AA268">
        <v>0.8009950248756219</v>
      </c>
      <c r="AB268">
        <v>0.8228476821192053</v>
      </c>
      <c r="AC268">
        <v>0.6059602649006622</v>
      </c>
      <c r="AD268">
        <v>0.7615894039735099</v>
      </c>
    </row>
    <row r="269" spans="1:30">
      <c r="A269" s="1" t="s">
        <v>276</v>
      </c>
      <c r="B269">
        <f>HYPERLINK("https://www.suredividend.com/sure-analysis-HPQ/","HP, Inc.")</f>
        <v>0</v>
      </c>
      <c r="C269">
        <v>14.95</v>
      </c>
      <c r="D269">
        <v>20960.2816</v>
      </c>
      <c r="E269" t="s">
        <v>646</v>
      </c>
      <c r="F269" t="s">
        <v>613</v>
      </c>
      <c r="G269" t="s">
        <v>653</v>
      </c>
      <c r="H269" t="s">
        <v>682</v>
      </c>
      <c r="I269" t="s">
        <v>951</v>
      </c>
      <c r="J269" t="s">
        <v>1286</v>
      </c>
      <c r="K269">
        <v>43903</v>
      </c>
      <c r="L269">
        <v>0.044802182810368</v>
      </c>
      <c r="M269">
        <v>0.07032487895151318</v>
      </c>
      <c r="N269">
        <v>0.05</v>
      </c>
      <c r="O269">
        <v>0.1569812457201165</v>
      </c>
      <c r="P269" t="s">
        <v>371</v>
      </c>
      <c r="Q269" t="s">
        <v>371</v>
      </c>
      <c r="R269">
        <v>9</v>
      </c>
      <c r="S269">
        <v>0.2759663865546219</v>
      </c>
      <c r="T269">
        <v>21</v>
      </c>
      <c r="U269">
        <v>0.7119047619047618</v>
      </c>
      <c r="V269">
        <v>2.0292</v>
      </c>
      <c r="W269">
        <v>2.38</v>
      </c>
      <c r="X269">
        <v>0.6568000000000001</v>
      </c>
      <c r="Y269">
        <v>-0.252422</v>
      </c>
      <c r="Z269">
        <v>0.5363790186125211</v>
      </c>
      <c r="AA269">
        <v>0.4411276948590381</v>
      </c>
      <c r="AB269">
        <v>0.5033112582781457</v>
      </c>
      <c r="AC269">
        <v>0.7483443708609272</v>
      </c>
      <c r="AD269">
        <v>0.7516556291390728</v>
      </c>
    </row>
    <row r="270" spans="1:30">
      <c r="A270" s="1" t="s">
        <v>277</v>
      </c>
      <c r="B270">
        <f>HYPERLINK("https://www.suredividend.com/sure-analysis-ENB/","Enbridge, Inc.")</f>
        <v>0</v>
      </c>
      <c r="C270">
        <v>31.87</v>
      </c>
      <c r="D270">
        <v>61927.2522</v>
      </c>
      <c r="E270" t="s">
        <v>646</v>
      </c>
      <c r="F270" t="s">
        <v>613</v>
      </c>
      <c r="G270" t="s">
        <v>654</v>
      </c>
      <c r="H270" t="s">
        <v>682</v>
      </c>
      <c r="I270" t="s">
        <v>952</v>
      </c>
      <c r="J270" t="s">
        <v>1285</v>
      </c>
      <c r="K270">
        <v>43877</v>
      </c>
      <c r="L270">
        <v>0.072748937478621</v>
      </c>
      <c r="M270">
        <v>0.041205632284395</v>
      </c>
      <c r="N270">
        <v>0.055</v>
      </c>
      <c r="O270">
        <v>0.1558836019555678</v>
      </c>
      <c r="P270" t="s">
        <v>371</v>
      </c>
      <c r="Q270" t="s">
        <v>618</v>
      </c>
      <c r="R270">
        <v>11</v>
      </c>
      <c r="S270">
        <v>0.6356178594560686</v>
      </c>
      <c r="T270">
        <v>39</v>
      </c>
      <c r="U270">
        <v>0.8171794871794872</v>
      </c>
      <c r="V270">
        <v>1.9838</v>
      </c>
      <c r="W270">
        <v>3.5</v>
      </c>
      <c r="X270">
        <v>2.22466250809624</v>
      </c>
      <c r="Y270">
        <v>-0.163567</v>
      </c>
      <c r="Z270">
        <v>0.7343485617597293</v>
      </c>
      <c r="AA270">
        <v>0.5787728026533997</v>
      </c>
      <c r="AB270">
        <v>0.5786423841059603</v>
      </c>
      <c r="AC270">
        <v>0.6158940397350993</v>
      </c>
      <c r="AD270">
        <v>0.7433774834437087</v>
      </c>
    </row>
    <row r="271" spans="1:30">
      <c r="A271" s="1" t="s">
        <v>278</v>
      </c>
      <c r="B271">
        <f>HYPERLINK("https://www.suredividend.com/sure-analysis-HNI/","HNI Corp.")</f>
        <v>0</v>
      </c>
      <c r="C271">
        <v>22.45</v>
      </c>
      <c r="D271">
        <v>932.698638</v>
      </c>
      <c r="E271" t="s">
        <v>643</v>
      </c>
      <c r="F271" t="s">
        <v>613</v>
      </c>
      <c r="G271" t="s">
        <v>653</v>
      </c>
      <c r="H271" t="s">
        <v>682</v>
      </c>
      <c r="I271" t="s">
        <v>953</v>
      </c>
      <c r="J271" t="s">
        <v>1278</v>
      </c>
      <c r="K271">
        <v>43946</v>
      </c>
      <c r="L271">
        <v>0.055784179240969</v>
      </c>
      <c r="M271">
        <v>0.05969523591331272</v>
      </c>
      <c r="N271">
        <v>0.055</v>
      </c>
      <c r="O271">
        <v>0.1549023915878727</v>
      </c>
      <c r="P271" t="s">
        <v>371</v>
      </c>
      <c r="Q271" t="s">
        <v>618</v>
      </c>
      <c r="R271">
        <v>9</v>
      </c>
      <c r="S271">
        <v>0.5622119815668203</v>
      </c>
      <c r="T271">
        <v>30</v>
      </c>
      <c r="U271">
        <v>0.7483333333333333</v>
      </c>
      <c r="V271">
        <v>1.9926</v>
      </c>
      <c r="W271">
        <v>2.17</v>
      </c>
      <c r="X271">
        <v>1.22</v>
      </c>
      <c r="Y271">
        <v>-0.40115</v>
      </c>
      <c r="Z271">
        <v>0.6395939086294417</v>
      </c>
      <c r="AA271">
        <v>0.2553897180762852</v>
      </c>
      <c r="AB271">
        <v>0.5786423841059603</v>
      </c>
      <c r="AC271">
        <v>0.7036423841059603</v>
      </c>
      <c r="AD271">
        <v>0.7334437086092715</v>
      </c>
    </row>
    <row r="272" spans="1:30">
      <c r="A272" s="1" t="s">
        <v>279</v>
      </c>
      <c r="B272">
        <f>HYPERLINK("https://www.suredividend.com/sure-analysis-WRK/","WestRock Co.")</f>
        <v>0</v>
      </c>
      <c r="C272">
        <v>25.09</v>
      </c>
      <c r="D272">
        <v>6383.8632</v>
      </c>
      <c r="E272" t="s">
        <v>648</v>
      </c>
      <c r="F272" t="s">
        <v>613</v>
      </c>
      <c r="G272" t="s">
        <v>653</v>
      </c>
      <c r="H272" t="s">
        <v>682</v>
      </c>
      <c r="I272" t="s">
        <v>954</v>
      </c>
      <c r="J272" t="s">
        <v>1280</v>
      </c>
      <c r="K272">
        <v>43860</v>
      </c>
      <c r="L272">
        <v>0.07449392712550601</v>
      </c>
      <c r="M272">
        <v>0.08078724964991379</v>
      </c>
      <c r="N272">
        <v>0.02</v>
      </c>
      <c r="O272">
        <v>0.1525776069597897</v>
      </c>
      <c r="P272" t="s">
        <v>371</v>
      </c>
      <c r="Q272" t="s">
        <v>618</v>
      </c>
      <c r="R272">
        <v>5</v>
      </c>
      <c r="S272">
        <v>0.5492537313432835</v>
      </c>
      <c r="T272">
        <v>37</v>
      </c>
      <c r="U272">
        <v>0.6781081081081081</v>
      </c>
      <c r="W272">
        <v>3.35</v>
      </c>
      <c r="X272">
        <v>1.84</v>
      </c>
      <c r="Y272">
        <v>-0.355091</v>
      </c>
      <c r="Z272">
        <v>0.751269035532995</v>
      </c>
      <c r="AA272">
        <v>0.3084577114427861</v>
      </c>
      <c r="AB272">
        <v>0.130794701986755</v>
      </c>
      <c r="AC272">
        <v>0.7814569536423841</v>
      </c>
      <c r="AD272">
        <v>0.716887417218543</v>
      </c>
    </row>
    <row r="273" spans="1:30">
      <c r="A273" s="1" t="s">
        <v>280</v>
      </c>
      <c r="B273">
        <f>HYPERLINK("https://www.suredividend.com/sure-analysis-MTB/","M&amp;T Bank Corp.")</f>
        <v>0</v>
      </c>
      <c r="C273">
        <v>101.62</v>
      </c>
      <c r="D273">
        <v>13012.850104</v>
      </c>
      <c r="E273" t="s">
        <v>643</v>
      </c>
      <c r="F273" t="s">
        <v>613</v>
      </c>
      <c r="G273" t="s">
        <v>653</v>
      </c>
      <c r="H273" t="s">
        <v>682</v>
      </c>
      <c r="I273" t="s">
        <v>955</v>
      </c>
      <c r="J273" t="s">
        <v>1277</v>
      </c>
      <c r="K273">
        <v>43944</v>
      </c>
      <c r="L273">
        <v>0.04194966040751</v>
      </c>
      <c r="M273">
        <v>0.06001483564134258</v>
      </c>
      <c r="N273">
        <v>0.057</v>
      </c>
      <c r="O273">
        <v>0.1491507915649521</v>
      </c>
      <c r="P273" t="s">
        <v>371</v>
      </c>
      <c r="Q273" t="s">
        <v>618</v>
      </c>
      <c r="R273">
        <v>4</v>
      </c>
      <c r="S273">
        <v>0.4952830188679245</v>
      </c>
      <c r="T273">
        <v>136</v>
      </c>
      <c r="U273">
        <v>0.7472058823529412</v>
      </c>
      <c r="V273">
        <v>12.3418</v>
      </c>
      <c r="W273">
        <v>8.48</v>
      </c>
      <c r="X273">
        <v>4.2</v>
      </c>
      <c r="Y273">
        <v>-0.402447</v>
      </c>
      <c r="Z273">
        <v>0.5008460236886633</v>
      </c>
      <c r="AA273">
        <v>0.2537313432835821</v>
      </c>
      <c r="AB273">
        <v>0.5877483443708609</v>
      </c>
      <c r="AC273">
        <v>0.7069536423841059</v>
      </c>
      <c r="AD273">
        <v>0.7069536423841059</v>
      </c>
    </row>
    <row r="274" spans="1:30">
      <c r="A274" s="1" t="s">
        <v>281</v>
      </c>
      <c r="B274">
        <f>HYPERLINK("https://www.suredividend.com/sure-analysis-MAR/","Marriott International, Inc.")</f>
        <v>0</v>
      </c>
      <c r="C274">
        <v>85.92</v>
      </c>
      <c r="D274">
        <v>26297.56531</v>
      </c>
      <c r="E274" t="s">
        <v>651</v>
      </c>
      <c r="F274" t="s">
        <v>613</v>
      </c>
      <c r="G274" t="s">
        <v>653</v>
      </c>
      <c r="H274" t="s">
        <v>683</v>
      </c>
      <c r="I274" t="s">
        <v>956</v>
      </c>
      <c r="J274" t="s">
        <v>1280</v>
      </c>
      <c r="K274">
        <v>43896</v>
      </c>
      <c r="L274">
        <v>0.02280853162372</v>
      </c>
      <c r="M274">
        <v>0.09131839222165961</v>
      </c>
      <c r="N274">
        <v>0.04</v>
      </c>
      <c r="O274">
        <v>0.1488510763903774</v>
      </c>
      <c r="P274" t="s">
        <v>371</v>
      </c>
      <c r="Q274" t="s">
        <v>523</v>
      </c>
      <c r="R274">
        <v>9</v>
      </c>
      <c r="S274">
        <v>0.3189655172413793</v>
      </c>
      <c r="T274">
        <v>133</v>
      </c>
      <c r="U274">
        <v>0.6460150375939849</v>
      </c>
      <c r="V274">
        <v>3.8237</v>
      </c>
      <c r="W274">
        <v>5.8</v>
      </c>
      <c r="X274">
        <v>1.85</v>
      </c>
      <c r="Y274">
        <v>-0.399852</v>
      </c>
      <c r="Z274">
        <v>0.2521150592216582</v>
      </c>
      <c r="AA274">
        <v>0.2570480928689884</v>
      </c>
      <c r="AB274">
        <v>0.3501655629139073</v>
      </c>
      <c r="AC274">
        <v>0.8129139072847683</v>
      </c>
      <c r="AD274">
        <v>0.7036423841059603</v>
      </c>
    </row>
    <row r="275" spans="1:30">
      <c r="A275" s="1" t="s">
        <v>282</v>
      </c>
      <c r="B275">
        <f>HYPERLINK("https://www.suredividend.com/sure-analysis-PII/","Polaris Inc.")</f>
        <v>0</v>
      </c>
      <c r="C275">
        <v>68.23999999999999</v>
      </c>
      <c r="D275">
        <v>4182.102204</v>
      </c>
      <c r="E275" t="s">
        <v>641</v>
      </c>
      <c r="F275" t="s">
        <v>613</v>
      </c>
      <c r="G275" t="s">
        <v>653</v>
      </c>
      <c r="H275" t="s">
        <v>682</v>
      </c>
      <c r="I275" t="s">
        <v>957</v>
      </c>
      <c r="J275" t="s">
        <v>1280</v>
      </c>
      <c r="K275">
        <v>43951</v>
      </c>
      <c r="L275">
        <v>0.035881663737551</v>
      </c>
      <c r="M275">
        <v>0.05691654948851665</v>
      </c>
      <c r="N275">
        <v>0.06</v>
      </c>
      <c r="O275">
        <v>0.1466414454437959</v>
      </c>
      <c r="P275" t="s">
        <v>371</v>
      </c>
      <c r="Q275" t="s">
        <v>317</v>
      </c>
      <c r="R275">
        <v>25</v>
      </c>
      <c r="S275">
        <v>0.9800000000000001</v>
      </c>
      <c r="T275">
        <v>90</v>
      </c>
      <c r="U275">
        <v>0.7582222222222221</v>
      </c>
      <c r="V275">
        <v>4.3944</v>
      </c>
      <c r="W275">
        <v>2.5</v>
      </c>
      <c r="X275">
        <v>2.45</v>
      </c>
      <c r="Y275">
        <v>-0.265964</v>
      </c>
      <c r="Z275">
        <v>0.428087986463621</v>
      </c>
      <c r="AA275">
        <v>0.4245439469320066</v>
      </c>
      <c r="AB275">
        <v>0.6423841059602649</v>
      </c>
      <c r="AC275">
        <v>0.6887417218543047</v>
      </c>
      <c r="AD275">
        <v>0.695364238410596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182.32</v>
      </c>
      <c r="D276">
        <v>61156.46716</v>
      </c>
      <c r="E276" t="s">
        <v>644</v>
      </c>
      <c r="F276" t="s">
        <v>613</v>
      </c>
      <c r="G276" t="s">
        <v>653</v>
      </c>
      <c r="H276" t="s">
        <v>682</v>
      </c>
      <c r="I276" t="s">
        <v>958</v>
      </c>
      <c r="J276" t="s">
        <v>1277</v>
      </c>
      <c r="K276">
        <v>43939</v>
      </c>
      <c r="L276">
        <v>0.026000452181777</v>
      </c>
      <c r="M276">
        <v>0.07107470327648002</v>
      </c>
      <c r="N276">
        <v>0.05</v>
      </c>
      <c r="O276">
        <v>0.1449540555453661</v>
      </c>
      <c r="P276" t="s">
        <v>371</v>
      </c>
      <c r="Q276" t="s">
        <v>317</v>
      </c>
      <c r="R276">
        <v>9</v>
      </c>
      <c r="S276">
        <v>0.3407407407407407</v>
      </c>
      <c r="T276">
        <v>257</v>
      </c>
      <c r="U276">
        <v>0.7094163424124513</v>
      </c>
      <c r="V276">
        <v>18.6092</v>
      </c>
      <c r="W276">
        <v>13.5</v>
      </c>
      <c r="X276">
        <v>4.6</v>
      </c>
      <c r="Y276">
        <v>-0.126882</v>
      </c>
      <c r="Z276">
        <v>0.3062605752961083</v>
      </c>
      <c r="AA276">
        <v>0.6252072968490878</v>
      </c>
      <c r="AB276">
        <v>0.5033112582781457</v>
      </c>
      <c r="AC276">
        <v>0.7516556291390728</v>
      </c>
      <c r="AD276">
        <v>0.6920529801324503</v>
      </c>
    </row>
    <row r="277" spans="1:30">
      <c r="A277" s="1" t="s">
        <v>284</v>
      </c>
      <c r="B277">
        <f>HYPERLINK("https://www.suredividend.com/sure-analysis-GEF/","Greif, Inc.")</f>
        <v>0</v>
      </c>
      <c r="C277">
        <v>29.8</v>
      </c>
      <c r="D277">
        <v>1412.35094</v>
      </c>
      <c r="E277" t="s">
        <v>641</v>
      </c>
      <c r="F277" t="s">
        <v>613</v>
      </c>
      <c r="G277" t="s">
        <v>653</v>
      </c>
      <c r="H277" t="s">
        <v>682</v>
      </c>
      <c r="I277" t="s">
        <v>959</v>
      </c>
      <c r="J277" t="s">
        <v>1280</v>
      </c>
      <c r="K277">
        <v>43888</v>
      </c>
      <c r="L277">
        <v>0.060150375939849</v>
      </c>
      <c r="M277">
        <v>0.08592354583699713</v>
      </c>
      <c r="N277">
        <v>0.02</v>
      </c>
      <c r="O277">
        <v>0.1448303306338974</v>
      </c>
      <c r="P277" t="s">
        <v>371</v>
      </c>
      <c r="Q277" t="s">
        <v>618</v>
      </c>
      <c r="R277">
        <v>2</v>
      </c>
      <c r="S277">
        <v>0.4718498659517426</v>
      </c>
      <c r="T277">
        <v>45</v>
      </c>
      <c r="U277">
        <v>0.6622222222222223</v>
      </c>
      <c r="V277">
        <v>2.931</v>
      </c>
      <c r="W277">
        <v>3.73</v>
      </c>
      <c r="X277">
        <v>1.76</v>
      </c>
      <c r="Y277">
        <v>-0.251471</v>
      </c>
      <c r="Z277">
        <v>0.6598984771573605</v>
      </c>
      <c r="AA277">
        <v>0.4427860696517413</v>
      </c>
      <c r="AB277">
        <v>0.130794701986755</v>
      </c>
      <c r="AC277">
        <v>0.7930463576158941</v>
      </c>
      <c r="AD277">
        <v>0.6887417218543047</v>
      </c>
    </row>
    <row r="278" spans="1:30">
      <c r="A278" s="1" t="s">
        <v>285</v>
      </c>
      <c r="B278">
        <f>HYPERLINK("https://www.suredividend.com/sure-analysis-MT/","ArcelorMittal SA")</f>
        <v>0</v>
      </c>
      <c r="C278">
        <v>11.11</v>
      </c>
      <c r="D278">
        <v>10636.916637</v>
      </c>
      <c r="E278" t="s">
        <v>648</v>
      </c>
      <c r="F278" t="s">
        <v>613</v>
      </c>
      <c r="G278" t="s">
        <v>667</v>
      </c>
      <c r="H278" t="s">
        <v>682</v>
      </c>
      <c r="I278" t="s">
        <v>960</v>
      </c>
      <c r="J278" t="s">
        <v>1281</v>
      </c>
      <c r="K278">
        <v>43874</v>
      </c>
      <c r="L278">
        <v>0.019029495718363</v>
      </c>
      <c r="M278">
        <v>-0.06357028664730313</v>
      </c>
      <c r="N278">
        <v>0.201</v>
      </c>
      <c r="O278">
        <v>0.1441257843141024</v>
      </c>
      <c r="P278" t="s">
        <v>371</v>
      </c>
      <c r="Q278" t="s">
        <v>523</v>
      </c>
      <c r="R278">
        <v>1</v>
      </c>
      <c r="S278">
        <v>0.1666666666666667</v>
      </c>
      <c r="T278">
        <v>8</v>
      </c>
      <c r="U278">
        <v>1.38875</v>
      </c>
      <c r="V278">
        <v>2.0269</v>
      </c>
      <c r="W278">
        <v>1.2</v>
      </c>
      <c r="X278">
        <v>0.2</v>
      </c>
      <c r="Y278">
        <v>-0.473447</v>
      </c>
      <c r="Z278">
        <v>0.1742808798646362</v>
      </c>
      <c r="AA278">
        <v>0.1774461028192372</v>
      </c>
      <c r="AB278">
        <v>0.9801324503311258</v>
      </c>
      <c r="AC278">
        <v>0.1374172185430464</v>
      </c>
      <c r="AD278">
        <v>0.6854304635761589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58.74</v>
      </c>
      <c r="D279">
        <v>3246.187096</v>
      </c>
      <c r="E279" t="s">
        <v>650</v>
      </c>
      <c r="F279" t="s">
        <v>613</v>
      </c>
      <c r="G279" t="s">
        <v>653</v>
      </c>
      <c r="H279" t="s">
        <v>682</v>
      </c>
      <c r="I279" t="s">
        <v>961</v>
      </c>
      <c r="J279" t="s">
        <v>1278</v>
      </c>
      <c r="K279">
        <v>43857</v>
      </c>
      <c r="L279">
        <v>0.049289748416909</v>
      </c>
      <c r="M279">
        <v>0.04442626201126143</v>
      </c>
      <c r="N279">
        <v>0.06</v>
      </c>
      <c r="O279">
        <v>0.1440048564010039</v>
      </c>
      <c r="P279" t="s">
        <v>371</v>
      </c>
      <c r="Q279" t="s">
        <v>618</v>
      </c>
      <c r="R279">
        <v>16</v>
      </c>
      <c r="S279">
        <v>0.5925925925925926</v>
      </c>
      <c r="T279">
        <v>73</v>
      </c>
      <c r="U279">
        <v>0.8046575342465754</v>
      </c>
      <c r="V279">
        <v>4.8331</v>
      </c>
      <c r="W279">
        <v>4.86</v>
      </c>
      <c r="X279">
        <v>2.88</v>
      </c>
      <c r="Y279">
        <v>-0.263549</v>
      </c>
      <c r="Z279">
        <v>0.5888324873096447</v>
      </c>
      <c r="AA279">
        <v>0.4262023217247098</v>
      </c>
      <c r="AB279">
        <v>0.6423841059602649</v>
      </c>
      <c r="AC279">
        <v>0.6324503311258278</v>
      </c>
      <c r="AD279">
        <v>0.6837748344370861</v>
      </c>
    </row>
    <row r="280" spans="1:30">
      <c r="A280" s="1" t="s">
        <v>287</v>
      </c>
      <c r="B280">
        <f>HYPERLINK("https://www.suredividend.com/sure-analysis-UPS/","United Parcel Service, Inc.")</f>
        <v>0</v>
      </c>
      <c r="C280">
        <v>92.83</v>
      </c>
      <c r="D280">
        <v>79799.702844</v>
      </c>
      <c r="E280" t="s">
        <v>641</v>
      </c>
      <c r="F280" t="s">
        <v>613</v>
      </c>
      <c r="G280" t="s">
        <v>653</v>
      </c>
      <c r="H280" t="s">
        <v>682</v>
      </c>
      <c r="I280" t="s">
        <v>962</v>
      </c>
      <c r="J280" t="s">
        <v>1278</v>
      </c>
      <c r="K280">
        <v>43951</v>
      </c>
      <c r="L280">
        <v>0.04185946411277301</v>
      </c>
      <c r="M280">
        <v>0.01901919379360639</v>
      </c>
      <c r="N280">
        <v>0.09</v>
      </c>
      <c r="O280">
        <v>0.1418160523676302</v>
      </c>
      <c r="P280" t="s">
        <v>371</v>
      </c>
      <c r="Q280" t="s">
        <v>371</v>
      </c>
      <c r="R280">
        <v>11</v>
      </c>
      <c r="S280">
        <v>0.6078125</v>
      </c>
      <c r="T280">
        <v>102</v>
      </c>
      <c r="U280">
        <v>0.9100980392156862</v>
      </c>
      <c r="W280">
        <v>6.4</v>
      </c>
      <c r="X280">
        <v>3.89</v>
      </c>
      <c r="Y280">
        <v>-0.089725</v>
      </c>
      <c r="Z280">
        <v>0.4991539763113367</v>
      </c>
      <c r="AA280">
        <v>0.6616915422885572</v>
      </c>
      <c r="AB280">
        <v>0.8766556291390728</v>
      </c>
      <c r="AC280">
        <v>0.5231788079470199</v>
      </c>
      <c r="AD280">
        <v>0.6721854304635762</v>
      </c>
    </row>
    <row r="281" spans="1:30">
      <c r="A281" s="1" t="s">
        <v>288</v>
      </c>
      <c r="B281">
        <f>HYPERLINK("https://www.suredividend.com/sure-analysis-SIEGY/","Siemens AG")</f>
        <v>0</v>
      </c>
      <c r="C281">
        <v>44.22</v>
      </c>
      <c r="D281">
        <v>71881.197675</v>
      </c>
      <c r="E281" t="s">
        <v>646</v>
      </c>
      <c r="F281" t="s">
        <v>613</v>
      </c>
      <c r="G281" t="s">
        <v>659</v>
      </c>
      <c r="H281" t="s">
        <v>684</v>
      </c>
      <c r="I281" t="s">
        <v>963</v>
      </c>
      <c r="J281" t="s">
        <v>1278</v>
      </c>
      <c r="K281">
        <v>43877</v>
      </c>
      <c r="L281">
        <v>0.047921754862053</v>
      </c>
      <c r="M281">
        <v>0.05575184987780513</v>
      </c>
      <c r="N281">
        <v>0.045</v>
      </c>
      <c r="O281">
        <v>0.1389256183219998</v>
      </c>
      <c r="P281" t="s">
        <v>371</v>
      </c>
      <c r="Q281" t="s">
        <v>618</v>
      </c>
      <c r="R281">
        <v>6</v>
      </c>
      <c r="S281">
        <v>0.5106265060240963</v>
      </c>
      <c r="T281">
        <v>58</v>
      </c>
      <c r="U281">
        <v>0.7624137931034483</v>
      </c>
      <c r="V281">
        <v>3.6345</v>
      </c>
      <c r="W281">
        <v>4.15</v>
      </c>
      <c r="X281">
        <v>2.1191</v>
      </c>
      <c r="Y281">
        <v>-0.237586</v>
      </c>
      <c r="Z281">
        <v>0.5702199661590525</v>
      </c>
      <c r="AA281">
        <v>0.4660033167495854</v>
      </c>
      <c r="AB281">
        <v>0.4205298013245033</v>
      </c>
      <c r="AC281">
        <v>0.6821192052980132</v>
      </c>
      <c r="AD281">
        <v>0.662251655629139</v>
      </c>
    </row>
    <row r="282" spans="1:30">
      <c r="A282" s="1" t="s">
        <v>289</v>
      </c>
      <c r="B282">
        <f>HYPERLINK("https://www.suredividend.com/sure-analysis-PDCO/","Patterson Cos., Inc.")</f>
        <v>0</v>
      </c>
      <c r="C282">
        <v>16.24</v>
      </c>
      <c r="D282">
        <v>1562.59586</v>
      </c>
      <c r="E282" t="s">
        <v>642</v>
      </c>
      <c r="F282" t="s">
        <v>613</v>
      </c>
      <c r="G282" t="s">
        <v>653</v>
      </c>
      <c r="H282" t="s">
        <v>683</v>
      </c>
      <c r="I282" t="s">
        <v>964</v>
      </c>
      <c r="J282" t="s">
        <v>1283</v>
      </c>
      <c r="K282">
        <v>43863</v>
      </c>
      <c r="L282">
        <v>0.063764561618638</v>
      </c>
      <c r="M282">
        <v>0.0527534030599619</v>
      </c>
      <c r="N282">
        <v>0.04</v>
      </c>
      <c r="O282">
        <v>0.1361901046008251</v>
      </c>
      <c r="P282" t="s">
        <v>371</v>
      </c>
      <c r="Q282" t="s">
        <v>618</v>
      </c>
      <c r="R282">
        <v>0</v>
      </c>
      <c r="S282">
        <v>0.7375886524822696</v>
      </c>
      <c r="T282">
        <v>21</v>
      </c>
      <c r="U282">
        <v>0.7733333333333332</v>
      </c>
      <c r="V282">
        <v>0.5084000000000001</v>
      </c>
      <c r="W282">
        <v>1.41</v>
      </c>
      <c r="X282">
        <v>1.04</v>
      </c>
      <c r="Y282">
        <v>-0.277901</v>
      </c>
      <c r="Z282">
        <v>0.6802030456852792</v>
      </c>
      <c r="AA282">
        <v>0.4112769485903814</v>
      </c>
      <c r="AB282">
        <v>0.3501655629139073</v>
      </c>
      <c r="AC282">
        <v>0.6639072847682119</v>
      </c>
      <c r="AD282">
        <v>0.6490066225165563</v>
      </c>
    </row>
    <row r="283" spans="1:30">
      <c r="A283" s="1" t="s">
        <v>290</v>
      </c>
      <c r="B283">
        <f>HYPERLINK("https://www.suredividend.com/sure-analysis-BK/","The Bank of New York Mellon Corp.")</f>
        <v>0</v>
      </c>
      <c r="C283">
        <v>34.85</v>
      </c>
      <c r="D283">
        <v>30534.2595</v>
      </c>
      <c r="E283" t="s">
        <v>644</v>
      </c>
      <c r="F283" t="s">
        <v>613</v>
      </c>
      <c r="G283" t="s">
        <v>653</v>
      </c>
      <c r="H283" t="s">
        <v>682</v>
      </c>
      <c r="I283" t="s">
        <v>965</v>
      </c>
      <c r="J283" t="s">
        <v>1277</v>
      </c>
      <c r="K283">
        <v>43939</v>
      </c>
      <c r="L283">
        <v>0.035072463768115</v>
      </c>
      <c r="M283">
        <v>0.06612392863354577</v>
      </c>
      <c r="N283">
        <v>0.04</v>
      </c>
      <c r="O283">
        <v>0.1355816234784091</v>
      </c>
      <c r="P283" t="s">
        <v>371</v>
      </c>
      <c r="Q283" t="s">
        <v>317</v>
      </c>
      <c r="R283">
        <v>9</v>
      </c>
      <c r="S283">
        <v>0.3361111111111111</v>
      </c>
      <c r="T283">
        <v>48</v>
      </c>
      <c r="U283">
        <v>0.7260416666666667</v>
      </c>
      <c r="V283">
        <v>4.6604</v>
      </c>
      <c r="W283">
        <v>3.6</v>
      </c>
      <c r="X283">
        <v>1.21</v>
      </c>
      <c r="Y283">
        <v>-0.28334</v>
      </c>
      <c r="Z283">
        <v>0.4145516074450085</v>
      </c>
      <c r="AA283">
        <v>0.4029850746268657</v>
      </c>
      <c r="AB283">
        <v>0.3501655629139073</v>
      </c>
      <c r="AC283">
        <v>0.728476821192053</v>
      </c>
      <c r="AD283">
        <v>0.6440397350993378</v>
      </c>
    </row>
    <row r="284" spans="1:30">
      <c r="A284" s="1" t="s">
        <v>291</v>
      </c>
      <c r="B284">
        <f>HYPERLINK("https://www.suredividend.com/sure-analysis-ORI/","Old Republic International Corp.")</f>
        <v>0</v>
      </c>
      <c r="C284">
        <v>15.14</v>
      </c>
      <c r="D284">
        <v>4334.0418</v>
      </c>
      <c r="E284" t="s">
        <v>644</v>
      </c>
      <c r="F284" t="s">
        <v>613</v>
      </c>
      <c r="G284" t="s">
        <v>653</v>
      </c>
      <c r="H284" t="s">
        <v>682</v>
      </c>
      <c r="I284" t="s">
        <v>966</v>
      </c>
      <c r="J284" t="s">
        <v>1277</v>
      </c>
      <c r="K284">
        <v>43948</v>
      </c>
      <c r="L284">
        <v>0.05680224403927001</v>
      </c>
      <c r="M284">
        <v>0.04646701832197841</v>
      </c>
      <c r="N284">
        <v>0.04</v>
      </c>
      <c r="O284">
        <v>0.1302689271233233</v>
      </c>
      <c r="P284" t="s">
        <v>371</v>
      </c>
      <c r="Q284" t="s">
        <v>618</v>
      </c>
      <c r="R284">
        <v>39</v>
      </c>
      <c r="S284">
        <v>0.5225806451612903</v>
      </c>
      <c r="T284">
        <v>19</v>
      </c>
      <c r="U284">
        <v>0.7968421052631579</v>
      </c>
      <c r="V284">
        <v>0.1379</v>
      </c>
      <c r="W284">
        <v>1.55</v>
      </c>
      <c r="X284">
        <v>0.8100000000000001</v>
      </c>
      <c r="Y284">
        <v>-0.354167</v>
      </c>
      <c r="Z284">
        <v>0.649746192893401</v>
      </c>
      <c r="AA284">
        <v>0.3150912106135987</v>
      </c>
      <c r="AB284">
        <v>0.3501655629139073</v>
      </c>
      <c r="AC284">
        <v>0.6440397350993378</v>
      </c>
      <c r="AD284">
        <v>0.6274834437086093</v>
      </c>
    </row>
    <row r="285" spans="1:30">
      <c r="A285" s="1" t="s">
        <v>292</v>
      </c>
      <c r="B285">
        <f>HYPERLINK("https://www.suredividend.com/sure-analysis-DDS/","Dillard's, Inc.")</f>
        <v>0</v>
      </c>
      <c r="C285">
        <v>26.03</v>
      </c>
      <c r="D285">
        <v>602.443355</v>
      </c>
      <c r="E285" t="s">
        <v>646</v>
      </c>
      <c r="F285" t="s">
        <v>613</v>
      </c>
      <c r="G285" t="s">
        <v>653</v>
      </c>
      <c r="H285" t="s">
        <v>682</v>
      </c>
      <c r="I285" t="s">
        <v>967</v>
      </c>
      <c r="J285" t="s">
        <v>1280</v>
      </c>
      <c r="K285">
        <v>43892</v>
      </c>
      <c r="L285">
        <v>0.019402405898331</v>
      </c>
      <c r="M285">
        <v>0.07860365022909654</v>
      </c>
      <c r="N285">
        <v>0.03</v>
      </c>
      <c r="O285">
        <v>0.1284446167126312</v>
      </c>
      <c r="P285" t="s">
        <v>371</v>
      </c>
      <c r="Q285" t="s">
        <v>317</v>
      </c>
      <c r="R285">
        <v>9</v>
      </c>
      <c r="S285">
        <v>0.131578947368421</v>
      </c>
      <c r="T285">
        <v>38</v>
      </c>
      <c r="U285">
        <v>0.6850000000000001</v>
      </c>
      <c r="V285">
        <v>4.3685</v>
      </c>
      <c r="W285">
        <v>3.8</v>
      </c>
      <c r="X285">
        <v>0.5</v>
      </c>
      <c r="Y285">
        <v>-0.616518</v>
      </c>
      <c r="Z285">
        <v>0.1793570219966159</v>
      </c>
      <c r="AA285">
        <v>0.0746268656716418</v>
      </c>
      <c r="AB285">
        <v>0.2185430463576159</v>
      </c>
      <c r="AC285">
        <v>0.7731788079470199</v>
      </c>
      <c r="AD285">
        <v>0.6158940397350993</v>
      </c>
    </row>
    <row r="286" spans="1:30">
      <c r="A286" s="1" t="s">
        <v>293</v>
      </c>
      <c r="B286">
        <f>HYPERLINK("https://www.suredividend.com/sure-analysis-GE/","General Electric Co.")</f>
        <v>0</v>
      </c>
      <c r="C286">
        <v>6.11</v>
      </c>
      <c r="D286">
        <v>52307.5982</v>
      </c>
      <c r="E286" t="s">
        <v>641</v>
      </c>
      <c r="F286" t="s">
        <v>613</v>
      </c>
      <c r="G286" t="s">
        <v>653</v>
      </c>
      <c r="H286" t="s">
        <v>682</v>
      </c>
      <c r="I286" t="s">
        <v>968</v>
      </c>
      <c r="J286" t="s">
        <v>1278</v>
      </c>
      <c r="K286">
        <v>43951</v>
      </c>
      <c r="L286">
        <v>0.006688963210702</v>
      </c>
      <c r="M286">
        <v>-0.003626867760020192</v>
      </c>
      <c r="N286">
        <v>0.125</v>
      </c>
      <c r="O286">
        <v>0.1250362993070118</v>
      </c>
      <c r="P286" t="s">
        <v>371</v>
      </c>
      <c r="Q286" t="s">
        <v>523</v>
      </c>
      <c r="R286">
        <v>0</v>
      </c>
      <c r="S286">
        <v>0.16</v>
      </c>
      <c r="T286">
        <v>6</v>
      </c>
      <c r="U286">
        <v>1.018333333333333</v>
      </c>
      <c r="V286">
        <v>0.6658000000000001</v>
      </c>
      <c r="W286">
        <v>0.25</v>
      </c>
      <c r="X286">
        <v>0.04</v>
      </c>
      <c r="Y286">
        <v>-0.408506</v>
      </c>
      <c r="Z286">
        <v>0.02030456852791878</v>
      </c>
      <c r="AA286">
        <v>0.2487562189054726</v>
      </c>
      <c r="AB286">
        <v>0.9437086092715232</v>
      </c>
      <c r="AC286">
        <v>0.4039735099337748</v>
      </c>
      <c r="AD286">
        <v>0.597682119205298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54.41</v>
      </c>
      <c r="D287">
        <v>18021.73696</v>
      </c>
      <c r="E287" t="s">
        <v>646</v>
      </c>
      <c r="F287" t="s">
        <v>614</v>
      </c>
      <c r="G287" t="s">
        <v>653</v>
      </c>
      <c r="H287" t="s">
        <v>682</v>
      </c>
      <c r="I287" t="s">
        <v>969</v>
      </c>
      <c r="J287" t="s">
        <v>1282</v>
      </c>
      <c r="K287">
        <v>43883</v>
      </c>
      <c r="L287">
        <v>0.05217225609756</v>
      </c>
      <c r="M287">
        <v>0.03299982897123077</v>
      </c>
      <c r="N287">
        <v>0.05</v>
      </c>
      <c r="O287">
        <v>0.1240632986250618</v>
      </c>
      <c r="P287" t="s">
        <v>371</v>
      </c>
      <c r="Q287" t="s">
        <v>618</v>
      </c>
      <c r="R287">
        <v>26</v>
      </c>
      <c r="S287">
        <v>0.7756373937677055</v>
      </c>
      <c r="T287">
        <v>64</v>
      </c>
      <c r="U287">
        <v>0.8501562499999999</v>
      </c>
      <c r="V287">
        <v>1.452</v>
      </c>
      <c r="W287">
        <v>3.53</v>
      </c>
      <c r="X287">
        <v>2.738</v>
      </c>
      <c r="Y287">
        <v>-0.212367</v>
      </c>
      <c r="Z287">
        <v>0.6175972927241963</v>
      </c>
      <c r="AA287">
        <v>0.5024875621890547</v>
      </c>
      <c r="AB287">
        <v>0.5033112582781457</v>
      </c>
      <c r="AC287">
        <v>0.5827814569536424</v>
      </c>
      <c r="AD287">
        <v>0.5960264900662251</v>
      </c>
    </row>
    <row r="288" spans="1:30">
      <c r="A288" s="1" t="s">
        <v>295</v>
      </c>
      <c r="B288">
        <f>HYPERLINK("https://www.suredividend.com/sure-analysis-UMBF/","UMB Financial Corp.")</f>
        <v>0</v>
      </c>
      <c r="C288">
        <v>45.09</v>
      </c>
      <c r="D288">
        <v>2165.679131</v>
      </c>
      <c r="E288" t="s">
        <v>644</v>
      </c>
      <c r="F288" t="s">
        <v>613</v>
      </c>
      <c r="G288" t="s">
        <v>653</v>
      </c>
      <c r="H288" t="s">
        <v>683</v>
      </c>
      <c r="I288" t="s">
        <v>970</v>
      </c>
      <c r="J288" t="s">
        <v>1277</v>
      </c>
      <c r="K288">
        <v>43953</v>
      </c>
      <c r="L288">
        <v>0.027117137141587</v>
      </c>
      <c r="M288">
        <v>0.0824277395800137</v>
      </c>
      <c r="N288">
        <v>0.02</v>
      </c>
      <c r="O288">
        <v>0.1236337640616973</v>
      </c>
      <c r="P288" t="s">
        <v>371</v>
      </c>
      <c r="Q288" t="s">
        <v>317</v>
      </c>
      <c r="R288">
        <v>28</v>
      </c>
      <c r="S288">
        <v>0.5083333333333333</v>
      </c>
      <c r="T288">
        <v>67</v>
      </c>
      <c r="U288">
        <v>0.6729850746268657</v>
      </c>
      <c r="V288">
        <v>3.7377</v>
      </c>
      <c r="W288">
        <v>2.4</v>
      </c>
      <c r="X288">
        <v>1.22</v>
      </c>
      <c r="Y288">
        <v>-0.369711</v>
      </c>
      <c r="Z288">
        <v>0.3181049069373942</v>
      </c>
      <c r="AA288">
        <v>0.2918739635157546</v>
      </c>
      <c r="AB288">
        <v>0.130794701986755</v>
      </c>
      <c r="AC288">
        <v>0.783112582781457</v>
      </c>
      <c r="AD288">
        <v>0.5927152317880795</v>
      </c>
    </row>
    <row r="289" spans="1:30">
      <c r="A289" s="1" t="s">
        <v>296</v>
      </c>
      <c r="B289">
        <f>HYPERLINK("https://www.suredividend.com/sure-analysis-JWN/","Nordstrom, Inc.")</f>
        <v>0</v>
      </c>
      <c r="C289">
        <v>17.29</v>
      </c>
      <c r="D289">
        <v>2679.77044</v>
      </c>
      <c r="E289" t="s">
        <v>644</v>
      </c>
      <c r="F289" t="s">
        <v>613</v>
      </c>
      <c r="G289" t="s">
        <v>653</v>
      </c>
      <c r="H289" t="s">
        <v>682</v>
      </c>
      <c r="I289" t="s">
        <v>971</v>
      </c>
      <c r="J289" t="s">
        <v>1280</v>
      </c>
      <c r="K289">
        <v>43906</v>
      </c>
      <c r="L289">
        <v>0.08634772462077001</v>
      </c>
      <c r="M289">
        <v>0.0850148219312632</v>
      </c>
      <c r="N289">
        <v>-0.02</v>
      </c>
      <c r="O289">
        <v>0.1231510109387812</v>
      </c>
      <c r="P289" t="s">
        <v>371</v>
      </c>
      <c r="Q289" t="s">
        <v>617</v>
      </c>
      <c r="R289">
        <v>0</v>
      </c>
      <c r="S289">
        <v>0.519298245614035</v>
      </c>
      <c r="T289">
        <v>26</v>
      </c>
      <c r="U289">
        <v>0.6649999999999999</v>
      </c>
      <c r="V289">
        <v>3.2014</v>
      </c>
      <c r="W289">
        <v>2.85</v>
      </c>
      <c r="X289">
        <v>1.48</v>
      </c>
      <c r="Y289">
        <v>-0.564643</v>
      </c>
      <c r="Z289">
        <v>0.8087986463620982</v>
      </c>
      <c r="AA289">
        <v>0.1011608623548922</v>
      </c>
      <c r="AB289">
        <v>0.009933774834437087</v>
      </c>
      <c r="AC289">
        <v>0.7913907284768211</v>
      </c>
      <c r="AD289">
        <v>0.5894039735099338</v>
      </c>
    </row>
    <row r="290" spans="1:30">
      <c r="A290" s="1" t="s">
        <v>297</v>
      </c>
      <c r="B290">
        <f>HYPERLINK("https://www.suredividend.com/sure-analysis-KSU/","Kansas City Southern")</f>
        <v>0</v>
      </c>
      <c r="C290">
        <v>131.33</v>
      </c>
      <c r="D290">
        <v>12091.32045</v>
      </c>
      <c r="E290" t="s">
        <v>646</v>
      </c>
      <c r="F290" t="s">
        <v>613</v>
      </c>
      <c r="G290" t="s">
        <v>653</v>
      </c>
      <c r="H290" t="s">
        <v>682</v>
      </c>
      <c r="I290" t="s">
        <v>972</v>
      </c>
      <c r="J290" t="s">
        <v>1278</v>
      </c>
      <c r="K290">
        <v>43944</v>
      </c>
      <c r="L290">
        <v>0.011944990176817</v>
      </c>
      <c r="M290">
        <v>0.02966494813539211</v>
      </c>
      <c r="N290">
        <v>0.08</v>
      </c>
      <c r="O290">
        <v>0.1222383417561017</v>
      </c>
      <c r="P290" t="s">
        <v>371</v>
      </c>
      <c r="Q290" t="s">
        <v>523</v>
      </c>
      <c r="R290">
        <v>1</v>
      </c>
      <c r="S290">
        <v>0.226865671641791</v>
      </c>
      <c r="T290">
        <v>152</v>
      </c>
      <c r="U290">
        <v>0.8640131578947369</v>
      </c>
      <c r="V290">
        <v>5.9946</v>
      </c>
      <c r="W290">
        <v>6.7</v>
      </c>
      <c r="X290">
        <v>1.52</v>
      </c>
      <c r="Y290">
        <v>0.038013</v>
      </c>
      <c r="Z290">
        <v>0.07614213197969544</v>
      </c>
      <c r="AA290">
        <v>0.7943615257048093</v>
      </c>
      <c r="AB290">
        <v>0.8228476821192053</v>
      </c>
      <c r="AC290">
        <v>0.5711920529801324</v>
      </c>
      <c r="AD290">
        <v>0.5844370860927153</v>
      </c>
    </row>
    <row r="291" spans="1:30">
      <c r="A291" s="1" t="s">
        <v>298</v>
      </c>
      <c r="B291">
        <f>HYPERLINK("https://www.suredividend.com/sure-analysis-NC/","NACCO Industries, Inc.")</f>
        <v>0</v>
      </c>
      <c r="C291">
        <v>29.59</v>
      </c>
      <c r="D291">
        <v>221.180218</v>
      </c>
      <c r="E291" t="s">
        <v>643</v>
      </c>
      <c r="F291" t="s">
        <v>613</v>
      </c>
      <c r="G291" t="s">
        <v>653</v>
      </c>
      <c r="H291" t="s">
        <v>682</v>
      </c>
      <c r="I291" t="s">
        <v>973</v>
      </c>
      <c r="J291" t="s">
        <v>1285</v>
      </c>
      <c r="K291">
        <v>43901</v>
      </c>
      <c r="L291">
        <v>0.02341510035043</v>
      </c>
      <c r="M291">
        <v>0.08746054696706396</v>
      </c>
      <c r="N291">
        <v>0.01</v>
      </c>
      <c r="O291">
        <v>0.1221597912258352</v>
      </c>
      <c r="P291" t="s">
        <v>371</v>
      </c>
      <c r="Q291" t="s">
        <v>317</v>
      </c>
      <c r="R291">
        <v>1</v>
      </c>
      <c r="S291">
        <v>0.147</v>
      </c>
      <c r="T291">
        <v>45</v>
      </c>
      <c r="U291">
        <v>0.6575555555555556</v>
      </c>
      <c r="V291">
        <v>5.6841</v>
      </c>
      <c r="W291">
        <v>5</v>
      </c>
      <c r="X291">
        <v>0.735</v>
      </c>
      <c r="Y291">
        <v>-0.373578</v>
      </c>
      <c r="Z291">
        <v>0.2656514382402707</v>
      </c>
      <c r="AA291">
        <v>0.2852404643449419</v>
      </c>
      <c r="AB291">
        <v>0.05711920529801325</v>
      </c>
      <c r="AC291">
        <v>0.7980132450331127</v>
      </c>
      <c r="AD291">
        <v>0.5827814569536424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107.29</v>
      </c>
      <c r="D292">
        <v>58275.20313</v>
      </c>
      <c r="E292" t="s">
        <v>641</v>
      </c>
      <c r="F292" t="s">
        <v>613</v>
      </c>
      <c r="G292" t="s">
        <v>653</v>
      </c>
      <c r="H292" t="s">
        <v>682</v>
      </c>
      <c r="I292" t="s">
        <v>974</v>
      </c>
      <c r="J292" t="s">
        <v>1278</v>
      </c>
      <c r="K292">
        <v>43951</v>
      </c>
      <c r="L292">
        <v>0.036686170706789</v>
      </c>
      <c r="M292">
        <v>0.008629707609571602</v>
      </c>
      <c r="N292">
        <v>0.08</v>
      </c>
      <c r="O292">
        <v>0.1188083580409112</v>
      </c>
      <c r="P292" t="s">
        <v>371</v>
      </c>
      <c r="Q292" t="s">
        <v>371</v>
      </c>
      <c r="R292">
        <v>26</v>
      </c>
      <c r="S292">
        <v>0.79</v>
      </c>
      <c r="T292">
        <v>112</v>
      </c>
      <c r="U292">
        <v>0.9579464285714286</v>
      </c>
      <c r="V292">
        <v>9.528</v>
      </c>
      <c r="W292">
        <v>5</v>
      </c>
      <c r="X292">
        <v>3.95</v>
      </c>
      <c r="Y292">
        <v>-0.194509</v>
      </c>
      <c r="Z292">
        <v>0.4433164128595601</v>
      </c>
      <c r="AA292">
        <v>0.5323383084577115</v>
      </c>
      <c r="AB292">
        <v>0.8228476821192053</v>
      </c>
      <c r="AC292">
        <v>0.4801324503311258</v>
      </c>
      <c r="AD292">
        <v>0.5761589403973509</v>
      </c>
    </row>
    <row r="293" spans="1:30">
      <c r="A293" s="1" t="s">
        <v>300</v>
      </c>
      <c r="B293">
        <f>HYPERLINK("https://www.suredividend.com/sure-analysis-DTE/","DTE Energy Co.")</f>
        <v>0</v>
      </c>
      <c r="C293">
        <v>98.72</v>
      </c>
      <c r="D293">
        <v>19359.43212</v>
      </c>
      <c r="E293" t="s">
        <v>648</v>
      </c>
      <c r="F293" t="s">
        <v>613</v>
      </c>
      <c r="G293" t="s">
        <v>653</v>
      </c>
      <c r="H293" t="s">
        <v>682</v>
      </c>
      <c r="I293" t="s">
        <v>975</v>
      </c>
      <c r="J293" t="s">
        <v>1287</v>
      </c>
      <c r="K293">
        <v>43951</v>
      </c>
      <c r="L293">
        <v>0.038951348124564</v>
      </c>
      <c r="M293">
        <v>0.02372560642262522</v>
      </c>
      <c r="N293">
        <v>0.06</v>
      </c>
      <c r="O293">
        <v>0.1184056769651667</v>
      </c>
      <c r="P293" t="s">
        <v>371</v>
      </c>
      <c r="Q293" t="s">
        <v>371</v>
      </c>
      <c r="R293">
        <v>11</v>
      </c>
      <c r="S293">
        <v>0.5887218045112782</v>
      </c>
      <c r="T293">
        <v>111</v>
      </c>
      <c r="U293">
        <v>0.8893693693693694</v>
      </c>
      <c r="V293">
        <v>5.8979</v>
      </c>
      <c r="W293">
        <v>6.65</v>
      </c>
      <c r="X293">
        <v>3.915</v>
      </c>
      <c r="Y293">
        <v>-0.193144</v>
      </c>
      <c r="Z293">
        <v>0.467005076142132</v>
      </c>
      <c r="AA293">
        <v>0.5356550580431177</v>
      </c>
      <c r="AB293">
        <v>0.6423841059602649</v>
      </c>
      <c r="AC293">
        <v>0.5496688741721855</v>
      </c>
      <c r="AD293">
        <v>0.5728476821192053</v>
      </c>
    </row>
    <row r="294" spans="1:30">
      <c r="A294" s="1" t="s">
        <v>301</v>
      </c>
      <c r="B294">
        <f>HYPERLINK("https://www.suredividend.com/sure-analysis-RTX/","Raytheon Technologies Corp.")</f>
        <v>0</v>
      </c>
      <c r="C294">
        <v>57.01</v>
      </c>
      <c r="D294">
        <v>50168.2768</v>
      </c>
      <c r="E294" t="s">
        <v>641</v>
      </c>
      <c r="F294" t="s">
        <v>613</v>
      </c>
      <c r="G294" t="s">
        <v>653</v>
      </c>
      <c r="H294" t="s">
        <v>682</v>
      </c>
      <c r="I294" t="s">
        <v>976</v>
      </c>
      <c r="J294" t="s">
        <v>1278</v>
      </c>
      <c r="K294">
        <v>43930</v>
      </c>
      <c r="L294">
        <v>0.050759668508287</v>
      </c>
      <c r="M294">
        <v>0.03282026902199942</v>
      </c>
      <c r="N294">
        <v>0.06</v>
      </c>
      <c r="O294">
        <v>0.1179974409255122</v>
      </c>
      <c r="P294" t="s">
        <v>371</v>
      </c>
      <c r="Q294" t="s">
        <v>618</v>
      </c>
      <c r="R294">
        <v>26</v>
      </c>
      <c r="S294">
        <v>0.7067307692307692</v>
      </c>
      <c r="T294">
        <v>67</v>
      </c>
      <c r="U294">
        <v>0.8508955223880597</v>
      </c>
      <c r="V294">
        <v>6.4778</v>
      </c>
      <c r="W294">
        <v>4.16</v>
      </c>
      <c r="X294">
        <v>2.94</v>
      </c>
      <c r="Y294">
        <v>-0.274954</v>
      </c>
      <c r="Z294">
        <v>0.6023688663282573</v>
      </c>
      <c r="AA294">
        <v>0.4145936981757877</v>
      </c>
      <c r="AB294">
        <v>0.6423841059602649</v>
      </c>
      <c r="AC294">
        <v>0.5811258278145695</v>
      </c>
      <c r="AD294">
        <v>0.5629139072847682</v>
      </c>
    </row>
    <row r="295" spans="1:30">
      <c r="A295" s="1" t="s">
        <v>302</v>
      </c>
      <c r="B295">
        <f>HYPERLINK("https://www.suredividend.com/sure-analysis-BTI/","British American Tobacco plc")</f>
        <v>0</v>
      </c>
      <c r="C295">
        <v>36.99</v>
      </c>
      <c r="D295">
        <v>84876.370113</v>
      </c>
      <c r="E295" t="s">
        <v>646</v>
      </c>
      <c r="F295" t="s">
        <v>613</v>
      </c>
      <c r="G295" t="s">
        <v>655</v>
      </c>
      <c r="H295" t="s">
        <v>682</v>
      </c>
      <c r="I295" t="s">
        <v>977</v>
      </c>
      <c r="J295" t="s">
        <v>1284</v>
      </c>
      <c r="K295">
        <v>43899</v>
      </c>
      <c r="L295">
        <v>0.09050632911392401</v>
      </c>
      <c r="M295">
        <v>0.03056840750085899</v>
      </c>
      <c r="N295">
        <v>0.03</v>
      </c>
      <c r="O295">
        <v>0.1174865665512688</v>
      </c>
      <c r="P295" t="s">
        <v>371</v>
      </c>
      <c r="Q295" t="s">
        <v>618</v>
      </c>
      <c r="R295">
        <v>1</v>
      </c>
      <c r="S295">
        <v>0.7467777777777778</v>
      </c>
      <c r="T295">
        <v>43</v>
      </c>
      <c r="U295">
        <v>0.8602325581395349</v>
      </c>
      <c r="V295">
        <v>3.1856</v>
      </c>
      <c r="W295">
        <v>4.5</v>
      </c>
      <c r="X295">
        <v>3.3605</v>
      </c>
      <c r="Y295">
        <v>-0.009337999999999999</v>
      </c>
      <c r="Z295">
        <v>0.8223350253807107</v>
      </c>
      <c r="AA295">
        <v>0.7512437810945274</v>
      </c>
      <c r="AB295">
        <v>0.2185430463576159</v>
      </c>
      <c r="AC295">
        <v>0.5745033112582781</v>
      </c>
      <c r="AD295">
        <v>0.5579470198675497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63.31</v>
      </c>
      <c r="D296">
        <v>4262.587234</v>
      </c>
      <c r="E296" t="s">
        <v>641</v>
      </c>
      <c r="F296" t="s">
        <v>613</v>
      </c>
      <c r="G296" t="s">
        <v>653</v>
      </c>
      <c r="H296" t="s">
        <v>682</v>
      </c>
      <c r="I296" t="s">
        <v>978</v>
      </c>
      <c r="J296" t="s">
        <v>1278</v>
      </c>
      <c r="K296">
        <v>43951</v>
      </c>
      <c r="L296">
        <v>0.018205046311082</v>
      </c>
      <c r="M296">
        <v>0.05818449681643578</v>
      </c>
      <c r="N296">
        <v>0.04</v>
      </c>
      <c r="O296">
        <v>0.1159566688443117</v>
      </c>
      <c r="P296" t="s">
        <v>371</v>
      </c>
      <c r="Q296" t="s">
        <v>523</v>
      </c>
      <c r="R296">
        <v>7</v>
      </c>
      <c r="S296">
        <v>0.2533333333333334</v>
      </c>
      <c r="T296">
        <v>84</v>
      </c>
      <c r="U296">
        <v>0.7536904761904762</v>
      </c>
      <c r="V296">
        <v>7.0739</v>
      </c>
      <c r="W296">
        <v>4.5</v>
      </c>
      <c r="X296">
        <v>1.14</v>
      </c>
      <c r="Y296">
        <v>-0.19872</v>
      </c>
      <c r="Z296">
        <v>0.1590524534686971</v>
      </c>
      <c r="AA296">
        <v>0.5223880597014925</v>
      </c>
      <c r="AB296">
        <v>0.3501655629139073</v>
      </c>
      <c r="AC296">
        <v>0.6970198675496688</v>
      </c>
      <c r="AD296">
        <v>0.5513245033112583</v>
      </c>
    </row>
    <row r="297" spans="1:30">
      <c r="A297" s="1" t="s">
        <v>304</v>
      </c>
      <c r="B297">
        <f>HYPERLINK("https://www.suredividend.com/sure-analysis-YUM/","Yum! Brands, Inc.")</f>
        <v>0</v>
      </c>
      <c r="C297">
        <v>84.59999999999999</v>
      </c>
      <c r="D297">
        <v>25025.853</v>
      </c>
      <c r="E297" t="s">
        <v>648</v>
      </c>
      <c r="F297" t="s">
        <v>613</v>
      </c>
      <c r="G297" t="s">
        <v>653</v>
      </c>
      <c r="H297" t="s">
        <v>682</v>
      </c>
      <c r="I297" t="s">
        <v>979</v>
      </c>
      <c r="J297" t="s">
        <v>1280</v>
      </c>
      <c r="K297">
        <v>43955</v>
      </c>
      <c r="L297">
        <v>0.020800769508236</v>
      </c>
      <c r="M297">
        <v>-0.04557701896032629</v>
      </c>
      <c r="N297">
        <v>0.15</v>
      </c>
      <c r="O297">
        <v>0.1153215426512069</v>
      </c>
      <c r="P297" t="s">
        <v>371</v>
      </c>
      <c r="Q297" t="s">
        <v>317</v>
      </c>
      <c r="R297">
        <v>3</v>
      </c>
      <c r="S297">
        <v>0.6178571428571429</v>
      </c>
      <c r="T297">
        <v>67</v>
      </c>
      <c r="U297">
        <v>1.262686567164179</v>
      </c>
      <c r="V297">
        <v>3.6587</v>
      </c>
      <c r="W297">
        <v>2.8</v>
      </c>
      <c r="X297">
        <v>1.73</v>
      </c>
      <c r="Y297">
        <v>-0.180349</v>
      </c>
      <c r="Z297">
        <v>0.2064297800338409</v>
      </c>
      <c r="AA297">
        <v>0.5572139303482587</v>
      </c>
      <c r="AB297">
        <v>0.962748344370861</v>
      </c>
      <c r="AC297">
        <v>0.2086092715231788</v>
      </c>
      <c r="AD297">
        <v>0.5496688741721855</v>
      </c>
    </row>
    <row r="298" spans="1:30">
      <c r="A298" s="1" t="s">
        <v>305</v>
      </c>
      <c r="B298">
        <f>HYPERLINK("https://www.suredividend.com/sure-analysis-VALE/","Vale SA")</f>
        <v>0</v>
      </c>
      <c r="C298">
        <v>7.93</v>
      </c>
      <c r="D298">
        <v>39910.747818</v>
      </c>
      <c r="E298" t="s">
        <v>646</v>
      </c>
      <c r="F298" t="s">
        <v>613</v>
      </c>
      <c r="G298" t="s">
        <v>664</v>
      </c>
      <c r="H298" t="s">
        <v>682</v>
      </c>
      <c r="I298" t="s">
        <v>980</v>
      </c>
      <c r="J298" t="s">
        <v>1281</v>
      </c>
      <c r="K298">
        <v>43888</v>
      </c>
      <c r="L298">
        <v>0.044640102827763</v>
      </c>
      <c r="M298">
        <v>0.06372683049150885</v>
      </c>
      <c r="N298">
        <v>0.015</v>
      </c>
      <c r="O298">
        <v>0.1151375801313494</v>
      </c>
      <c r="P298" t="s">
        <v>371</v>
      </c>
      <c r="Q298" t="s">
        <v>371</v>
      </c>
      <c r="R298">
        <v>0</v>
      </c>
      <c r="S298">
        <v>0.2572592592592592</v>
      </c>
      <c r="T298">
        <v>10.8</v>
      </c>
      <c r="U298">
        <v>0.7342592592592592</v>
      </c>
      <c r="V298">
        <v>-0.3331</v>
      </c>
      <c r="W298">
        <v>1.35</v>
      </c>
      <c r="X298">
        <v>0.3473</v>
      </c>
      <c r="Y298">
        <v>-0.377102</v>
      </c>
      <c r="Z298">
        <v>0.532994923857868</v>
      </c>
      <c r="AA298">
        <v>0.2752902155887231</v>
      </c>
      <c r="AB298">
        <v>0.07615894039735099</v>
      </c>
      <c r="AC298">
        <v>0.7218543046357615</v>
      </c>
      <c r="AD298">
        <v>0.5480132450331126</v>
      </c>
    </row>
    <row r="299" spans="1:30">
      <c r="A299" s="1" t="s">
        <v>306</v>
      </c>
      <c r="B299">
        <f>HYPERLINK("https://www.suredividend.com/sure-analysis-ALL/","The Allstate Corp.")</f>
        <v>0</v>
      </c>
      <c r="C299">
        <v>100.85</v>
      </c>
      <c r="D299">
        <v>32108.7794</v>
      </c>
      <c r="E299" t="s">
        <v>650</v>
      </c>
      <c r="F299" t="s">
        <v>613</v>
      </c>
      <c r="G299" t="s">
        <v>653</v>
      </c>
      <c r="H299" t="s">
        <v>682</v>
      </c>
      <c r="I299" t="s">
        <v>981</v>
      </c>
      <c r="J299" t="s">
        <v>1277</v>
      </c>
      <c r="K299">
        <v>43888</v>
      </c>
      <c r="L299">
        <v>0.02010248324793</v>
      </c>
      <c r="M299">
        <v>0.04387097491883174</v>
      </c>
      <c r="N299">
        <v>0.05</v>
      </c>
      <c r="O299">
        <v>0.1142424895230805</v>
      </c>
      <c r="P299" t="s">
        <v>371</v>
      </c>
      <c r="Q299" t="s">
        <v>523</v>
      </c>
      <c r="R299">
        <v>9</v>
      </c>
      <c r="S299">
        <v>0.1955896452540748</v>
      </c>
      <c r="T299">
        <v>125</v>
      </c>
      <c r="U299">
        <v>0.8068</v>
      </c>
      <c r="V299">
        <v>12.1218</v>
      </c>
      <c r="W299">
        <v>10.43</v>
      </c>
      <c r="X299">
        <v>2.04</v>
      </c>
      <c r="Y299">
        <v>0.06084000000000001</v>
      </c>
      <c r="Z299">
        <v>0.194585448392555</v>
      </c>
      <c r="AA299">
        <v>0.8225538971807629</v>
      </c>
      <c r="AB299">
        <v>0.5033112582781457</v>
      </c>
      <c r="AC299">
        <v>0.6307947019867549</v>
      </c>
      <c r="AD299">
        <v>0.5413907284768212</v>
      </c>
    </row>
    <row r="300" spans="1:30">
      <c r="A300" s="1" t="s">
        <v>307</v>
      </c>
      <c r="B300">
        <f>HYPERLINK("https://www.suredividend.com/sure-analysis-NNN/","National Retail Properties, Inc.")</f>
        <v>0</v>
      </c>
      <c r="C300">
        <v>31.18</v>
      </c>
      <c r="D300">
        <v>5215.63779</v>
      </c>
      <c r="E300" t="s">
        <v>649</v>
      </c>
      <c r="F300" t="s">
        <v>614</v>
      </c>
      <c r="G300" t="s">
        <v>653</v>
      </c>
      <c r="H300" t="s">
        <v>682</v>
      </c>
      <c r="I300" t="s">
        <v>982</v>
      </c>
      <c r="J300" t="s">
        <v>1282</v>
      </c>
      <c r="K300">
        <v>43921</v>
      </c>
      <c r="L300">
        <v>0.06791955159907601</v>
      </c>
      <c r="M300">
        <v>0.02338344375610912</v>
      </c>
      <c r="N300">
        <v>0.037</v>
      </c>
      <c r="O300">
        <v>0.1119469749943907</v>
      </c>
      <c r="P300" t="s">
        <v>371</v>
      </c>
      <c r="Q300" t="s">
        <v>618</v>
      </c>
      <c r="R300">
        <v>30</v>
      </c>
      <c r="S300">
        <v>0.8240000000000001</v>
      </c>
      <c r="T300">
        <v>35</v>
      </c>
      <c r="U300">
        <v>0.8908571428571429</v>
      </c>
      <c r="V300">
        <v>1.4792</v>
      </c>
      <c r="W300">
        <v>2.5</v>
      </c>
      <c r="X300">
        <v>2.06</v>
      </c>
      <c r="Y300">
        <v>-0.419633</v>
      </c>
      <c r="Z300">
        <v>0.7021996615905245</v>
      </c>
      <c r="AA300">
        <v>0.2388059701492538</v>
      </c>
      <c r="AB300">
        <v>0.2855960264900662</v>
      </c>
      <c r="AC300">
        <v>0.5480132450331126</v>
      </c>
      <c r="AD300">
        <v>0.5364238410596027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123.73</v>
      </c>
      <c r="D301">
        <v>35677.79386</v>
      </c>
      <c r="E301" t="s">
        <v>648</v>
      </c>
      <c r="F301" t="s">
        <v>613</v>
      </c>
      <c r="G301" t="s">
        <v>653</v>
      </c>
      <c r="H301" t="s">
        <v>682</v>
      </c>
      <c r="I301" t="s">
        <v>983</v>
      </c>
      <c r="J301" t="s">
        <v>1287</v>
      </c>
      <c r="K301">
        <v>43896</v>
      </c>
      <c r="L301">
        <v>0.032351253892804</v>
      </c>
      <c r="M301">
        <v>0.02058483509147946</v>
      </c>
      <c r="N301">
        <v>0.06</v>
      </c>
      <c r="O301">
        <v>0.1097986409857186</v>
      </c>
      <c r="P301" t="s">
        <v>371</v>
      </c>
      <c r="Q301" t="s">
        <v>371</v>
      </c>
      <c r="R301">
        <v>10</v>
      </c>
      <c r="S301">
        <v>0.5482638888888889</v>
      </c>
      <c r="T301">
        <v>137</v>
      </c>
      <c r="U301">
        <v>0.9031386861313869</v>
      </c>
      <c r="V301">
        <v>8.384600000000001</v>
      </c>
      <c r="W301">
        <v>7.2</v>
      </c>
      <c r="X301">
        <v>3.9475</v>
      </c>
      <c r="Y301">
        <v>-0.029353</v>
      </c>
      <c r="Z301">
        <v>0.3824027072758037</v>
      </c>
      <c r="AA301">
        <v>0.7230514096185737</v>
      </c>
      <c r="AB301">
        <v>0.6423841059602649</v>
      </c>
      <c r="AC301">
        <v>0.5347682119205298</v>
      </c>
      <c r="AD301">
        <v>0.5264900662251656</v>
      </c>
    </row>
    <row r="302" spans="1:30">
      <c r="A302" s="1" t="s">
        <v>309</v>
      </c>
      <c r="B302">
        <f>HYPERLINK("https://www.suredividend.com/sure-analysis-AON/","Aon Plc")</f>
        <v>0</v>
      </c>
      <c r="C302">
        <v>184.83</v>
      </c>
      <c r="D302">
        <v>40957.5054</v>
      </c>
      <c r="E302" t="s">
        <v>644</v>
      </c>
      <c r="F302" t="s">
        <v>613</v>
      </c>
      <c r="G302" t="s">
        <v>658</v>
      </c>
      <c r="H302" t="s">
        <v>682</v>
      </c>
      <c r="I302" t="s">
        <v>984</v>
      </c>
      <c r="J302" t="s">
        <v>1277</v>
      </c>
      <c r="K302">
        <v>43957</v>
      </c>
      <c r="L302">
        <v>0.002482509591514</v>
      </c>
      <c r="M302">
        <v>0.000183885181554766</v>
      </c>
      <c r="N302">
        <v>0.1</v>
      </c>
      <c r="O302">
        <v>0.1092957909698453</v>
      </c>
      <c r="P302" t="s">
        <v>371</v>
      </c>
      <c r="Q302" t="s">
        <v>523</v>
      </c>
      <c r="R302">
        <v>8</v>
      </c>
      <c r="S302">
        <v>0.04512820512820513</v>
      </c>
      <c r="T302">
        <v>185</v>
      </c>
      <c r="U302">
        <v>0.9990810810810812</v>
      </c>
      <c r="V302">
        <v>6.9911</v>
      </c>
      <c r="W302">
        <v>9.75</v>
      </c>
      <c r="X302">
        <v>0.44</v>
      </c>
      <c r="Y302">
        <v>0.002545</v>
      </c>
      <c r="Z302">
        <v>0.00676818950930626</v>
      </c>
      <c r="AA302">
        <v>0.7645107794361526</v>
      </c>
      <c r="AB302">
        <v>0.9097682119205298</v>
      </c>
      <c r="AC302">
        <v>0.4221854304635762</v>
      </c>
      <c r="AD302">
        <v>0.5231788079470199</v>
      </c>
    </row>
    <row r="303" spans="1:30">
      <c r="A303" s="1" t="s">
        <v>310</v>
      </c>
      <c r="B303">
        <f>HYPERLINK("https://www.suredividend.com/sure-analysis-KDP/","Keurig Dr Pepper, Inc.")</f>
        <v>0</v>
      </c>
      <c r="C303">
        <v>26.36</v>
      </c>
      <c r="D303">
        <v>37599.048</v>
      </c>
      <c r="E303" t="s">
        <v>642</v>
      </c>
      <c r="F303" t="s">
        <v>613</v>
      </c>
      <c r="G303" t="s">
        <v>653</v>
      </c>
      <c r="H303" t="s">
        <v>682</v>
      </c>
      <c r="I303" t="s">
        <v>985</v>
      </c>
      <c r="J303" t="s">
        <v>1284</v>
      </c>
      <c r="K303">
        <v>43922</v>
      </c>
      <c r="L303">
        <v>0.022455089820359</v>
      </c>
      <c r="M303">
        <v>-0.01053845420483257</v>
      </c>
      <c r="N303">
        <v>0.1</v>
      </c>
      <c r="O303">
        <v>0.104164406388136</v>
      </c>
      <c r="P303" t="s">
        <v>371</v>
      </c>
      <c r="Q303" t="s">
        <v>317</v>
      </c>
      <c r="R303">
        <v>0</v>
      </c>
      <c r="S303">
        <v>0.4316546762589929</v>
      </c>
      <c r="T303">
        <v>25</v>
      </c>
      <c r="U303">
        <v>1.0544</v>
      </c>
      <c r="V303">
        <v>0.8388</v>
      </c>
      <c r="W303">
        <v>1.39</v>
      </c>
      <c r="X303">
        <v>0.6000000000000001</v>
      </c>
      <c r="Y303">
        <v>-0.080523</v>
      </c>
      <c r="Z303">
        <v>0.245346869712352</v>
      </c>
      <c r="AA303">
        <v>0.6716417910447761</v>
      </c>
      <c r="AB303">
        <v>0.9097682119205298</v>
      </c>
      <c r="AC303">
        <v>0.3824503311258278</v>
      </c>
      <c r="AD303">
        <v>0.4867549668874173</v>
      </c>
    </row>
    <row r="304" spans="1:30">
      <c r="A304" s="1" t="s">
        <v>311</v>
      </c>
      <c r="B304">
        <f>HYPERLINK("https://www.suredividend.com/sure-analysis-SNY/","Sanofi")</f>
        <v>0</v>
      </c>
      <c r="C304">
        <v>48.415</v>
      </c>
      <c r="D304">
        <v>123810.318225</v>
      </c>
      <c r="E304" t="s">
        <v>643</v>
      </c>
      <c r="F304" t="s">
        <v>613</v>
      </c>
      <c r="G304" t="s">
        <v>666</v>
      </c>
      <c r="H304" t="s">
        <v>683</v>
      </c>
      <c r="I304" t="s">
        <v>986</v>
      </c>
      <c r="J304" t="s">
        <v>1283</v>
      </c>
      <c r="K304">
        <v>43945</v>
      </c>
      <c r="L304">
        <v>0.024569402228976</v>
      </c>
      <c r="M304">
        <v>0.03318712094746035</v>
      </c>
      <c r="N304">
        <v>0.04</v>
      </c>
      <c r="O304">
        <v>0.1039651067477265</v>
      </c>
      <c r="P304" t="s">
        <v>371</v>
      </c>
      <c r="Q304" t="s">
        <v>317</v>
      </c>
      <c r="R304">
        <v>26</v>
      </c>
      <c r="S304">
        <v>0.3464285714285714</v>
      </c>
      <c r="T304">
        <v>57</v>
      </c>
      <c r="U304">
        <v>0.8493859649122807</v>
      </c>
      <c r="V304">
        <v>1.2971</v>
      </c>
      <c r="W304">
        <v>3.5</v>
      </c>
      <c r="X304">
        <v>1.2125</v>
      </c>
      <c r="Y304">
        <v>0.200146</v>
      </c>
      <c r="Z304">
        <v>0.284263959390863</v>
      </c>
      <c r="AA304">
        <v>0.9170812603648425</v>
      </c>
      <c r="AB304">
        <v>0.3501655629139073</v>
      </c>
      <c r="AC304">
        <v>0.5844370860927153</v>
      </c>
      <c r="AD304">
        <v>0.4850993377483444</v>
      </c>
    </row>
    <row r="305" spans="1:30">
      <c r="A305" s="1" t="s">
        <v>312</v>
      </c>
      <c r="B305">
        <f>HYPERLINK("https://www.suredividend.com/sure-analysis-HMC/","Honda Motor Co., Ltd.")</f>
        <v>0</v>
      </c>
      <c r="C305">
        <v>22.79</v>
      </c>
      <c r="D305">
        <v>39916.945621</v>
      </c>
      <c r="E305" t="s">
        <v>643</v>
      </c>
      <c r="F305" t="s">
        <v>613</v>
      </c>
      <c r="G305" t="s">
        <v>668</v>
      </c>
      <c r="H305" t="s">
        <v>682</v>
      </c>
      <c r="I305" t="s">
        <v>987</v>
      </c>
      <c r="J305" t="s">
        <v>1280</v>
      </c>
      <c r="K305">
        <v>43872</v>
      </c>
      <c r="L305">
        <v>0.034078774617067</v>
      </c>
      <c r="M305">
        <v>0.03448426159453932</v>
      </c>
      <c r="N305">
        <v>0.029</v>
      </c>
      <c r="O305">
        <v>0.1009941256051863</v>
      </c>
      <c r="P305" t="s">
        <v>371</v>
      </c>
      <c r="Q305" t="s">
        <v>317</v>
      </c>
      <c r="R305">
        <v>5</v>
      </c>
      <c r="S305">
        <v>0.2479936305732484</v>
      </c>
      <c r="T305">
        <v>27</v>
      </c>
      <c r="U305">
        <v>0.8440740740740741</v>
      </c>
      <c r="V305">
        <v>2.4749</v>
      </c>
      <c r="W305">
        <v>3.14</v>
      </c>
      <c r="X305">
        <v>0.7787000000000001</v>
      </c>
      <c r="Y305">
        <v>-0.172101</v>
      </c>
      <c r="Z305">
        <v>0.4027072758037225</v>
      </c>
      <c r="AA305">
        <v>0.5638474295190713</v>
      </c>
      <c r="AB305">
        <v>0.1821192052980133</v>
      </c>
      <c r="AC305">
        <v>0.5910596026490066</v>
      </c>
      <c r="AD305">
        <v>0.4685430463576158</v>
      </c>
    </row>
    <row r="306" spans="1:30">
      <c r="A306" s="1" t="s">
        <v>313</v>
      </c>
      <c r="B306">
        <f>HYPERLINK("https://www.suredividend.com/sure-analysis-PSA/","Public Storage")</f>
        <v>0</v>
      </c>
      <c r="C306">
        <v>183.51</v>
      </c>
      <c r="D306">
        <v>30779.29937</v>
      </c>
      <c r="E306" t="s">
        <v>649</v>
      </c>
      <c r="F306" t="s">
        <v>614</v>
      </c>
      <c r="G306" t="s">
        <v>653</v>
      </c>
      <c r="H306" t="s">
        <v>682</v>
      </c>
      <c r="I306" t="s">
        <v>988</v>
      </c>
      <c r="J306" t="s">
        <v>1282</v>
      </c>
      <c r="K306">
        <v>43913</v>
      </c>
      <c r="L306">
        <v>0.04543131353285201</v>
      </c>
      <c r="M306">
        <v>0.0321807254020634</v>
      </c>
      <c r="N306">
        <v>0.03</v>
      </c>
      <c r="O306">
        <v>0.09868636603953629</v>
      </c>
      <c r="P306" t="s">
        <v>371</v>
      </c>
      <c r="Q306" t="s">
        <v>371</v>
      </c>
      <c r="R306">
        <v>0</v>
      </c>
      <c r="S306">
        <v>0.7434944237918216</v>
      </c>
      <c r="T306">
        <v>215</v>
      </c>
      <c r="U306">
        <v>0.8535348837209302</v>
      </c>
      <c r="V306">
        <v>7.3668</v>
      </c>
      <c r="W306">
        <v>10.76</v>
      </c>
      <c r="X306">
        <v>8</v>
      </c>
      <c r="Y306">
        <v>-0.209046</v>
      </c>
      <c r="Z306">
        <v>0.544839255499154</v>
      </c>
      <c r="AA306">
        <v>0.5041459369817578</v>
      </c>
      <c r="AB306">
        <v>0.2185430463576159</v>
      </c>
      <c r="AC306">
        <v>0.5778145695364238</v>
      </c>
      <c r="AD306">
        <v>0.4486754966887417</v>
      </c>
    </row>
    <row r="307" spans="1:30">
      <c r="A307" s="1" t="s">
        <v>314</v>
      </c>
      <c r="B307">
        <f>HYPERLINK("https://www.suredividend.com/sure-analysis-TM/","Toyota Motor Corp.")</f>
        <v>0</v>
      </c>
      <c r="C307">
        <v>121.52</v>
      </c>
      <c r="D307">
        <v>168999.329469</v>
      </c>
      <c r="E307" t="s">
        <v>646</v>
      </c>
      <c r="F307" t="s">
        <v>613</v>
      </c>
      <c r="G307" t="s">
        <v>668</v>
      </c>
      <c r="H307" t="s">
        <v>682</v>
      </c>
      <c r="I307" t="s">
        <v>989</v>
      </c>
      <c r="J307" t="s">
        <v>1280</v>
      </c>
      <c r="K307">
        <v>43874</v>
      </c>
      <c r="L307">
        <v>0.015050995229478</v>
      </c>
      <c r="M307">
        <v>0.02871732726990039</v>
      </c>
      <c r="N307">
        <v>0.04</v>
      </c>
      <c r="O307">
        <v>0.09767913805847228</v>
      </c>
      <c r="P307" t="s">
        <v>371</v>
      </c>
      <c r="Q307" t="s">
        <v>523</v>
      </c>
      <c r="R307">
        <v>2</v>
      </c>
      <c r="S307">
        <v>0.1109030303030303</v>
      </c>
      <c r="T307">
        <v>140</v>
      </c>
      <c r="U307">
        <v>0.868</v>
      </c>
      <c r="V307">
        <v>16.0283</v>
      </c>
      <c r="W307">
        <v>16.5</v>
      </c>
      <c r="X307">
        <v>1.8299</v>
      </c>
      <c r="Y307">
        <v>-0.00751</v>
      </c>
      <c r="Z307">
        <v>0.1133671742808799</v>
      </c>
      <c r="AA307">
        <v>0.7562189054726367</v>
      </c>
      <c r="AB307">
        <v>0.3501655629139073</v>
      </c>
      <c r="AC307">
        <v>0.5678807947019867</v>
      </c>
      <c r="AD307">
        <v>0.4470198675496689</v>
      </c>
    </row>
    <row r="308" spans="1:30">
      <c r="A308" s="1" t="s">
        <v>315</v>
      </c>
      <c r="B308">
        <f>HYPERLINK("https://www.suredividend.com/sure-analysis-APTV/","Aptiv Plc")</f>
        <v>0</v>
      </c>
      <c r="C308">
        <v>65.23</v>
      </c>
      <c r="D308">
        <v>16635.17442</v>
      </c>
      <c r="E308" t="s">
        <v>644</v>
      </c>
      <c r="F308" t="s">
        <v>613</v>
      </c>
      <c r="G308" t="s">
        <v>658</v>
      </c>
      <c r="H308" t="s">
        <v>682</v>
      </c>
      <c r="I308" t="s">
        <v>990</v>
      </c>
      <c r="J308" t="s">
        <v>1280</v>
      </c>
      <c r="K308">
        <v>43873</v>
      </c>
      <c r="L308">
        <v>0.013501073949064</v>
      </c>
      <c r="M308">
        <v>0.01421524036554311</v>
      </c>
      <c r="N308">
        <v>0.07000000000000001</v>
      </c>
      <c r="O308">
        <v>0.09625094203394391</v>
      </c>
      <c r="P308" t="s">
        <v>371</v>
      </c>
      <c r="Q308" t="s">
        <v>523</v>
      </c>
      <c r="R308">
        <v>0</v>
      </c>
      <c r="S308">
        <v>0.176</v>
      </c>
      <c r="T308">
        <v>70</v>
      </c>
      <c r="U308">
        <v>0.9318571428571429</v>
      </c>
      <c r="V308">
        <v>9.0807</v>
      </c>
      <c r="W308">
        <v>5</v>
      </c>
      <c r="X308">
        <v>0.88</v>
      </c>
      <c r="Y308">
        <v>-0.179403</v>
      </c>
      <c r="Z308">
        <v>0.09137055837563451</v>
      </c>
      <c r="AA308">
        <v>0.5588723051409619</v>
      </c>
      <c r="AB308">
        <v>0.7442052980132451</v>
      </c>
      <c r="AC308">
        <v>0.5033112582781457</v>
      </c>
      <c r="AD308">
        <v>0.4354304635761589</v>
      </c>
    </row>
    <row r="309" spans="1:30">
      <c r="A309" s="1" t="s">
        <v>316</v>
      </c>
      <c r="B309">
        <f>HYPERLINK("https://www.suredividend.com/sure-analysis-WPC/","W.P. Carey, Inc.")</f>
        <v>0</v>
      </c>
      <c r="C309">
        <v>60.93</v>
      </c>
      <c r="D309">
        <v>10187.29327</v>
      </c>
      <c r="E309" t="s">
        <v>646</v>
      </c>
      <c r="F309" t="s">
        <v>614</v>
      </c>
      <c r="G309" t="s">
        <v>653</v>
      </c>
      <c r="H309" t="s">
        <v>682</v>
      </c>
      <c r="I309" t="s">
        <v>991</v>
      </c>
      <c r="J309" t="s">
        <v>1282</v>
      </c>
      <c r="K309">
        <v>43888</v>
      </c>
      <c r="L309">
        <v>0.07019800304620001</v>
      </c>
      <c r="M309">
        <v>0.003487812468850882</v>
      </c>
      <c r="N309">
        <v>0.035</v>
      </c>
      <c r="O309">
        <v>0.09440853930396176</v>
      </c>
      <c r="P309" t="s">
        <v>371</v>
      </c>
      <c r="Q309" t="s">
        <v>618</v>
      </c>
      <c r="R309">
        <v>22</v>
      </c>
      <c r="S309">
        <v>0.8396761133603238</v>
      </c>
      <c r="T309">
        <v>62</v>
      </c>
      <c r="U309">
        <v>0.982741935483871</v>
      </c>
      <c r="V309">
        <v>1.7538</v>
      </c>
      <c r="W309">
        <v>4.94</v>
      </c>
      <c r="X309">
        <v>4.148</v>
      </c>
      <c r="Y309">
        <v>-0.239511</v>
      </c>
      <c r="Z309">
        <v>0.7174280879864636</v>
      </c>
      <c r="AA309">
        <v>0.4610281923714759</v>
      </c>
      <c r="AB309">
        <v>0.2698675496688742</v>
      </c>
      <c r="AC309">
        <v>0.4470198675496689</v>
      </c>
      <c r="AD309">
        <v>0.4288079470198676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78.09999999999999</v>
      </c>
      <c r="D310">
        <v>65234.98023</v>
      </c>
      <c r="E310" t="s">
        <v>645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43873</v>
      </c>
      <c r="L310">
        <v>0.047504181139843</v>
      </c>
      <c r="M310">
        <v>-0.002832906723634787</v>
      </c>
      <c r="N310">
        <v>0.055</v>
      </c>
      <c r="O310">
        <v>0.09129473706350488</v>
      </c>
      <c r="P310" t="s">
        <v>371</v>
      </c>
      <c r="Q310" t="s">
        <v>371</v>
      </c>
      <c r="R310">
        <v>16</v>
      </c>
      <c r="S310">
        <v>0.8354072398190046</v>
      </c>
      <c r="T310">
        <v>77</v>
      </c>
      <c r="U310">
        <v>1.014285714285714</v>
      </c>
      <c r="V310">
        <v>2.1388</v>
      </c>
      <c r="W310">
        <v>4.42</v>
      </c>
      <c r="X310">
        <v>3.6925</v>
      </c>
      <c r="Y310">
        <v>0.035848</v>
      </c>
      <c r="Z310">
        <v>0.5651438240270727</v>
      </c>
      <c r="AA310">
        <v>0.7910447761194029</v>
      </c>
      <c r="AB310">
        <v>0.5786423841059603</v>
      </c>
      <c r="AC310">
        <v>0.4089403973509934</v>
      </c>
      <c r="AD310">
        <v>0.4056291390728476</v>
      </c>
    </row>
    <row r="311" spans="1:30">
      <c r="A311" s="1" t="s">
        <v>318</v>
      </c>
      <c r="B311">
        <f>HYPERLINK("https://www.suredividend.com/sure-analysis-OTTR/","Otter Tail Corp.")</f>
        <v>0</v>
      </c>
      <c r="C311">
        <v>41.49</v>
      </c>
      <c r="D311">
        <v>1660.59122</v>
      </c>
      <c r="E311" t="s">
        <v>649</v>
      </c>
      <c r="F311" t="s">
        <v>613</v>
      </c>
      <c r="G311" t="s">
        <v>653</v>
      </c>
      <c r="H311" t="s">
        <v>683</v>
      </c>
      <c r="I311" t="s">
        <v>993</v>
      </c>
      <c r="J311" t="s">
        <v>1287</v>
      </c>
      <c r="K311">
        <v>43921</v>
      </c>
      <c r="L311">
        <v>0.03441589917595701</v>
      </c>
      <c r="M311">
        <v>0.011816712078075</v>
      </c>
      <c r="N311">
        <v>0.046</v>
      </c>
      <c r="O311">
        <v>0.08830520290607091</v>
      </c>
      <c r="P311" t="s">
        <v>371</v>
      </c>
      <c r="Q311" t="s">
        <v>317</v>
      </c>
      <c r="R311">
        <v>7</v>
      </c>
      <c r="S311">
        <v>0.6396396396396395</v>
      </c>
      <c r="T311">
        <v>44</v>
      </c>
      <c r="U311">
        <v>0.9429545454545455</v>
      </c>
      <c r="V311">
        <v>2.1263</v>
      </c>
      <c r="W311">
        <v>2.22</v>
      </c>
      <c r="X311">
        <v>1.42</v>
      </c>
      <c r="Y311">
        <v>-0.186193</v>
      </c>
      <c r="Z311">
        <v>0.4077834179357022</v>
      </c>
      <c r="AA311">
        <v>0.5439469320066335</v>
      </c>
      <c r="AB311">
        <v>0.4312913907284768</v>
      </c>
      <c r="AC311">
        <v>0.4917218543046358</v>
      </c>
      <c r="AD311">
        <v>0.3874172185430463</v>
      </c>
    </row>
    <row r="312" spans="1:30">
      <c r="A312" s="1" t="s">
        <v>319</v>
      </c>
      <c r="B312">
        <f>HYPERLINK("https://www.suredividend.com/sure-analysis-ERIC/","Telefonaktiebolaget LM Ericsson")</f>
        <v>0</v>
      </c>
      <c r="C312">
        <v>8.315</v>
      </c>
      <c r="D312">
        <v>25189.215132</v>
      </c>
      <c r="E312" t="s">
        <v>648</v>
      </c>
      <c r="F312" t="s">
        <v>613</v>
      </c>
      <c r="G312" t="s">
        <v>669</v>
      </c>
      <c r="H312" t="s">
        <v>683</v>
      </c>
      <c r="I312" t="s">
        <v>994</v>
      </c>
      <c r="J312" t="s">
        <v>1286</v>
      </c>
      <c r="K312">
        <v>43955</v>
      </c>
      <c r="L312">
        <v>0.005741504854368001</v>
      </c>
      <c r="M312">
        <v>-0.0003610543726444426</v>
      </c>
      <c r="N312">
        <v>0.08</v>
      </c>
      <c r="O312">
        <v>0.08813697756820571</v>
      </c>
      <c r="P312" t="s">
        <v>371</v>
      </c>
      <c r="Q312" t="s">
        <v>523</v>
      </c>
      <c r="R312">
        <v>0</v>
      </c>
      <c r="S312">
        <v>0.09098076923076924</v>
      </c>
      <c r="T312">
        <v>8.300000000000001</v>
      </c>
      <c r="U312">
        <v>1.001807228915663</v>
      </c>
      <c r="V312">
        <v>0.0738</v>
      </c>
      <c r="W312">
        <v>0.52</v>
      </c>
      <c r="X312">
        <v>0.04731</v>
      </c>
      <c r="Y312">
        <v>-0.111111</v>
      </c>
      <c r="Z312">
        <v>0.01692047377326565</v>
      </c>
      <c r="AA312">
        <v>0.6467661691542288</v>
      </c>
      <c r="AB312">
        <v>0.8228476821192053</v>
      </c>
      <c r="AC312">
        <v>0.4205298013245033</v>
      </c>
      <c r="AD312">
        <v>0.3857615894039735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299.46</v>
      </c>
      <c r="D313">
        <v>122542.831484</v>
      </c>
      <c r="E313" t="s">
        <v>644</v>
      </c>
      <c r="F313" t="s">
        <v>613</v>
      </c>
      <c r="G313" t="s">
        <v>665</v>
      </c>
      <c r="H313" t="s">
        <v>683</v>
      </c>
      <c r="I313" t="s">
        <v>995</v>
      </c>
      <c r="J313" t="s">
        <v>1286</v>
      </c>
      <c r="K313">
        <v>43945</v>
      </c>
      <c r="L313">
        <v>0.007650976361767</v>
      </c>
      <c r="M313">
        <v>-0.03856648485143666</v>
      </c>
      <c r="N313">
        <v>0.12</v>
      </c>
      <c r="O313">
        <v>0.08689821268134068</v>
      </c>
      <c r="P313" t="s">
        <v>371</v>
      </c>
      <c r="Q313" t="s">
        <v>523</v>
      </c>
      <c r="R313">
        <v>5</v>
      </c>
      <c r="S313">
        <v>0.2919372549019608</v>
      </c>
      <c r="T313">
        <v>246</v>
      </c>
      <c r="U313">
        <v>1.217317073170732</v>
      </c>
      <c r="V313">
        <v>6.873</v>
      </c>
      <c r="W313">
        <v>7.65</v>
      </c>
      <c r="X313">
        <v>2.23332</v>
      </c>
      <c r="Y313">
        <v>0.454482</v>
      </c>
      <c r="Z313">
        <v>0.02876480541455161</v>
      </c>
      <c r="AA313">
        <v>0.9800995024875622</v>
      </c>
      <c r="AB313">
        <v>0.9354304635761589</v>
      </c>
      <c r="AC313">
        <v>0.2350993377483444</v>
      </c>
      <c r="AD313">
        <v>0.3708609271523178</v>
      </c>
    </row>
    <row r="314" spans="1:30">
      <c r="A314" s="1" t="s">
        <v>321</v>
      </c>
      <c r="B314">
        <f>HYPERLINK("https://www.suredividend.com/sure-analysis-CMI/","Cummins, Inc.")</f>
        <v>0</v>
      </c>
      <c r="C314">
        <v>155.72</v>
      </c>
      <c r="D314">
        <v>22667.3699</v>
      </c>
      <c r="E314" t="s">
        <v>643</v>
      </c>
      <c r="F314" t="s">
        <v>613</v>
      </c>
      <c r="G314" t="s">
        <v>653</v>
      </c>
      <c r="H314" t="s">
        <v>682</v>
      </c>
      <c r="I314" t="s">
        <v>996</v>
      </c>
      <c r="J314" t="s">
        <v>1278</v>
      </c>
      <c r="K314">
        <v>43949</v>
      </c>
      <c r="L314">
        <v>0.033016596160104</v>
      </c>
      <c r="M314">
        <v>-0.0224610270797988</v>
      </c>
      <c r="N314">
        <v>0.08</v>
      </c>
      <c r="O314">
        <v>0.08545894991265146</v>
      </c>
      <c r="P314" t="s">
        <v>371</v>
      </c>
      <c r="Q314" t="s">
        <v>317</v>
      </c>
      <c r="R314">
        <v>14</v>
      </c>
      <c r="S314">
        <v>0.7278335724533717</v>
      </c>
      <c r="T314">
        <v>139</v>
      </c>
      <c r="U314">
        <v>1.120287769784173</v>
      </c>
      <c r="V314">
        <v>13.681</v>
      </c>
      <c r="W314">
        <v>6.97</v>
      </c>
      <c r="X314">
        <v>5.073</v>
      </c>
      <c r="Y314">
        <v>-0.07221799999999999</v>
      </c>
      <c r="Z314">
        <v>0.3908629441624366</v>
      </c>
      <c r="AA314">
        <v>0.6832504145936982</v>
      </c>
      <c r="AB314">
        <v>0.8228476821192053</v>
      </c>
      <c r="AC314">
        <v>0.3228476821192053</v>
      </c>
      <c r="AD314">
        <v>0.3642384105960265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137.14</v>
      </c>
      <c r="D315">
        <v>79816.6012</v>
      </c>
      <c r="E315" t="s">
        <v>643</v>
      </c>
      <c r="F315" t="s">
        <v>613</v>
      </c>
      <c r="G315" t="s">
        <v>655</v>
      </c>
      <c r="H315" t="s">
        <v>682</v>
      </c>
      <c r="I315" t="s">
        <v>997</v>
      </c>
      <c r="J315" t="s">
        <v>1284</v>
      </c>
      <c r="K315">
        <v>43867</v>
      </c>
      <c r="L315">
        <v>0.025083711068869</v>
      </c>
      <c r="M315">
        <v>-0.0168013354311185</v>
      </c>
      <c r="N315">
        <v>0.08</v>
      </c>
      <c r="O315">
        <v>0.08449272748854297</v>
      </c>
      <c r="P315" t="s">
        <v>371</v>
      </c>
      <c r="Q315" t="s">
        <v>317</v>
      </c>
      <c r="R315">
        <v>7</v>
      </c>
      <c r="S315">
        <v>0.4972391304347826</v>
      </c>
      <c r="T315">
        <v>126</v>
      </c>
      <c r="U315">
        <v>1.088412698412698</v>
      </c>
      <c r="V315">
        <v>6.5613</v>
      </c>
      <c r="W315">
        <v>6.9</v>
      </c>
      <c r="X315">
        <v>3.43095</v>
      </c>
      <c r="Y315">
        <v>-0.183403</v>
      </c>
      <c r="Z315">
        <v>0.2876480541455161</v>
      </c>
      <c r="AA315">
        <v>0.5505804311774462</v>
      </c>
      <c r="AB315">
        <v>0.8228476821192053</v>
      </c>
      <c r="AC315">
        <v>0.3543046357615894</v>
      </c>
      <c r="AD315">
        <v>0.3543046357615894</v>
      </c>
    </row>
    <row r="316" spans="1:30">
      <c r="A316" s="1" t="s">
        <v>323</v>
      </c>
      <c r="B316">
        <f>HYPERLINK("https://www.suredividend.com/sure-analysis-AVB/","AvalonBay Communities, Inc.")</f>
        <v>0</v>
      </c>
      <c r="C316">
        <v>160.44</v>
      </c>
      <c r="D316">
        <v>22067.248</v>
      </c>
      <c r="E316" t="s">
        <v>649</v>
      </c>
      <c r="F316" t="s">
        <v>614</v>
      </c>
      <c r="G316" t="s">
        <v>653</v>
      </c>
      <c r="H316" t="s">
        <v>682</v>
      </c>
      <c r="I316" t="s">
        <v>998</v>
      </c>
      <c r="J316" t="s">
        <v>1282</v>
      </c>
      <c r="K316">
        <v>43893</v>
      </c>
      <c r="L316">
        <v>0.038775510204081</v>
      </c>
      <c r="M316">
        <v>0.01984018977955571</v>
      </c>
      <c r="N316">
        <v>0.03</v>
      </c>
      <c r="O316">
        <v>0.08430941649177415</v>
      </c>
      <c r="P316" t="s">
        <v>371</v>
      </c>
      <c r="Q316" t="s">
        <v>371</v>
      </c>
      <c r="R316">
        <v>8</v>
      </c>
      <c r="S316">
        <v>0.6191446028513238</v>
      </c>
      <c r="T316">
        <v>177</v>
      </c>
      <c r="U316">
        <v>0.9064406779661017</v>
      </c>
      <c r="V316">
        <v>5.6387</v>
      </c>
      <c r="W316">
        <v>9.82</v>
      </c>
      <c r="X316">
        <v>6.08</v>
      </c>
      <c r="Y316">
        <v>-0.203212</v>
      </c>
      <c r="Z316">
        <v>0.4602368866328257</v>
      </c>
      <c r="AA316">
        <v>0.5157545605306799</v>
      </c>
      <c r="AB316">
        <v>0.2185430463576159</v>
      </c>
      <c r="AC316">
        <v>0.5298013245033113</v>
      </c>
      <c r="AD316">
        <v>0.3509933774834437</v>
      </c>
    </row>
    <row r="317" spans="1:30">
      <c r="A317" s="1" t="s">
        <v>324</v>
      </c>
      <c r="B317">
        <f>HYPERLINK("https://www.suredividend.com/sure-analysis-PPL/","PPL Corp.")</f>
        <v>0</v>
      </c>
      <c r="C317">
        <v>24.29</v>
      </c>
      <c r="D317">
        <v>18651.4104</v>
      </c>
      <c r="E317" t="s">
        <v>643</v>
      </c>
      <c r="F317" t="s">
        <v>613</v>
      </c>
      <c r="G317" t="s">
        <v>653</v>
      </c>
      <c r="H317" t="s">
        <v>682</v>
      </c>
      <c r="I317" t="s">
        <v>999</v>
      </c>
      <c r="J317" t="s">
        <v>1287</v>
      </c>
      <c r="K317">
        <v>43875</v>
      </c>
      <c r="L317">
        <v>0.06795716639209201</v>
      </c>
      <c r="M317">
        <v>0.005778849872841496</v>
      </c>
      <c r="N317">
        <v>0.02</v>
      </c>
      <c r="O317">
        <v>0.08429545578664022</v>
      </c>
      <c r="P317" t="s">
        <v>371</v>
      </c>
      <c r="Q317" t="s">
        <v>618</v>
      </c>
      <c r="R317">
        <v>19</v>
      </c>
      <c r="S317">
        <v>0.6599999999999999</v>
      </c>
      <c r="T317">
        <v>25</v>
      </c>
      <c r="U317">
        <v>0.9716</v>
      </c>
      <c r="V317">
        <v>2.4051</v>
      </c>
      <c r="W317">
        <v>2.5</v>
      </c>
      <c r="X317">
        <v>1.65</v>
      </c>
      <c r="Y317">
        <v>-0.215762</v>
      </c>
      <c r="Z317">
        <v>0.7055837563451778</v>
      </c>
      <c r="AA317">
        <v>0.494195688225539</v>
      </c>
      <c r="AB317">
        <v>0.130794701986755</v>
      </c>
      <c r="AC317">
        <v>0.4619205298013245</v>
      </c>
      <c r="AD317">
        <v>0.3493377483443709</v>
      </c>
    </row>
    <row r="318" spans="1:30">
      <c r="A318" s="1" t="s">
        <v>325</v>
      </c>
      <c r="B318">
        <f>HYPERLINK("https://www.suredividend.com/sure-analysis-SKM/","SK Telecom Co., Ltd.")</f>
        <v>0</v>
      </c>
      <c r="C318">
        <v>18.79</v>
      </c>
      <c r="D318">
        <v>12131.262118</v>
      </c>
      <c r="E318" t="s">
        <v>650</v>
      </c>
      <c r="F318" t="s">
        <v>613</v>
      </c>
      <c r="G318" t="s">
        <v>670</v>
      </c>
      <c r="H318" t="s">
        <v>682</v>
      </c>
      <c r="I318" t="s">
        <v>1000</v>
      </c>
      <c r="J318" t="s">
        <v>1279</v>
      </c>
      <c r="K318">
        <v>43930</v>
      </c>
      <c r="L318">
        <v>0.048947368421052</v>
      </c>
      <c r="M318">
        <v>-0.008553817242229811</v>
      </c>
      <c r="N318">
        <v>0.05</v>
      </c>
      <c r="O318">
        <v>0.08283594682889817</v>
      </c>
      <c r="P318" t="s">
        <v>371</v>
      </c>
      <c r="Q318" t="s">
        <v>618</v>
      </c>
      <c r="R318">
        <v>0</v>
      </c>
      <c r="S318">
        <v>0.4674093264248705</v>
      </c>
      <c r="T318">
        <v>18</v>
      </c>
      <c r="U318">
        <v>1.043888888888889</v>
      </c>
      <c r="V318">
        <v>1.1588</v>
      </c>
      <c r="W318">
        <v>1.93</v>
      </c>
      <c r="X318">
        <v>0.9021</v>
      </c>
      <c r="Y318">
        <v>-0.233361</v>
      </c>
      <c r="Z318">
        <v>0.5803722504230119</v>
      </c>
      <c r="AA318">
        <v>0.4709784411276949</v>
      </c>
      <c r="AB318">
        <v>0.5033112582781457</v>
      </c>
      <c r="AC318">
        <v>0.3907284768211921</v>
      </c>
      <c r="AD318">
        <v>0.3410596026490066</v>
      </c>
    </row>
    <row r="319" spans="1:30">
      <c r="A319" s="1" t="s">
        <v>326</v>
      </c>
      <c r="B319">
        <f>HYPERLINK("https://www.suredividend.com/sure-analysis-PAYX/","Paychex, Inc.")</f>
        <v>0</v>
      </c>
      <c r="C319">
        <v>68.08</v>
      </c>
      <c r="D319">
        <v>24076.9508</v>
      </c>
      <c r="E319" t="s">
        <v>643</v>
      </c>
      <c r="F319" t="s">
        <v>613</v>
      </c>
      <c r="G319" t="s">
        <v>653</v>
      </c>
      <c r="H319" t="s">
        <v>683</v>
      </c>
      <c r="I319" t="s">
        <v>1001</v>
      </c>
      <c r="J319" t="s">
        <v>1278</v>
      </c>
      <c r="K319">
        <v>43915</v>
      </c>
      <c r="L319">
        <v>0.036948748510131</v>
      </c>
      <c r="M319">
        <v>-0.003193064267270063</v>
      </c>
      <c r="N319">
        <v>0.05</v>
      </c>
      <c r="O319">
        <v>0.07974363128498707</v>
      </c>
      <c r="P319" t="s">
        <v>371</v>
      </c>
      <c r="Q319" t="s">
        <v>317</v>
      </c>
      <c r="R319">
        <v>9</v>
      </c>
      <c r="S319">
        <v>0.7749999999999999</v>
      </c>
      <c r="T319">
        <v>67</v>
      </c>
      <c r="U319">
        <v>1.016119402985075</v>
      </c>
      <c r="V319">
        <v>3.088</v>
      </c>
      <c r="W319">
        <v>3.2</v>
      </c>
      <c r="X319">
        <v>2.48</v>
      </c>
      <c r="Y319">
        <v>-0.195975</v>
      </c>
      <c r="Z319">
        <v>0.4483925549915398</v>
      </c>
      <c r="AA319">
        <v>0.5290215588723052</v>
      </c>
      <c r="AB319">
        <v>0.5033112582781457</v>
      </c>
      <c r="AC319">
        <v>0.4072847682119206</v>
      </c>
      <c r="AD319">
        <v>0.3278145695364238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80.31</v>
      </c>
      <c r="D320">
        <v>58773.70203</v>
      </c>
      <c r="E320" t="s">
        <v>649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43916</v>
      </c>
      <c r="L320">
        <v>0.04677157487198701</v>
      </c>
      <c r="M320">
        <v>-0.003283855061448571</v>
      </c>
      <c r="N320">
        <v>0.04</v>
      </c>
      <c r="O320">
        <v>0.07847000787469072</v>
      </c>
      <c r="P320" t="s">
        <v>371</v>
      </c>
      <c r="Q320" t="s">
        <v>371</v>
      </c>
      <c r="R320">
        <v>9</v>
      </c>
      <c r="S320">
        <v>0.7133333333333334</v>
      </c>
      <c r="T320">
        <v>79</v>
      </c>
      <c r="U320">
        <v>1.016582278481013</v>
      </c>
      <c r="V320">
        <v>5.0887</v>
      </c>
      <c r="W320">
        <v>5.25</v>
      </c>
      <c r="X320">
        <v>3.745</v>
      </c>
      <c r="Y320">
        <v>-0.102958</v>
      </c>
      <c r="Z320">
        <v>0.560067681895093</v>
      </c>
      <c r="AA320">
        <v>0.6550580431177445</v>
      </c>
      <c r="AB320">
        <v>0.3501655629139073</v>
      </c>
      <c r="AC320">
        <v>0.4056291390728476</v>
      </c>
      <c r="AD320">
        <v>0.3261589403973509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163.95</v>
      </c>
      <c r="D321">
        <v>25680.82132</v>
      </c>
      <c r="E321" t="s">
        <v>646</v>
      </c>
      <c r="F321" t="s">
        <v>613</v>
      </c>
      <c r="G321" t="s">
        <v>653</v>
      </c>
      <c r="H321" t="s">
        <v>683</v>
      </c>
      <c r="I321" t="s">
        <v>1003</v>
      </c>
      <c r="J321" t="s">
        <v>1286</v>
      </c>
      <c r="K321">
        <v>43870</v>
      </c>
      <c r="L321">
        <v>0.019534826933642</v>
      </c>
      <c r="M321">
        <v>-0.02697292863255685</v>
      </c>
      <c r="N321">
        <v>0.08500000000000001</v>
      </c>
      <c r="O321">
        <v>0.07727027047651247</v>
      </c>
      <c r="P321" t="s">
        <v>371</v>
      </c>
      <c r="Q321" t="s">
        <v>523</v>
      </c>
      <c r="R321">
        <v>10</v>
      </c>
      <c r="S321">
        <v>0.3137254901960785</v>
      </c>
      <c r="T321">
        <v>143</v>
      </c>
      <c r="U321">
        <v>1.146503496503496</v>
      </c>
      <c r="V321">
        <v>6.4626</v>
      </c>
      <c r="W321">
        <v>10.2</v>
      </c>
      <c r="X321">
        <v>3.2</v>
      </c>
      <c r="Y321">
        <v>0.400564</v>
      </c>
      <c r="Z321">
        <v>0.1844331641285956</v>
      </c>
      <c r="AA321">
        <v>0.9701492537313433</v>
      </c>
      <c r="AB321">
        <v>0.8576158940397351</v>
      </c>
      <c r="AC321">
        <v>0.2897350993377483</v>
      </c>
      <c r="AD321">
        <v>0.3245033112582781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10.5</v>
      </c>
      <c r="D322">
        <v>2791.95</v>
      </c>
      <c r="E322" t="s">
        <v>649</v>
      </c>
      <c r="F322" t="s">
        <v>613</v>
      </c>
      <c r="G322" t="s">
        <v>654</v>
      </c>
      <c r="H322" t="s">
        <v>684</v>
      </c>
      <c r="J322" t="s">
        <v>1287</v>
      </c>
      <c r="K322">
        <v>43913</v>
      </c>
      <c r="L322">
        <v>0.06746334272519401</v>
      </c>
      <c r="M322">
        <v>-0.01169912674226836</v>
      </c>
      <c r="N322">
        <v>0.032</v>
      </c>
      <c r="O322">
        <v>0.07718851859554454</v>
      </c>
      <c r="P322" t="s">
        <v>371</v>
      </c>
      <c r="Q322" t="s">
        <v>618</v>
      </c>
      <c r="R322">
        <v>0</v>
      </c>
      <c r="S322">
        <v>0.64396827146777</v>
      </c>
      <c r="T322">
        <v>9.9</v>
      </c>
      <c r="U322">
        <v>1.060606060606061</v>
      </c>
      <c r="V322">
        <v>0.5098</v>
      </c>
      <c r="W322">
        <v>1.1</v>
      </c>
      <c r="X322">
        <v>0.7083650986145471</v>
      </c>
      <c r="Y322">
        <v>0.024488</v>
      </c>
      <c r="Z322">
        <v>0.6988155668358713</v>
      </c>
      <c r="AA322">
        <v>0.7810945273631841</v>
      </c>
      <c r="AB322">
        <v>0.2566225165562914</v>
      </c>
      <c r="AC322">
        <v>0.3774834437086093</v>
      </c>
      <c r="AD322">
        <v>0.3228476821192053</v>
      </c>
    </row>
    <row r="323" spans="1:30">
      <c r="A323" s="1" t="s">
        <v>330</v>
      </c>
      <c r="B323">
        <f>HYPERLINK("https://www.suredividend.com/sure-analysis-CNP/","CenterPoint Energy, Inc.")</f>
        <v>0</v>
      </c>
      <c r="C323">
        <v>17.81</v>
      </c>
      <c r="D323">
        <v>8031.7877</v>
      </c>
      <c r="E323" t="s">
        <v>649</v>
      </c>
      <c r="F323" t="s">
        <v>613</v>
      </c>
      <c r="G323" t="s">
        <v>653</v>
      </c>
      <c r="H323" t="s">
        <v>682</v>
      </c>
      <c r="I323" t="s">
        <v>1004</v>
      </c>
      <c r="J323" t="s">
        <v>1287</v>
      </c>
      <c r="K323">
        <v>43913</v>
      </c>
      <c r="L323">
        <v>0.07196495619524401</v>
      </c>
      <c r="M323">
        <v>-0.02120619343404928</v>
      </c>
      <c r="N323">
        <v>0.04</v>
      </c>
      <c r="O323">
        <v>0.07645914670336751</v>
      </c>
      <c r="P323" t="s">
        <v>371</v>
      </c>
      <c r="Q323" t="s">
        <v>618</v>
      </c>
      <c r="R323">
        <v>14</v>
      </c>
      <c r="S323">
        <v>0.8518518518518517</v>
      </c>
      <c r="T323">
        <v>16</v>
      </c>
      <c r="U323">
        <v>1.113125</v>
      </c>
      <c r="V323">
        <v>1.3424</v>
      </c>
      <c r="W323">
        <v>1.35</v>
      </c>
      <c r="X323">
        <v>1.15</v>
      </c>
      <c r="Y323">
        <v>-0.481337</v>
      </c>
      <c r="Z323">
        <v>0.7309644670050761</v>
      </c>
      <c r="AA323">
        <v>0.175787728026534</v>
      </c>
      <c r="AB323">
        <v>0.3501655629139073</v>
      </c>
      <c r="AC323">
        <v>0.3327814569536424</v>
      </c>
      <c r="AD323">
        <v>0.3178807947019868</v>
      </c>
    </row>
    <row r="324" spans="1:30">
      <c r="A324" s="1" t="s">
        <v>331</v>
      </c>
      <c r="B324">
        <f>HYPERLINK("https://www.suredividend.com/sure-analysis-TCO/","Taubman Centers, Inc.")</f>
        <v>0</v>
      </c>
      <c r="C324">
        <v>43.95</v>
      </c>
      <c r="D324">
        <v>2662.098964</v>
      </c>
      <c r="E324" t="s">
        <v>646</v>
      </c>
      <c r="F324" t="s">
        <v>614</v>
      </c>
      <c r="G324" t="s">
        <v>653</v>
      </c>
      <c r="H324" t="s">
        <v>682</v>
      </c>
      <c r="I324" t="s">
        <v>1005</v>
      </c>
      <c r="J324" t="s">
        <v>1282</v>
      </c>
      <c r="K324">
        <v>43871</v>
      </c>
      <c r="L324">
        <v>0.06248553575561201</v>
      </c>
      <c r="M324">
        <v>0.0002274278152001319</v>
      </c>
      <c r="N324">
        <v>0.02</v>
      </c>
      <c r="O324">
        <v>0.07584454465171908</v>
      </c>
      <c r="P324" t="s">
        <v>371</v>
      </c>
      <c r="Q324" t="s">
        <v>618</v>
      </c>
      <c r="R324">
        <v>10</v>
      </c>
      <c r="S324">
        <v>0.7297297297297297</v>
      </c>
      <c r="T324">
        <v>44</v>
      </c>
      <c r="U324">
        <v>0.9988636363636364</v>
      </c>
      <c r="V324">
        <v>-2.206</v>
      </c>
      <c r="W324">
        <v>3.7</v>
      </c>
      <c r="X324">
        <v>2.7</v>
      </c>
      <c r="Y324">
        <v>-0.139586</v>
      </c>
      <c r="Z324">
        <v>0.6717428087986463</v>
      </c>
      <c r="AA324">
        <v>0.6053067993366501</v>
      </c>
      <c r="AB324">
        <v>0.130794701986755</v>
      </c>
      <c r="AC324">
        <v>0.4238410596026491</v>
      </c>
      <c r="AD324">
        <v>0.3079470198675496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113.67</v>
      </c>
      <c r="D325">
        <v>103176.04066</v>
      </c>
      <c r="E325" t="s">
        <v>646</v>
      </c>
      <c r="F325" t="s">
        <v>613</v>
      </c>
      <c r="G325" t="s">
        <v>653</v>
      </c>
      <c r="H325" t="s">
        <v>683</v>
      </c>
      <c r="I325" t="s">
        <v>1006</v>
      </c>
      <c r="J325" t="s">
        <v>1286</v>
      </c>
      <c r="K325">
        <v>43945</v>
      </c>
      <c r="L325">
        <v>0.029710016011385</v>
      </c>
      <c r="M325">
        <v>-0.03524830768732645</v>
      </c>
      <c r="N325">
        <v>0.08</v>
      </c>
      <c r="O325">
        <v>0.07484811707978101</v>
      </c>
      <c r="P325" t="s">
        <v>371</v>
      </c>
      <c r="Q325" t="s">
        <v>317</v>
      </c>
      <c r="R325">
        <v>16</v>
      </c>
      <c r="S325">
        <v>0.6549019607843137</v>
      </c>
      <c r="T325">
        <v>95</v>
      </c>
      <c r="U325">
        <v>1.196526315789474</v>
      </c>
      <c r="V325">
        <v>5.2883</v>
      </c>
      <c r="W325">
        <v>5.1</v>
      </c>
      <c r="X325">
        <v>3.34</v>
      </c>
      <c r="Y325">
        <v>-0.013254</v>
      </c>
      <c r="Z325">
        <v>0.3485617597292724</v>
      </c>
      <c r="AA325">
        <v>0.746268656716418</v>
      </c>
      <c r="AB325">
        <v>0.8228476821192053</v>
      </c>
      <c r="AC325">
        <v>0.2483443708609272</v>
      </c>
      <c r="AD325">
        <v>0.3029801324503311</v>
      </c>
    </row>
    <row r="326" spans="1:30">
      <c r="A326" s="1" t="s">
        <v>333</v>
      </c>
      <c r="B326">
        <f>HYPERLINK("https://www.suredividend.com/sure-analysis-INFY/","Infosys Ltd.")</f>
        <v>0</v>
      </c>
      <c r="C326">
        <v>9.039999999999999</v>
      </c>
      <c r="D326">
        <v>37734.6514</v>
      </c>
      <c r="E326" t="s">
        <v>646</v>
      </c>
      <c r="F326" t="s">
        <v>613</v>
      </c>
      <c r="G326" t="s">
        <v>671</v>
      </c>
      <c r="H326" t="s">
        <v>682</v>
      </c>
      <c r="I326" t="s">
        <v>1007</v>
      </c>
      <c r="J326" t="s">
        <v>1286</v>
      </c>
      <c r="K326">
        <v>43944</v>
      </c>
      <c r="L326">
        <v>0.02747776523702</v>
      </c>
      <c r="M326">
        <v>-0.02414720285851069</v>
      </c>
      <c r="N326">
        <v>0.07000000000000001</v>
      </c>
      <c r="O326">
        <v>0.07307397064259358</v>
      </c>
      <c r="P326" t="s">
        <v>371</v>
      </c>
      <c r="Q326" t="s">
        <v>317</v>
      </c>
      <c r="R326">
        <v>4</v>
      </c>
      <c r="S326">
        <v>0.486906</v>
      </c>
      <c r="T326">
        <v>8</v>
      </c>
      <c r="U326">
        <v>1.13</v>
      </c>
      <c r="V326">
        <v>0.5418000000000001</v>
      </c>
      <c r="W326">
        <v>0.5</v>
      </c>
      <c r="X326">
        <v>0.243453</v>
      </c>
      <c r="Y326">
        <v>-0.143133</v>
      </c>
      <c r="Z326">
        <v>0.3214890016920474</v>
      </c>
      <c r="AA326">
        <v>0.6019900497512438</v>
      </c>
      <c r="AB326">
        <v>0.7442052980132451</v>
      </c>
      <c r="AC326">
        <v>0.3087748344370861</v>
      </c>
      <c r="AD326">
        <v>0.293046357615894</v>
      </c>
    </row>
    <row r="327" spans="1:30">
      <c r="A327" s="1" t="s">
        <v>334</v>
      </c>
      <c r="B327">
        <f>HYPERLINK("https://www.suredividend.com/sure-analysis-SO/","The Southern Co.")</f>
        <v>0</v>
      </c>
      <c r="C327">
        <v>54.23</v>
      </c>
      <c r="D327">
        <v>56641.6944</v>
      </c>
      <c r="E327" t="s">
        <v>648</v>
      </c>
      <c r="F327" t="s">
        <v>613</v>
      </c>
      <c r="G327" t="s">
        <v>653</v>
      </c>
      <c r="H327" t="s">
        <v>682</v>
      </c>
      <c r="I327" t="s">
        <v>1008</v>
      </c>
      <c r="J327" t="s">
        <v>1287</v>
      </c>
      <c r="K327">
        <v>43954</v>
      </c>
      <c r="L327">
        <v>0.046234153616703</v>
      </c>
      <c r="M327">
        <v>-0.008362942851872557</v>
      </c>
      <c r="N327">
        <v>0.04</v>
      </c>
      <c r="O327">
        <v>0.07302759010979121</v>
      </c>
      <c r="P327" t="s">
        <v>371</v>
      </c>
      <c r="Q327" t="s">
        <v>371</v>
      </c>
      <c r="R327">
        <v>19</v>
      </c>
      <c r="S327">
        <v>0.7749999999999999</v>
      </c>
      <c r="T327">
        <v>52</v>
      </c>
      <c r="U327">
        <v>1.042884615384615</v>
      </c>
      <c r="V327">
        <v>3.3478</v>
      </c>
      <c r="W327">
        <v>3.2</v>
      </c>
      <c r="X327">
        <v>2.48</v>
      </c>
      <c r="Y327">
        <v>0.014756</v>
      </c>
      <c r="Z327">
        <v>0.5516074450084603</v>
      </c>
      <c r="AA327">
        <v>0.7761194029850746</v>
      </c>
      <c r="AB327">
        <v>0.3501655629139073</v>
      </c>
      <c r="AC327">
        <v>0.3940397350993378</v>
      </c>
      <c r="AD327">
        <v>0.2913907284768212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50.55</v>
      </c>
      <c r="D328">
        <v>57846.141427</v>
      </c>
      <c r="E328" t="s">
        <v>648</v>
      </c>
      <c r="F328" t="s">
        <v>613</v>
      </c>
      <c r="G328" t="s">
        <v>655</v>
      </c>
      <c r="H328" t="s">
        <v>682</v>
      </c>
      <c r="I328" t="s">
        <v>1009</v>
      </c>
      <c r="J328" t="s">
        <v>1284</v>
      </c>
      <c r="K328">
        <v>43949</v>
      </c>
      <c r="L328">
        <v>0.036277621534752</v>
      </c>
      <c r="M328">
        <v>-0.02299166048768841</v>
      </c>
      <c r="N328">
        <v>0.06</v>
      </c>
      <c r="O328">
        <v>0.0687154475158207</v>
      </c>
      <c r="P328" t="s">
        <v>371</v>
      </c>
      <c r="Q328" t="s">
        <v>317</v>
      </c>
      <c r="R328">
        <v>4</v>
      </c>
      <c r="S328">
        <v>0.72236</v>
      </c>
      <c r="T328">
        <v>45</v>
      </c>
      <c r="U328">
        <v>1.123333333333333</v>
      </c>
      <c r="V328">
        <v>2.4082</v>
      </c>
      <c r="W328">
        <v>2.5</v>
      </c>
      <c r="X328">
        <v>1.8059</v>
      </c>
      <c r="Y328">
        <v>-0.166583</v>
      </c>
      <c r="Z328">
        <v>0.4382402707275804</v>
      </c>
      <c r="AA328">
        <v>0.5737976782752903</v>
      </c>
      <c r="AB328">
        <v>0.6423841059602649</v>
      </c>
      <c r="AC328">
        <v>0.3195364238410596</v>
      </c>
      <c r="AD328">
        <v>0.271523178807947</v>
      </c>
    </row>
    <row r="329" spans="1:30">
      <c r="A329" s="1" t="s">
        <v>336</v>
      </c>
      <c r="B329">
        <f>HYPERLINK("https://www.suredividend.com/sure-analysis-V/","Visa, Inc.")</f>
        <v>0</v>
      </c>
      <c r="C329">
        <v>182.72</v>
      </c>
      <c r="D329">
        <v>347389.2058</v>
      </c>
      <c r="E329" t="s">
        <v>641</v>
      </c>
      <c r="F329" t="s">
        <v>613</v>
      </c>
      <c r="G329" t="s">
        <v>653</v>
      </c>
      <c r="H329" t="s">
        <v>682</v>
      </c>
      <c r="I329" t="s">
        <v>1010</v>
      </c>
      <c r="J329" t="s">
        <v>1277</v>
      </c>
      <c r="K329">
        <v>43864</v>
      </c>
      <c r="L329">
        <v>0.006152813513815</v>
      </c>
      <c r="M329">
        <v>-0.05459346503140694</v>
      </c>
      <c r="N329">
        <v>0.12</v>
      </c>
      <c r="O329">
        <v>0.06641843302856287</v>
      </c>
      <c r="P329" t="s">
        <v>371</v>
      </c>
      <c r="Q329" t="s">
        <v>523</v>
      </c>
      <c r="R329">
        <v>12</v>
      </c>
      <c r="S329">
        <v>0.176</v>
      </c>
      <c r="T329">
        <v>138</v>
      </c>
      <c r="U329">
        <v>1.324057971014493</v>
      </c>
      <c r="V329">
        <v>5.5661</v>
      </c>
      <c r="W329">
        <v>6.25</v>
      </c>
      <c r="X329">
        <v>1.1</v>
      </c>
      <c r="Y329">
        <v>0.11591</v>
      </c>
      <c r="Z329">
        <v>0.01861252115059222</v>
      </c>
      <c r="AA329">
        <v>0.8805970149253731</v>
      </c>
      <c r="AB329">
        <v>0.9354304635761589</v>
      </c>
      <c r="AC329">
        <v>0.173841059602649</v>
      </c>
      <c r="AD329">
        <v>0.2632450331125828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58.77</v>
      </c>
      <c r="D330">
        <v>35744.01683</v>
      </c>
      <c r="E330" t="s">
        <v>648</v>
      </c>
      <c r="F330" t="s">
        <v>613</v>
      </c>
      <c r="G330" t="s">
        <v>653</v>
      </c>
      <c r="H330" t="s">
        <v>682</v>
      </c>
      <c r="I330" t="s">
        <v>1011</v>
      </c>
      <c r="J330" t="s">
        <v>1284</v>
      </c>
      <c r="K330">
        <v>43913</v>
      </c>
      <c r="L330">
        <v>0.033237239274207</v>
      </c>
      <c r="M330">
        <v>0.0007814898604341369</v>
      </c>
      <c r="N330">
        <v>0.03</v>
      </c>
      <c r="O330">
        <v>0.05974865637537996</v>
      </c>
      <c r="P330" t="s">
        <v>371</v>
      </c>
      <c r="Q330" t="s">
        <v>317</v>
      </c>
      <c r="R330">
        <v>0</v>
      </c>
      <c r="S330">
        <v>0.5599999999999999</v>
      </c>
      <c r="T330">
        <v>59</v>
      </c>
      <c r="U330">
        <v>0.9961016949152542</v>
      </c>
      <c r="V330">
        <v>3.5068</v>
      </c>
      <c r="W330">
        <v>3.5</v>
      </c>
      <c r="X330">
        <v>1.96</v>
      </c>
      <c r="Y330">
        <v>0.151983</v>
      </c>
      <c r="Z330">
        <v>0.3976311336717428</v>
      </c>
      <c r="AA330">
        <v>0.8988391376451078</v>
      </c>
      <c r="AB330">
        <v>0.2185430463576159</v>
      </c>
      <c r="AC330">
        <v>0.4288079470198676</v>
      </c>
      <c r="AD330">
        <v>0.2417218543046357</v>
      </c>
    </row>
    <row r="331" spans="1:30">
      <c r="A331" s="1" t="s">
        <v>338</v>
      </c>
      <c r="B331">
        <f>HYPERLINK("https://www.suredividend.com/sure-analysis-K/","Kellogg Co.")</f>
        <v>0</v>
      </c>
      <c r="C331">
        <v>62.69</v>
      </c>
      <c r="D331">
        <v>21961.7203</v>
      </c>
      <c r="E331" t="s">
        <v>644</v>
      </c>
      <c r="F331" t="s">
        <v>613</v>
      </c>
      <c r="G331" t="s">
        <v>653</v>
      </c>
      <c r="H331" t="s">
        <v>682</v>
      </c>
      <c r="I331" t="s">
        <v>1012</v>
      </c>
      <c r="J331" t="s">
        <v>1284</v>
      </c>
      <c r="K331">
        <v>43878</v>
      </c>
      <c r="L331">
        <v>0.03541894211265401</v>
      </c>
      <c r="M331">
        <v>-0.01543148236705938</v>
      </c>
      <c r="N331">
        <v>0.04</v>
      </c>
      <c r="O331">
        <v>0.05874457980696168</v>
      </c>
      <c r="P331" t="s">
        <v>371</v>
      </c>
      <c r="Q331" t="s">
        <v>371</v>
      </c>
      <c r="R331">
        <v>16</v>
      </c>
      <c r="S331">
        <v>0.5880829015544041</v>
      </c>
      <c r="T331">
        <v>58</v>
      </c>
      <c r="U331">
        <v>1.080862068965517</v>
      </c>
      <c r="V331">
        <v>3.0042</v>
      </c>
      <c r="W331">
        <v>3.86</v>
      </c>
      <c r="X331">
        <v>2.27</v>
      </c>
      <c r="Y331">
        <v>0.121435</v>
      </c>
      <c r="Z331">
        <v>0.4179357021996616</v>
      </c>
      <c r="AA331">
        <v>0.8839137645107794</v>
      </c>
      <c r="AB331">
        <v>0.3501655629139073</v>
      </c>
      <c r="AC331">
        <v>0.3576158940397351</v>
      </c>
      <c r="AD331">
        <v>0.2367549668874172</v>
      </c>
    </row>
    <row r="332" spans="1:30">
      <c r="A332" s="1" t="s">
        <v>339</v>
      </c>
      <c r="B332">
        <f>HYPERLINK("https://www.suredividend.com/sure-analysis-AEP/","American Electric Power Co., Inc.")</f>
        <v>0</v>
      </c>
      <c r="C332">
        <v>78.59999999999999</v>
      </c>
      <c r="D332">
        <v>39002.73706</v>
      </c>
      <c r="E332" t="s">
        <v>649</v>
      </c>
      <c r="F332" t="s">
        <v>613</v>
      </c>
      <c r="G332" t="s">
        <v>653</v>
      </c>
      <c r="H332" t="s">
        <v>682</v>
      </c>
      <c r="I332" t="s">
        <v>1013</v>
      </c>
      <c r="J332" t="s">
        <v>1287</v>
      </c>
      <c r="K332">
        <v>43914</v>
      </c>
      <c r="L332">
        <v>0.034382136513575</v>
      </c>
      <c r="M332">
        <v>-0.02013293500102831</v>
      </c>
      <c r="N332">
        <v>0.045</v>
      </c>
      <c r="O332">
        <v>0.05810142952537101</v>
      </c>
      <c r="P332" t="s">
        <v>371</v>
      </c>
      <c r="Q332" t="s">
        <v>371</v>
      </c>
      <c r="R332">
        <v>10</v>
      </c>
      <c r="S332">
        <v>0.6467780429594271</v>
      </c>
      <c r="T332">
        <v>71</v>
      </c>
      <c r="U332">
        <v>1.107042253521127</v>
      </c>
      <c r="V332">
        <v>3.8918</v>
      </c>
      <c r="W332">
        <v>4.19</v>
      </c>
      <c r="X332">
        <v>2.71</v>
      </c>
      <c r="Y332">
        <v>-0.06865199999999999</v>
      </c>
      <c r="Z332">
        <v>0.4060913705583756</v>
      </c>
      <c r="AA332">
        <v>0.6882255389718077</v>
      </c>
      <c r="AB332">
        <v>0.4205298013245033</v>
      </c>
      <c r="AC332">
        <v>0.3360927152317881</v>
      </c>
      <c r="AD332">
        <v>0.2317880794701987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278.47</v>
      </c>
      <c r="D333">
        <v>273540.93004</v>
      </c>
      <c r="E333" t="s">
        <v>643</v>
      </c>
      <c r="F333" t="s">
        <v>613</v>
      </c>
      <c r="G333" t="s">
        <v>653</v>
      </c>
      <c r="H333" t="s">
        <v>682</v>
      </c>
      <c r="I333" t="s">
        <v>1014</v>
      </c>
      <c r="J333" t="s">
        <v>1277</v>
      </c>
      <c r="K333">
        <v>43950</v>
      </c>
      <c r="L333">
        <v>0.005358978123623</v>
      </c>
      <c r="M333">
        <v>-0.08768072480321876</v>
      </c>
      <c r="N333">
        <v>0.15</v>
      </c>
      <c r="O333">
        <v>0.05642252849970264</v>
      </c>
      <c r="P333" t="s">
        <v>371</v>
      </c>
      <c r="Q333" t="s">
        <v>523</v>
      </c>
      <c r="R333">
        <v>8</v>
      </c>
      <c r="S333">
        <v>0.199181446111869</v>
      </c>
      <c r="T333">
        <v>176</v>
      </c>
      <c r="U333">
        <v>1.582215909090909</v>
      </c>
      <c r="V333">
        <v>7.8567</v>
      </c>
      <c r="W333">
        <v>7.33</v>
      </c>
      <c r="X333">
        <v>1.46</v>
      </c>
      <c r="Y333">
        <v>0.111728</v>
      </c>
      <c r="Z333">
        <v>0.01353637901861252</v>
      </c>
      <c r="AA333">
        <v>0.8723051409618574</v>
      </c>
      <c r="AB333">
        <v>0.962748344370861</v>
      </c>
      <c r="AC333">
        <v>0.08774834437086092</v>
      </c>
      <c r="AD333">
        <v>0.2268211920529801</v>
      </c>
    </row>
    <row r="334" spans="1:30">
      <c r="A334" s="1" t="s">
        <v>341</v>
      </c>
      <c r="B334">
        <f>HYPERLINK("https://www.suredividend.com/sure-analysis-WDC/","Western Digital Corp.")</f>
        <v>0</v>
      </c>
      <c r="C334">
        <v>41.87</v>
      </c>
      <c r="D334">
        <v>12145.60716</v>
      </c>
      <c r="E334" t="s">
        <v>646</v>
      </c>
      <c r="F334" t="s">
        <v>613</v>
      </c>
      <c r="G334" t="s">
        <v>653</v>
      </c>
      <c r="H334" t="s">
        <v>683</v>
      </c>
      <c r="I334" t="s">
        <v>1015</v>
      </c>
      <c r="J334" t="s">
        <v>1286</v>
      </c>
      <c r="K334">
        <v>43861</v>
      </c>
      <c r="L334">
        <v>0.049224710804824</v>
      </c>
      <c r="M334">
        <v>-0.05234686539267541</v>
      </c>
      <c r="N334">
        <v>0.07000000000000001</v>
      </c>
      <c r="O334">
        <v>0.05561328763229878</v>
      </c>
      <c r="P334" t="s">
        <v>371</v>
      </c>
      <c r="Q334" t="s">
        <v>371</v>
      </c>
      <c r="R334">
        <v>0</v>
      </c>
      <c r="S334">
        <v>0.625</v>
      </c>
      <c r="T334">
        <v>32</v>
      </c>
      <c r="U334">
        <v>1.3084375</v>
      </c>
      <c r="V334">
        <v>-2.0121</v>
      </c>
      <c r="W334">
        <v>3.2</v>
      </c>
      <c r="X334">
        <v>2</v>
      </c>
      <c r="Y334">
        <v>-0.139377</v>
      </c>
      <c r="Z334">
        <v>0.5854483925549916</v>
      </c>
      <c r="AA334">
        <v>0.6069651741293532</v>
      </c>
      <c r="AB334">
        <v>0.7442052980132451</v>
      </c>
      <c r="AC334">
        <v>0.1903973509933775</v>
      </c>
      <c r="AD334">
        <v>0.2218543046357616</v>
      </c>
    </row>
    <row r="335" spans="1:30">
      <c r="A335" s="1" t="s">
        <v>342</v>
      </c>
      <c r="B335">
        <f>HYPERLINK("https://www.suredividend.com/sure-analysis-QCOM/","QUALCOMM, Inc.")</f>
        <v>0</v>
      </c>
      <c r="C335">
        <v>78.81</v>
      </c>
      <c r="D335">
        <v>88723.2291</v>
      </c>
      <c r="E335" t="s">
        <v>643</v>
      </c>
      <c r="F335" t="s">
        <v>613</v>
      </c>
      <c r="G335" t="s">
        <v>653</v>
      </c>
      <c r="H335" t="s">
        <v>683</v>
      </c>
      <c r="I335" t="s">
        <v>1016</v>
      </c>
      <c r="J335" t="s">
        <v>1286</v>
      </c>
      <c r="K335">
        <v>43951</v>
      </c>
      <c r="L335">
        <v>0.03144414859896</v>
      </c>
      <c r="M335">
        <v>-0.05307848432785855</v>
      </c>
      <c r="N335">
        <v>0.07000000000000001</v>
      </c>
      <c r="O335">
        <v>0.04911571515564983</v>
      </c>
      <c r="P335" t="s">
        <v>371</v>
      </c>
      <c r="Q335" t="s">
        <v>371</v>
      </c>
      <c r="R335">
        <v>18</v>
      </c>
      <c r="S335">
        <v>0.6424870466321244</v>
      </c>
      <c r="T335">
        <v>60</v>
      </c>
      <c r="U335">
        <v>1.3135</v>
      </c>
      <c r="V335">
        <v>3.4122</v>
      </c>
      <c r="W335">
        <v>3.86</v>
      </c>
      <c r="X335">
        <v>2.48</v>
      </c>
      <c r="Y335">
        <v>-0.074296</v>
      </c>
      <c r="Z335">
        <v>0.3722504230118443</v>
      </c>
      <c r="AA335">
        <v>0.6782752902155887</v>
      </c>
      <c r="AB335">
        <v>0.7442052980132451</v>
      </c>
      <c r="AC335">
        <v>0.1870860927152318</v>
      </c>
      <c r="AD335">
        <v>0.1937086092715232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21.53</v>
      </c>
      <c r="D336">
        <v>4525.33257</v>
      </c>
      <c r="E336" t="s">
        <v>641</v>
      </c>
      <c r="F336" t="s">
        <v>613</v>
      </c>
      <c r="G336" t="s">
        <v>653</v>
      </c>
      <c r="H336" t="s">
        <v>682</v>
      </c>
      <c r="I336" t="s">
        <v>1017</v>
      </c>
      <c r="J336" t="s">
        <v>1284</v>
      </c>
      <c r="K336">
        <v>43867</v>
      </c>
      <c r="L336">
        <v>0.035063113604488</v>
      </c>
      <c r="M336">
        <v>-0.0246917132676806</v>
      </c>
      <c r="N336">
        <v>0.04</v>
      </c>
      <c r="O336">
        <v>0.04839808140251156</v>
      </c>
      <c r="P336" t="s">
        <v>371</v>
      </c>
      <c r="Q336" t="s">
        <v>371</v>
      </c>
      <c r="R336">
        <v>18</v>
      </c>
      <c r="S336">
        <v>0.7211538461538461</v>
      </c>
      <c r="T336">
        <v>19</v>
      </c>
      <c r="U336">
        <v>1.133157894736842</v>
      </c>
      <c r="V336">
        <v>0.7777000000000001</v>
      </c>
      <c r="W336">
        <v>1.04</v>
      </c>
      <c r="X336">
        <v>0.75</v>
      </c>
      <c r="Y336">
        <v>-0.0009339999999999999</v>
      </c>
      <c r="Z336">
        <v>0.4128595600676819</v>
      </c>
      <c r="AA336">
        <v>0.7628524046434494</v>
      </c>
      <c r="AB336">
        <v>0.3501655629139073</v>
      </c>
      <c r="AC336">
        <v>0.3062913907284768</v>
      </c>
      <c r="AD336">
        <v>0.1903973509933775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48.5</v>
      </c>
      <c r="D337">
        <v>14576.907704</v>
      </c>
      <c r="E337" t="s">
        <v>648</v>
      </c>
      <c r="F337" t="s">
        <v>615</v>
      </c>
      <c r="G337" t="s">
        <v>661</v>
      </c>
      <c r="H337" t="s">
        <v>682</v>
      </c>
      <c r="I337" t="s">
        <v>1018</v>
      </c>
      <c r="J337" t="s">
        <v>1287</v>
      </c>
      <c r="K337">
        <v>43871</v>
      </c>
      <c r="L337">
        <v>0.043749312126886</v>
      </c>
      <c r="M337">
        <v>-0.05786713800846366</v>
      </c>
      <c r="N337">
        <v>0.06</v>
      </c>
      <c r="O337">
        <v>0.04593680037788883</v>
      </c>
      <c r="P337" t="s">
        <v>371</v>
      </c>
      <c r="Q337" t="s">
        <v>371</v>
      </c>
      <c r="R337">
        <v>10</v>
      </c>
      <c r="S337">
        <v>0.7947230814434076</v>
      </c>
      <c r="T337">
        <v>36</v>
      </c>
      <c r="U337">
        <v>1.347222222222222</v>
      </c>
      <c r="V337">
        <v>-0.1899</v>
      </c>
      <c r="W337">
        <v>2.6</v>
      </c>
      <c r="X337">
        <v>2.06628001175286</v>
      </c>
      <c r="Y337">
        <v>0.517674</v>
      </c>
      <c r="Z337">
        <v>0.5211505922165821</v>
      </c>
      <c r="AA337">
        <v>0.9867330016583747</v>
      </c>
      <c r="AB337">
        <v>0.6423841059602649</v>
      </c>
      <c r="AC337">
        <v>0.1605960264900662</v>
      </c>
      <c r="AD337">
        <v>0.1771523178807947</v>
      </c>
    </row>
    <row r="338" spans="1:30">
      <c r="A338" s="1" t="s">
        <v>345</v>
      </c>
      <c r="B338">
        <f>HYPERLINK("https://www.suredividend.com/sure-analysis-CCI/","Crown Castle International Corp.")</f>
        <v>0</v>
      </c>
      <c r="C338">
        <v>154.69</v>
      </c>
      <c r="D338">
        <v>64592.23749</v>
      </c>
      <c r="E338" t="s">
        <v>644</v>
      </c>
      <c r="F338" t="s">
        <v>614</v>
      </c>
      <c r="G338" t="s">
        <v>653</v>
      </c>
      <c r="H338" t="s">
        <v>682</v>
      </c>
      <c r="I338" t="s">
        <v>1019</v>
      </c>
      <c r="J338" t="s">
        <v>1282</v>
      </c>
      <c r="K338">
        <v>43891</v>
      </c>
      <c r="L338">
        <v>0.030001935608748</v>
      </c>
      <c r="M338">
        <v>-0.03717014984172751</v>
      </c>
      <c r="N338">
        <v>0.05</v>
      </c>
      <c r="O338">
        <v>0.04331645848757915</v>
      </c>
      <c r="P338" t="s">
        <v>371</v>
      </c>
      <c r="Q338" t="s">
        <v>317</v>
      </c>
      <c r="R338">
        <v>5</v>
      </c>
      <c r="S338">
        <v>0.7622950819672132</v>
      </c>
      <c r="T338">
        <v>128</v>
      </c>
      <c r="U338">
        <v>1.208515625</v>
      </c>
      <c r="V338">
        <v>1.9207</v>
      </c>
      <c r="W338">
        <v>6.1</v>
      </c>
      <c r="X338">
        <v>4.65</v>
      </c>
      <c r="Y338">
        <v>0.257729</v>
      </c>
      <c r="Z338">
        <v>0.3536379018612522</v>
      </c>
      <c r="AA338">
        <v>0.9386401326699834</v>
      </c>
      <c r="AB338">
        <v>0.5033112582781457</v>
      </c>
      <c r="AC338">
        <v>0.2417218543046357</v>
      </c>
      <c r="AD338">
        <v>0.1672185430463576</v>
      </c>
    </row>
    <row r="339" spans="1:30">
      <c r="A339" s="1" t="s">
        <v>346</v>
      </c>
      <c r="B339">
        <f>HYPERLINK("https://www.suredividend.com/sure-analysis-CPB/","Campbell Soup Co.")</f>
        <v>0</v>
      </c>
      <c r="C339">
        <v>50.24</v>
      </c>
      <c r="D339">
        <v>15256.2272</v>
      </c>
      <c r="E339" t="s">
        <v>650</v>
      </c>
      <c r="F339" t="s">
        <v>613</v>
      </c>
      <c r="G339" t="s">
        <v>653</v>
      </c>
      <c r="H339" t="s">
        <v>682</v>
      </c>
      <c r="I339" t="s">
        <v>1020</v>
      </c>
      <c r="J339" t="s">
        <v>1284</v>
      </c>
      <c r="K339">
        <v>43930</v>
      </c>
      <c r="L339">
        <v>0.027689873417721</v>
      </c>
      <c r="M339">
        <v>-0.03983284615743077</v>
      </c>
      <c r="N339">
        <v>0.05</v>
      </c>
      <c r="O339">
        <v>0.03535387916528387</v>
      </c>
      <c r="P339" t="s">
        <v>371</v>
      </c>
      <c r="Q339" t="s">
        <v>317</v>
      </c>
      <c r="R339">
        <v>0</v>
      </c>
      <c r="S339">
        <v>0.5599999999999999</v>
      </c>
      <c r="T339">
        <v>41</v>
      </c>
      <c r="U339">
        <v>1.225365853658537</v>
      </c>
      <c r="V339">
        <v>1.6857</v>
      </c>
      <c r="W339">
        <v>2.5</v>
      </c>
      <c r="X339">
        <v>1.4</v>
      </c>
      <c r="Y339">
        <v>0.322522</v>
      </c>
      <c r="Z339">
        <v>0.3265651438240271</v>
      </c>
      <c r="AA339">
        <v>0.9585406301824213</v>
      </c>
      <c r="AB339">
        <v>0.5033112582781457</v>
      </c>
      <c r="AC339">
        <v>0.2301324503311258</v>
      </c>
      <c r="AD339">
        <v>0.1423841059602649</v>
      </c>
    </row>
    <row r="340" spans="1:30">
      <c r="A340" s="1" t="s">
        <v>347</v>
      </c>
      <c r="B340">
        <f>HYPERLINK("https://www.suredividend.com/sure-analysis-DIS/","The Walt Disney Co.")</f>
        <v>0</v>
      </c>
      <c r="C340">
        <v>105.57</v>
      </c>
      <c r="D340">
        <v>182132.7872</v>
      </c>
      <c r="E340" t="s">
        <v>649</v>
      </c>
      <c r="F340" t="s">
        <v>613</v>
      </c>
      <c r="G340" t="s">
        <v>653</v>
      </c>
      <c r="H340" t="s">
        <v>682</v>
      </c>
      <c r="I340" t="s">
        <v>1021</v>
      </c>
      <c r="J340" t="s">
        <v>1279</v>
      </c>
      <c r="K340">
        <v>43916</v>
      </c>
      <c r="L340">
        <v>0.017446471054718</v>
      </c>
      <c r="M340">
        <v>-0.1458382034490648</v>
      </c>
      <c r="N340">
        <v>0.19</v>
      </c>
      <c r="O340">
        <v>0.03374505027936814</v>
      </c>
      <c r="P340" t="s">
        <v>371</v>
      </c>
      <c r="Q340" t="s">
        <v>317</v>
      </c>
      <c r="R340">
        <v>10</v>
      </c>
      <c r="S340">
        <v>0.5866666666666667</v>
      </c>
      <c r="T340">
        <v>48</v>
      </c>
      <c r="U340">
        <v>2.199375</v>
      </c>
      <c r="V340">
        <v>2.9827</v>
      </c>
      <c r="W340">
        <v>3</v>
      </c>
      <c r="X340">
        <v>1.76</v>
      </c>
      <c r="Y340">
        <v>-0.244005</v>
      </c>
      <c r="Z340">
        <v>0.1455160744500846</v>
      </c>
      <c r="AA340">
        <v>0.4543946932006634</v>
      </c>
      <c r="AB340">
        <v>0.9718543046357615</v>
      </c>
      <c r="AC340">
        <v>0.02483443708609272</v>
      </c>
      <c r="AD340">
        <v>0.1390728476821192</v>
      </c>
    </row>
    <row r="341" spans="1:30">
      <c r="A341" s="1" t="s">
        <v>348</v>
      </c>
      <c r="B341">
        <f>HYPERLINK("https://www.suredividend.com/sure-analysis-NVDA/","NVIDIA Corp.")</f>
        <v>0</v>
      </c>
      <c r="C341">
        <v>304.86</v>
      </c>
      <c r="D341">
        <v>182392.20594</v>
      </c>
      <c r="E341" t="s">
        <v>646</v>
      </c>
      <c r="F341" t="s">
        <v>613</v>
      </c>
      <c r="G341" t="s">
        <v>653</v>
      </c>
      <c r="H341" t="s">
        <v>683</v>
      </c>
      <c r="I341" t="s">
        <v>1022</v>
      </c>
      <c r="J341" t="s">
        <v>1286</v>
      </c>
      <c r="K341">
        <v>43891</v>
      </c>
      <c r="L341">
        <v>0.002149165519325</v>
      </c>
      <c r="M341">
        <v>-0.107128148771871</v>
      </c>
      <c r="N341">
        <v>0.15</v>
      </c>
      <c r="O341">
        <v>0.02868428356978892</v>
      </c>
      <c r="P341" t="s">
        <v>371</v>
      </c>
      <c r="Q341" t="s">
        <v>523</v>
      </c>
      <c r="R341">
        <v>7</v>
      </c>
      <c r="S341">
        <v>0.08152866242038218</v>
      </c>
      <c r="T341">
        <v>173</v>
      </c>
      <c r="U341">
        <v>1.762196531791907</v>
      </c>
      <c r="V341">
        <v>4.5816</v>
      </c>
      <c r="W341">
        <v>7.85</v>
      </c>
      <c r="X341">
        <v>0.64</v>
      </c>
      <c r="Y341">
        <v>0.720236</v>
      </c>
      <c r="Z341">
        <v>0.005076142131979695</v>
      </c>
      <c r="AA341">
        <v>0.990049751243781</v>
      </c>
      <c r="AB341">
        <v>0.962748344370861</v>
      </c>
      <c r="AC341">
        <v>0.04801324503311259</v>
      </c>
      <c r="AD341">
        <v>0.130794701986755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38.16</v>
      </c>
      <c r="D342">
        <v>21681.19915</v>
      </c>
      <c r="E342" t="s">
        <v>641</v>
      </c>
      <c r="F342" t="s">
        <v>613</v>
      </c>
      <c r="G342" t="s">
        <v>653</v>
      </c>
      <c r="H342" t="s">
        <v>683</v>
      </c>
      <c r="I342" t="s">
        <v>1023</v>
      </c>
      <c r="J342" t="s">
        <v>1278</v>
      </c>
      <c r="K342">
        <v>43937</v>
      </c>
      <c r="L342">
        <v>0.023910171730515</v>
      </c>
      <c r="M342">
        <v>-0.06685081815024418</v>
      </c>
      <c r="N342">
        <v>0.07000000000000001</v>
      </c>
      <c r="O342">
        <v>0.0273948706976046</v>
      </c>
      <c r="P342" t="s">
        <v>371</v>
      </c>
      <c r="Q342" t="s">
        <v>317</v>
      </c>
      <c r="R342">
        <v>20</v>
      </c>
      <c r="S342">
        <v>0.6703703703703704</v>
      </c>
      <c r="T342">
        <v>27</v>
      </c>
      <c r="U342">
        <v>1.413333333333333</v>
      </c>
      <c r="V342">
        <v>1.3936</v>
      </c>
      <c r="W342">
        <v>1.35</v>
      </c>
      <c r="X342">
        <v>0.905</v>
      </c>
      <c r="Y342">
        <v>0.138346</v>
      </c>
      <c r="Z342">
        <v>0.2707275803722504</v>
      </c>
      <c r="AA342">
        <v>0.8872305140961858</v>
      </c>
      <c r="AB342">
        <v>0.7442052980132451</v>
      </c>
      <c r="AC342">
        <v>0.130794701986755</v>
      </c>
      <c r="AD342">
        <v>0.1291390728476821</v>
      </c>
    </row>
    <row r="343" spans="1:30">
      <c r="A343" s="1" t="s">
        <v>350</v>
      </c>
      <c r="B343">
        <f>HYPERLINK("https://www.suredividend.com/sure-analysis-WEC/","WEC Energy Group, Inc.")</f>
        <v>0</v>
      </c>
      <c r="C343">
        <v>85.13</v>
      </c>
      <c r="D343">
        <v>26793.0489</v>
      </c>
      <c r="E343" t="s">
        <v>643</v>
      </c>
      <c r="F343" t="s">
        <v>613</v>
      </c>
      <c r="G343" t="s">
        <v>653</v>
      </c>
      <c r="H343" t="s">
        <v>682</v>
      </c>
      <c r="I343" t="s">
        <v>1024</v>
      </c>
      <c r="J343" t="s">
        <v>1287</v>
      </c>
      <c r="K343">
        <v>43956</v>
      </c>
      <c r="L343">
        <v>0.028284671532846</v>
      </c>
      <c r="M343">
        <v>-0.05546192763406566</v>
      </c>
      <c r="N343">
        <v>0.052</v>
      </c>
      <c r="O343">
        <v>0.02693418579243012</v>
      </c>
      <c r="P343" t="s">
        <v>371</v>
      </c>
      <c r="Q343" t="s">
        <v>317</v>
      </c>
      <c r="R343">
        <v>17</v>
      </c>
      <c r="S343">
        <v>0.6441018766756031</v>
      </c>
      <c r="T343">
        <v>64</v>
      </c>
      <c r="U343">
        <v>1.33015625</v>
      </c>
      <c r="V343">
        <v>3.7009</v>
      </c>
      <c r="W343">
        <v>3.73</v>
      </c>
      <c r="X343">
        <v>2.4025</v>
      </c>
      <c r="Y343">
        <v>0.08397099999999999</v>
      </c>
      <c r="Z343">
        <v>0.3333333333333334</v>
      </c>
      <c r="AA343">
        <v>0.8474295190713101</v>
      </c>
      <c r="AB343">
        <v>0.5687086092715231</v>
      </c>
      <c r="AC343">
        <v>0.1688741721854305</v>
      </c>
      <c r="AD343">
        <v>0.1274834437086093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149.03</v>
      </c>
      <c r="D344">
        <v>40151.1867</v>
      </c>
      <c r="E344" t="s">
        <v>641</v>
      </c>
      <c r="F344" t="s">
        <v>614</v>
      </c>
      <c r="G344" t="s">
        <v>653</v>
      </c>
      <c r="H344" t="s">
        <v>682</v>
      </c>
      <c r="I344" t="s">
        <v>1025</v>
      </c>
      <c r="J344" t="s">
        <v>1282</v>
      </c>
      <c r="K344">
        <v>43879</v>
      </c>
      <c r="L344">
        <v>0.028857715430861</v>
      </c>
      <c r="M344">
        <v>-0.07303082179170917</v>
      </c>
      <c r="N344">
        <v>0.06</v>
      </c>
      <c r="O344">
        <v>0.01721768469991258</v>
      </c>
      <c r="P344" t="s">
        <v>371</v>
      </c>
      <c r="Q344" t="s">
        <v>317</v>
      </c>
      <c r="R344">
        <v>14</v>
      </c>
      <c r="S344">
        <v>0.6352941176470589</v>
      </c>
      <c r="T344">
        <v>102</v>
      </c>
      <c r="U344">
        <v>1.461078431372549</v>
      </c>
      <c r="V344">
        <v>2.3629</v>
      </c>
      <c r="W344">
        <v>6.8</v>
      </c>
      <c r="X344">
        <v>4.32</v>
      </c>
      <c r="Y344">
        <v>0.274911</v>
      </c>
      <c r="Z344">
        <v>0.338409475465313</v>
      </c>
      <c r="AA344">
        <v>0.945273631840796</v>
      </c>
      <c r="AB344">
        <v>0.6423841059602649</v>
      </c>
      <c r="AC344">
        <v>0.1125827814569536</v>
      </c>
      <c r="AD344">
        <v>0.09602649006622517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26.405</v>
      </c>
      <c r="D345">
        <v>17638.46</v>
      </c>
      <c r="E345" t="s">
        <v>647</v>
      </c>
      <c r="F345" t="s">
        <v>613</v>
      </c>
      <c r="G345" t="s">
        <v>661</v>
      </c>
      <c r="H345" t="s">
        <v>683</v>
      </c>
      <c r="I345" t="s">
        <v>1026</v>
      </c>
      <c r="J345" t="s">
        <v>1286</v>
      </c>
      <c r="K345">
        <v>43904</v>
      </c>
      <c r="L345">
        <v>0.009022556390977</v>
      </c>
      <c r="M345">
        <v>-0.09533713792668397</v>
      </c>
      <c r="N345">
        <v>0.1</v>
      </c>
      <c r="O345">
        <v>0.004229624662428044</v>
      </c>
      <c r="P345" t="s">
        <v>371</v>
      </c>
      <c r="Q345" t="s">
        <v>523</v>
      </c>
      <c r="R345">
        <v>0</v>
      </c>
      <c r="S345">
        <v>0.2580645161290323</v>
      </c>
      <c r="T345">
        <v>16</v>
      </c>
      <c r="U345">
        <v>1.6503125</v>
      </c>
      <c r="V345">
        <v>2.38</v>
      </c>
      <c r="W345">
        <v>0.93</v>
      </c>
      <c r="X345">
        <v>0.24</v>
      </c>
      <c r="Y345">
        <v>0.115304</v>
      </c>
      <c r="Z345">
        <v>0.04230118443316413</v>
      </c>
      <c r="AA345">
        <v>0.8789386401326699</v>
      </c>
      <c r="AB345">
        <v>0.9097682119205298</v>
      </c>
      <c r="AC345">
        <v>0.06953642384105961</v>
      </c>
      <c r="AD345">
        <v>0.06291390728476821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128.17</v>
      </c>
      <c r="D346">
        <v>15518.7465</v>
      </c>
      <c r="E346" t="s">
        <v>641</v>
      </c>
      <c r="F346" t="s">
        <v>613</v>
      </c>
      <c r="G346" t="s">
        <v>653</v>
      </c>
      <c r="H346" t="s">
        <v>682</v>
      </c>
      <c r="I346" t="s">
        <v>1027</v>
      </c>
      <c r="J346" t="s">
        <v>1280</v>
      </c>
      <c r="K346">
        <v>43916</v>
      </c>
      <c r="L346">
        <v>0.017904612978889</v>
      </c>
      <c r="M346">
        <v>-0.1408421288737145</v>
      </c>
      <c r="N346">
        <v>0.14</v>
      </c>
      <c r="O346">
        <v>0.0008252114064251082</v>
      </c>
      <c r="P346" t="s">
        <v>371</v>
      </c>
      <c r="Q346" t="s">
        <v>523</v>
      </c>
      <c r="R346">
        <v>17</v>
      </c>
      <c r="S346">
        <v>0.7633333333333333</v>
      </c>
      <c r="T346">
        <v>60</v>
      </c>
      <c r="U346">
        <v>2.136166666666667</v>
      </c>
      <c r="V346">
        <v>4.4796</v>
      </c>
      <c r="W346">
        <v>3</v>
      </c>
      <c r="X346">
        <v>2.29</v>
      </c>
      <c r="Y346">
        <v>0.230163</v>
      </c>
      <c r="Z346">
        <v>0.1522842639593909</v>
      </c>
      <c r="AA346">
        <v>0.9303482587064678</v>
      </c>
      <c r="AB346">
        <v>0.9486754966887417</v>
      </c>
      <c r="AC346">
        <v>0.02980132450331126</v>
      </c>
      <c r="AD346">
        <v>0.05629139072847682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64.37</v>
      </c>
      <c r="D347">
        <v>77661.980004</v>
      </c>
      <c r="E347" t="s">
        <v>643</v>
      </c>
      <c r="F347" t="s">
        <v>613</v>
      </c>
      <c r="G347" t="s">
        <v>668</v>
      </c>
      <c r="H347" t="s">
        <v>682</v>
      </c>
      <c r="I347" t="s">
        <v>1028</v>
      </c>
      <c r="J347" t="s">
        <v>1286</v>
      </c>
      <c r="K347">
        <v>43867</v>
      </c>
      <c r="L347">
        <v>0.002874120406567</v>
      </c>
      <c r="M347">
        <v>-0.03097309347615973</v>
      </c>
      <c r="N347">
        <v>0.017</v>
      </c>
      <c r="O347">
        <v>-0.008193639489484594</v>
      </c>
      <c r="P347" t="s">
        <v>371</v>
      </c>
      <c r="Q347" t="s">
        <v>523</v>
      </c>
      <c r="R347">
        <v>2</v>
      </c>
      <c r="S347">
        <v>0.04365795724465558</v>
      </c>
      <c r="T347">
        <v>55</v>
      </c>
      <c r="U347">
        <v>1.170363636363636</v>
      </c>
      <c r="V347">
        <v>4.8758</v>
      </c>
      <c r="W347">
        <v>4.21</v>
      </c>
      <c r="X347">
        <v>0.1838</v>
      </c>
      <c r="Y347">
        <v>0.308038</v>
      </c>
      <c r="Z347">
        <v>0.008460236886632826</v>
      </c>
      <c r="AA347">
        <v>0.9535655058043118</v>
      </c>
      <c r="AB347">
        <v>0.08526490066225165</v>
      </c>
      <c r="AC347">
        <v>0.2632450331125828</v>
      </c>
      <c r="AD347">
        <v>0.04801324503311259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157.28</v>
      </c>
      <c r="D348">
        <v>27337.487905</v>
      </c>
      <c r="E348" t="s">
        <v>643</v>
      </c>
      <c r="F348" t="s">
        <v>613</v>
      </c>
      <c r="G348" t="s">
        <v>672</v>
      </c>
      <c r="H348" t="s">
        <v>682</v>
      </c>
      <c r="I348" t="s">
        <v>1029</v>
      </c>
      <c r="J348" t="s">
        <v>1280</v>
      </c>
      <c r="K348">
        <v>43956</v>
      </c>
      <c r="L348">
        <v>0.007257546563904001</v>
      </c>
      <c r="M348">
        <v>-0.08842514125517598</v>
      </c>
      <c r="N348">
        <v>0.075</v>
      </c>
      <c r="O348">
        <v>-0.009776014483746098</v>
      </c>
      <c r="P348" t="s">
        <v>371</v>
      </c>
      <c r="Q348" t="s">
        <v>523</v>
      </c>
      <c r="R348">
        <v>3</v>
      </c>
      <c r="S348">
        <v>0.2860759493670886</v>
      </c>
      <c r="T348">
        <v>99</v>
      </c>
      <c r="U348">
        <v>1.588686868686869</v>
      </c>
      <c r="V348">
        <v>4.0814</v>
      </c>
      <c r="W348">
        <v>3.95</v>
      </c>
      <c r="X348">
        <v>1.13</v>
      </c>
      <c r="Y348">
        <v>0.130719</v>
      </c>
      <c r="Z348">
        <v>0.02199661590524534</v>
      </c>
      <c r="AA348">
        <v>0.8855721393034826</v>
      </c>
      <c r="AB348">
        <v>0.7839403973509934</v>
      </c>
      <c r="AC348">
        <v>0.08609271523178809</v>
      </c>
      <c r="AD348">
        <v>0.04635761589403973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64.56</v>
      </c>
      <c r="D349">
        <v>50105.38155</v>
      </c>
      <c r="E349" t="s">
        <v>646</v>
      </c>
      <c r="F349" t="s">
        <v>613</v>
      </c>
      <c r="G349" t="s">
        <v>653</v>
      </c>
      <c r="H349" t="s">
        <v>682</v>
      </c>
      <c r="I349" t="s">
        <v>1030</v>
      </c>
      <c r="J349" t="s">
        <v>1281</v>
      </c>
      <c r="K349">
        <v>43902</v>
      </c>
      <c r="L349">
        <v>0.008970046452026001</v>
      </c>
      <c r="M349">
        <v>-0.07806354779221258</v>
      </c>
      <c r="N349">
        <v>0.05</v>
      </c>
      <c r="O349">
        <v>-0.01283251990334422</v>
      </c>
      <c r="P349" t="s">
        <v>371</v>
      </c>
      <c r="Q349" t="s">
        <v>523</v>
      </c>
      <c r="R349">
        <v>5</v>
      </c>
      <c r="S349">
        <v>0.2731707317073171</v>
      </c>
      <c r="T349">
        <v>43</v>
      </c>
      <c r="U349">
        <v>1.501395348837209</v>
      </c>
      <c r="V349">
        <v>4.3328</v>
      </c>
      <c r="W349">
        <v>2.05</v>
      </c>
      <c r="X349">
        <v>0.5600000000000001</v>
      </c>
      <c r="Y349">
        <v>1.032227</v>
      </c>
      <c r="Z349">
        <v>0.04060913705583756</v>
      </c>
      <c r="AA349">
        <v>0.9950248756218906</v>
      </c>
      <c r="AB349">
        <v>0.5033112582781457</v>
      </c>
      <c r="AC349">
        <v>0.09271523178807946</v>
      </c>
      <c r="AD349">
        <v>0.04139072847682119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7</v>
      </c>
      <c r="D350">
        <v>411.7165</v>
      </c>
      <c r="E350" t="s">
        <v>641</v>
      </c>
      <c r="F350" t="s">
        <v>613</v>
      </c>
      <c r="G350" t="s">
        <v>653</v>
      </c>
      <c r="H350" t="s">
        <v>682</v>
      </c>
      <c r="I350" t="s">
        <v>1031</v>
      </c>
      <c r="J350" t="s">
        <v>1283</v>
      </c>
      <c r="K350">
        <v>43896</v>
      </c>
      <c r="L350">
        <v>0.001531393568147</v>
      </c>
      <c r="M350">
        <v>-0.08867994584474537</v>
      </c>
      <c r="N350">
        <v>0.06</v>
      </c>
      <c r="O350">
        <v>-0.03236571668733645</v>
      </c>
      <c r="P350" t="s">
        <v>371</v>
      </c>
      <c r="Q350" t="s">
        <v>523</v>
      </c>
      <c r="R350">
        <v>0</v>
      </c>
      <c r="S350">
        <v>0.01818181818181818</v>
      </c>
      <c r="T350">
        <v>4.4</v>
      </c>
      <c r="U350">
        <v>1.590909090909091</v>
      </c>
      <c r="V350">
        <v>-1.0377</v>
      </c>
      <c r="W350">
        <v>0.55</v>
      </c>
      <c r="X350">
        <v>0.01</v>
      </c>
      <c r="Y350">
        <v>0.8189419999999999</v>
      </c>
      <c r="Z350">
        <v>0.001692047377326565</v>
      </c>
      <c r="AA350">
        <v>0.9917081260364843</v>
      </c>
      <c r="AB350">
        <v>0.6423841059602649</v>
      </c>
      <c r="AC350">
        <v>0.08443708609271523</v>
      </c>
      <c r="AD350">
        <v>0.02649006622516557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68.33</v>
      </c>
      <c r="D351">
        <v>33650.76474</v>
      </c>
      <c r="E351" t="s">
        <v>650</v>
      </c>
      <c r="F351" t="s">
        <v>613</v>
      </c>
      <c r="G351" t="s">
        <v>654</v>
      </c>
      <c r="H351" t="s">
        <v>682</v>
      </c>
      <c r="I351" t="s">
        <v>1032</v>
      </c>
      <c r="J351" t="s">
        <v>1278</v>
      </c>
      <c r="K351">
        <v>43901</v>
      </c>
      <c r="L351">
        <v>0.021565134734604</v>
      </c>
      <c r="M351">
        <v>-0.1060965009505718</v>
      </c>
      <c r="N351">
        <v>0.05</v>
      </c>
      <c r="O351">
        <v>-0.03236621046839772</v>
      </c>
      <c r="P351" t="s">
        <v>371</v>
      </c>
      <c r="Q351" t="s">
        <v>317</v>
      </c>
      <c r="R351">
        <v>27</v>
      </c>
      <c r="S351">
        <v>0.7585787549908238</v>
      </c>
      <c r="T351">
        <v>39</v>
      </c>
      <c r="U351">
        <v>1.752051282051282</v>
      </c>
      <c r="V351">
        <v>3.3266</v>
      </c>
      <c r="W351">
        <v>1.93</v>
      </c>
      <c r="X351">
        <v>1.46405699713229</v>
      </c>
      <c r="Y351">
        <v>0.113133</v>
      </c>
      <c r="Z351">
        <v>0.2233502538071066</v>
      </c>
      <c r="AA351">
        <v>0.8756218905472637</v>
      </c>
      <c r="AB351">
        <v>0.5033112582781457</v>
      </c>
      <c r="AC351">
        <v>0.05132450331125828</v>
      </c>
      <c r="AD351">
        <v>0.02483443708609272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96.42</v>
      </c>
      <c r="D352">
        <v>1311.8253</v>
      </c>
      <c r="E352" t="s">
        <v>649</v>
      </c>
      <c r="F352" t="s">
        <v>614</v>
      </c>
      <c r="G352" t="s">
        <v>653</v>
      </c>
      <c r="H352" t="s">
        <v>682</v>
      </c>
      <c r="I352" t="s">
        <v>1033</v>
      </c>
      <c r="J352" t="s">
        <v>1282</v>
      </c>
      <c r="K352">
        <v>43913</v>
      </c>
      <c r="L352">
        <v>0.028631358154168</v>
      </c>
      <c r="M352">
        <v>-0.09665806139078525</v>
      </c>
      <c r="N352">
        <v>0.03</v>
      </c>
      <c r="O352">
        <v>-0.0331265103071825</v>
      </c>
      <c r="P352" t="s">
        <v>371</v>
      </c>
      <c r="Q352" t="s">
        <v>317</v>
      </c>
      <c r="R352">
        <v>33</v>
      </c>
      <c r="S352">
        <v>0.8149253731343283</v>
      </c>
      <c r="T352">
        <v>58</v>
      </c>
      <c r="U352">
        <v>1.662413793103448</v>
      </c>
      <c r="V352">
        <v>1.4057</v>
      </c>
      <c r="W352">
        <v>3.35</v>
      </c>
      <c r="X352">
        <v>2.73</v>
      </c>
      <c r="Y352">
        <v>0.158989</v>
      </c>
      <c r="Z352">
        <v>0.3350253807106599</v>
      </c>
      <c r="AA352">
        <v>0.9004975124378108</v>
      </c>
      <c r="AB352">
        <v>0.2185430463576159</v>
      </c>
      <c r="AC352">
        <v>0.06456953642384106</v>
      </c>
      <c r="AD352">
        <v>0.02317880794701986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5.07</v>
      </c>
      <c r="D353">
        <v>4634.52089</v>
      </c>
      <c r="E353" t="s">
        <v>647</v>
      </c>
      <c r="F353" t="s">
        <v>613</v>
      </c>
      <c r="G353" t="s">
        <v>654</v>
      </c>
      <c r="H353" t="s">
        <v>682</v>
      </c>
      <c r="I353" t="s">
        <v>1034</v>
      </c>
      <c r="J353" t="s">
        <v>1281</v>
      </c>
      <c r="K353">
        <v>43888</v>
      </c>
      <c r="L353">
        <v>0.007798228584412</v>
      </c>
      <c r="M353">
        <v>-0.09079771422228589</v>
      </c>
      <c r="N353">
        <v>0.018</v>
      </c>
      <c r="O353">
        <v>-0.05847346429116917</v>
      </c>
      <c r="P353" t="s">
        <v>371</v>
      </c>
      <c r="Q353" t="s">
        <v>523</v>
      </c>
      <c r="R353">
        <v>1</v>
      </c>
      <c r="S353">
        <v>0.008439416268019112</v>
      </c>
      <c r="T353">
        <v>3.15</v>
      </c>
      <c r="U353">
        <v>1.60952380952381</v>
      </c>
      <c r="V353">
        <v>0.2893</v>
      </c>
      <c r="W353">
        <v>4.5</v>
      </c>
      <c r="X353">
        <v>0.037977373206086</v>
      </c>
      <c r="Y353">
        <v>1.286385</v>
      </c>
      <c r="Z353">
        <v>0.03045685279187817</v>
      </c>
      <c r="AA353">
        <v>0.998341625207297</v>
      </c>
      <c r="AB353">
        <v>0.08857615894039736</v>
      </c>
      <c r="AC353">
        <v>0.07947019867549669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27.26</v>
      </c>
      <c r="D354">
        <v>47224.7424</v>
      </c>
      <c r="E354" t="s">
        <v>644</v>
      </c>
      <c r="F354" t="s">
        <v>613</v>
      </c>
      <c r="G354" t="s">
        <v>654</v>
      </c>
      <c r="H354" t="s">
        <v>682</v>
      </c>
      <c r="I354" t="s">
        <v>1035</v>
      </c>
      <c r="J354" t="s">
        <v>1281</v>
      </c>
      <c r="K354">
        <v>43882</v>
      </c>
      <c r="L354">
        <v>0.007564771313312001</v>
      </c>
      <c r="M354">
        <v>-0.1247735440687302</v>
      </c>
      <c r="N354">
        <v>0</v>
      </c>
      <c r="O354">
        <v>-0.1033731829117931</v>
      </c>
      <c r="P354" t="s">
        <v>371</v>
      </c>
      <c r="Q354" t="s">
        <v>523</v>
      </c>
      <c r="R354">
        <v>3</v>
      </c>
      <c r="S354">
        <v>0.2870290372594172</v>
      </c>
      <c r="T354">
        <v>14</v>
      </c>
      <c r="U354">
        <v>1.947142857142857</v>
      </c>
      <c r="V354">
        <v>2.2512</v>
      </c>
      <c r="W354">
        <v>0.7</v>
      </c>
      <c r="X354">
        <v>0.200920326081592</v>
      </c>
      <c r="Y354">
        <v>1.08805</v>
      </c>
      <c r="Z354">
        <v>0.02707275803722504</v>
      </c>
      <c r="AA354">
        <v>0.9966832504145937</v>
      </c>
      <c r="AB354">
        <v>0.02897350993377483</v>
      </c>
      <c r="AC354">
        <v>0.03973509933774835</v>
      </c>
      <c r="AD354">
        <v>0.008278145695364239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2.13</v>
      </c>
      <c r="D355">
        <v>343.6968</v>
      </c>
      <c r="E355" t="s">
        <v>650</v>
      </c>
      <c r="F355" t="s">
        <v>613</v>
      </c>
      <c r="G355" t="s">
        <v>654</v>
      </c>
      <c r="H355" t="s">
        <v>684</v>
      </c>
      <c r="I355" t="s">
        <v>1036</v>
      </c>
      <c r="J355" t="s">
        <v>1278</v>
      </c>
      <c r="K355">
        <v>43886</v>
      </c>
      <c r="L355">
        <v>0.169828047490075</v>
      </c>
      <c r="M355">
        <v>0.2461205959130905</v>
      </c>
      <c r="N355">
        <v>0.06</v>
      </c>
      <c r="O355">
        <v>0.3722554197698724</v>
      </c>
      <c r="P355" t="s">
        <v>317</v>
      </c>
      <c r="Q355" t="s">
        <v>618</v>
      </c>
      <c r="R355">
        <v>0</v>
      </c>
      <c r="S355">
        <v>0.5652089705529062</v>
      </c>
      <c r="T355">
        <v>6.4</v>
      </c>
      <c r="U355">
        <v>0.3328125</v>
      </c>
      <c r="V355">
        <v>0.6391</v>
      </c>
      <c r="W355">
        <v>0.64</v>
      </c>
      <c r="X355">
        <v>0.36173374115386</v>
      </c>
      <c r="Y355">
        <v>-0.621111</v>
      </c>
      <c r="Z355">
        <v>0.9407783417935702</v>
      </c>
      <c r="AA355">
        <v>0.06965174129353234</v>
      </c>
      <c r="AB355">
        <v>0.6423841059602649</v>
      </c>
      <c r="AC355">
        <v>0.9850993377483444</v>
      </c>
      <c r="AD355">
        <v>0.9884105960264901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6.255</v>
      </c>
      <c r="D356">
        <v>962.7111</v>
      </c>
      <c r="E356" t="s">
        <v>646</v>
      </c>
      <c r="F356" t="s">
        <v>614</v>
      </c>
      <c r="G356" t="s">
        <v>653</v>
      </c>
      <c r="H356" t="s">
        <v>683</v>
      </c>
      <c r="I356" t="s">
        <v>1037</v>
      </c>
      <c r="J356" t="s">
        <v>1282</v>
      </c>
      <c r="K356">
        <v>43899</v>
      </c>
      <c r="L356">
        <v>0.369230769230769</v>
      </c>
      <c r="M356">
        <v>0.1911673723460281</v>
      </c>
      <c r="N356">
        <v>0.02</v>
      </c>
      <c r="O356">
        <v>0.3465301275945949</v>
      </c>
      <c r="P356" t="s">
        <v>317</v>
      </c>
      <c r="Q356" t="s">
        <v>618</v>
      </c>
      <c r="R356">
        <v>8</v>
      </c>
      <c r="S356">
        <v>0.8</v>
      </c>
      <c r="T356">
        <v>15</v>
      </c>
      <c r="U356">
        <v>0.417</v>
      </c>
      <c r="V356">
        <v>1.5812</v>
      </c>
      <c r="W356">
        <v>2.7</v>
      </c>
      <c r="X356">
        <v>2.16</v>
      </c>
      <c r="Y356">
        <v>-0.774044</v>
      </c>
      <c r="Z356">
        <v>0.988155668358714</v>
      </c>
      <c r="AA356">
        <v>0.01658374792703151</v>
      </c>
      <c r="AB356">
        <v>0.130794701986755</v>
      </c>
      <c r="AC356">
        <v>0.9602649006622517</v>
      </c>
      <c r="AD356">
        <v>0.9834437086092715</v>
      </c>
    </row>
    <row r="357" spans="1:30">
      <c r="A357" s="1" t="s">
        <v>364</v>
      </c>
      <c r="B357">
        <f>HYPERLINK("https://www.suredividend.com/sure-analysis-NRZ/","New Residential Investment Corp.")</f>
        <v>0</v>
      </c>
      <c r="C357">
        <v>6.27</v>
      </c>
      <c r="D357">
        <v>2539.61539</v>
      </c>
      <c r="E357" t="s">
        <v>646</v>
      </c>
      <c r="F357" t="s">
        <v>614</v>
      </c>
      <c r="G357" t="s">
        <v>653</v>
      </c>
      <c r="H357" t="s">
        <v>682</v>
      </c>
      <c r="I357" t="s">
        <v>1038</v>
      </c>
      <c r="J357" t="s">
        <v>1282</v>
      </c>
      <c r="K357">
        <v>43874</v>
      </c>
      <c r="L357">
        <v>0.25368248772504</v>
      </c>
      <c r="M357">
        <v>0.1552192945288633</v>
      </c>
      <c r="N357">
        <v>0.02</v>
      </c>
      <c r="O357">
        <v>0.3105768211437585</v>
      </c>
      <c r="P357" t="s">
        <v>317</v>
      </c>
      <c r="Q357" t="s">
        <v>618</v>
      </c>
      <c r="R357">
        <v>0</v>
      </c>
      <c r="S357">
        <v>0.7209302325581396</v>
      </c>
      <c r="T357">
        <v>12.9</v>
      </c>
      <c r="U357">
        <v>0.4860465116279069</v>
      </c>
      <c r="V357">
        <v>-2.8823</v>
      </c>
      <c r="W357">
        <v>2.15</v>
      </c>
      <c r="X357">
        <v>1.55</v>
      </c>
      <c r="Y357">
        <v>-0.635006</v>
      </c>
      <c r="Z357">
        <v>0.9712351945854484</v>
      </c>
      <c r="AA357">
        <v>0.06633499170812604</v>
      </c>
      <c r="AB357">
        <v>0.130794701986755</v>
      </c>
      <c r="AC357">
        <v>0.9370860927152317</v>
      </c>
      <c r="AD357">
        <v>0.9718543046357615</v>
      </c>
    </row>
    <row r="358" spans="1:30">
      <c r="A358" s="1" t="s">
        <v>365</v>
      </c>
      <c r="B358">
        <f>HYPERLINK("https://www.suredividend.com/sure-analysis-SCGLY/","Société Générale SA")</f>
        <v>0</v>
      </c>
      <c r="C358">
        <v>2.78</v>
      </c>
      <c r="D358">
        <v>11012.897581</v>
      </c>
      <c r="E358" t="s">
        <v>648</v>
      </c>
      <c r="F358" t="s">
        <v>613</v>
      </c>
      <c r="G358" t="s">
        <v>666</v>
      </c>
      <c r="H358" t="s">
        <v>684</v>
      </c>
      <c r="I358" t="s">
        <v>1039</v>
      </c>
      <c r="J358" t="s">
        <v>1277</v>
      </c>
      <c r="K358">
        <v>43879</v>
      </c>
      <c r="L358">
        <v>0.177553956834532</v>
      </c>
      <c r="M358">
        <v>0.2028477185945103</v>
      </c>
      <c r="N358">
        <v>0.015</v>
      </c>
      <c r="O358">
        <v>0.2933263066153506</v>
      </c>
      <c r="P358" t="s">
        <v>317</v>
      </c>
      <c r="Q358" t="s">
        <v>618</v>
      </c>
      <c r="R358">
        <v>0</v>
      </c>
      <c r="S358">
        <v>0.7051428571428573</v>
      </c>
      <c r="T358">
        <v>7</v>
      </c>
      <c r="U358">
        <v>0.3971428571428572</v>
      </c>
      <c r="V358">
        <v>0.7054</v>
      </c>
      <c r="W358">
        <v>0.7</v>
      </c>
      <c r="X358">
        <v>0.4936</v>
      </c>
      <c r="Y358">
        <v>-0.539735</v>
      </c>
      <c r="Z358">
        <v>0.9441624365482234</v>
      </c>
      <c r="AA358">
        <v>0.1177446102819237</v>
      </c>
      <c r="AB358">
        <v>0.07615894039735099</v>
      </c>
      <c r="AC358">
        <v>0.9701986754966887</v>
      </c>
      <c r="AD358">
        <v>0.9602649006622517</v>
      </c>
    </row>
    <row r="359" spans="1:30">
      <c r="A359" s="1" t="s">
        <v>366</v>
      </c>
      <c r="B359">
        <f>HYPERLINK("https://www.suredividend.com/sure-analysis-IVZ/","Invesco Ltd.")</f>
        <v>0</v>
      </c>
      <c r="C359">
        <v>7.67</v>
      </c>
      <c r="D359">
        <v>3496.78752</v>
      </c>
      <c r="E359" t="s">
        <v>646</v>
      </c>
      <c r="F359" t="s">
        <v>613</v>
      </c>
      <c r="G359" t="s">
        <v>653</v>
      </c>
      <c r="H359" t="s">
        <v>682</v>
      </c>
      <c r="I359" t="s">
        <v>1040</v>
      </c>
      <c r="J359" t="s">
        <v>1277</v>
      </c>
      <c r="K359">
        <v>43946</v>
      </c>
      <c r="L359">
        <v>0.16272965879265</v>
      </c>
      <c r="M359">
        <v>0.2112866377320335</v>
      </c>
      <c r="N359">
        <v>0.02</v>
      </c>
      <c r="O359">
        <v>0.2707739152081763</v>
      </c>
      <c r="P359" t="s">
        <v>317</v>
      </c>
      <c r="Q359" t="s">
        <v>618</v>
      </c>
      <c r="R359">
        <v>0</v>
      </c>
      <c r="S359">
        <v>0.6888888888888889</v>
      </c>
      <c r="T359">
        <v>20</v>
      </c>
      <c r="U359">
        <v>0.3835</v>
      </c>
      <c r="V359">
        <v>1.0288</v>
      </c>
      <c r="W359">
        <v>1.8</v>
      </c>
      <c r="X359">
        <v>1.24</v>
      </c>
      <c r="Y359">
        <v>-0.642589</v>
      </c>
      <c r="Z359">
        <v>0.934010152284264</v>
      </c>
      <c r="AA359">
        <v>0.06301824212271973</v>
      </c>
      <c r="AB359">
        <v>0.130794701986755</v>
      </c>
      <c r="AC359">
        <v>0.9751655629139073</v>
      </c>
      <c r="AD359">
        <v>0.9503311258278145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57</v>
      </c>
      <c r="D360">
        <v>36745.540232</v>
      </c>
      <c r="E360" t="s">
        <v>649</v>
      </c>
      <c r="F360" t="s">
        <v>614</v>
      </c>
      <c r="G360" t="s">
        <v>653</v>
      </c>
      <c r="H360" t="s">
        <v>682</v>
      </c>
      <c r="I360" t="s">
        <v>1041</v>
      </c>
      <c r="J360" t="s">
        <v>1282</v>
      </c>
      <c r="K360">
        <v>43912</v>
      </c>
      <c r="L360">
        <v>0.148905633297452</v>
      </c>
      <c r="M360">
        <v>0.11898696853861</v>
      </c>
      <c r="N360">
        <v>0.07000000000000001</v>
      </c>
      <c r="O360">
        <v>0.2667378732323127</v>
      </c>
      <c r="P360" t="s">
        <v>317</v>
      </c>
      <c r="Q360" t="s">
        <v>618</v>
      </c>
      <c r="R360">
        <v>10</v>
      </c>
      <c r="S360">
        <v>0.8300000000000001</v>
      </c>
      <c r="T360">
        <v>100</v>
      </c>
      <c r="U360">
        <v>0.57</v>
      </c>
      <c r="V360">
        <v>6.765</v>
      </c>
      <c r="W360">
        <v>10</v>
      </c>
      <c r="X360">
        <v>8.300000000000001</v>
      </c>
      <c r="Y360">
        <v>-0.67971</v>
      </c>
      <c r="Z360">
        <v>0.9153976311336717</v>
      </c>
      <c r="AA360">
        <v>0.04477611940298507</v>
      </c>
      <c r="AB360">
        <v>0.7442052980132451</v>
      </c>
      <c r="AC360">
        <v>0.8841059602649007</v>
      </c>
      <c r="AD360">
        <v>0.9486754966887417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39.25</v>
      </c>
      <c r="D361">
        <v>598.122312</v>
      </c>
      <c r="E361" t="s">
        <v>646</v>
      </c>
      <c r="F361" t="s">
        <v>613</v>
      </c>
      <c r="G361" t="s">
        <v>653</v>
      </c>
      <c r="H361" t="s">
        <v>682</v>
      </c>
      <c r="I361" t="s">
        <v>1042</v>
      </c>
      <c r="J361" t="s">
        <v>1280</v>
      </c>
      <c r="K361">
        <v>43892</v>
      </c>
      <c r="L361">
        <v>0.077683228108701</v>
      </c>
      <c r="M361">
        <v>0.1883070056089875</v>
      </c>
      <c r="N361">
        <v>0.035</v>
      </c>
      <c r="O361">
        <v>0.2648482101329048</v>
      </c>
      <c r="P361" t="s">
        <v>317</v>
      </c>
      <c r="Q361" t="s">
        <v>618</v>
      </c>
      <c r="R361">
        <v>2</v>
      </c>
      <c r="S361">
        <v>0.3941504178272981</v>
      </c>
      <c r="T361">
        <v>93</v>
      </c>
      <c r="U361">
        <v>0.4220430107526882</v>
      </c>
      <c r="V361">
        <v>5.519600000000001</v>
      </c>
      <c r="W361">
        <v>7.18</v>
      </c>
      <c r="X361">
        <v>2.83</v>
      </c>
      <c r="Y361">
        <v>-0.5830379999999999</v>
      </c>
      <c r="Z361">
        <v>0.7715736040609137</v>
      </c>
      <c r="AA361">
        <v>0.0912106135986733</v>
      </c>
      <c r="AB361">
        <v>0.2698675496688742</v>
      </c>
      <c r="AC361">
        <v>0.9586092715231789</v>
      </c>
      <c r="AD361">
        <v>0.945364238410596</v>
      </c>
    </row>
    <row r="362" spans="1:30">
      <c r="A362" s="1" t="s">
        <v>369</v>
      </c>
      <c r="B362">
        <f>HYPERLINK("https://www.suredividend.com/sure-analysis-AEG/","AEGON NV")</f>
        <v>0</v>
      </c>
      <c r="C362">
        <v>2.38</v>
      </c>
      <c r="D362">
        <v>4729.45224</v>
      </c>
      <c r="E362" t="s">
        <v>648</v>
      </c>
      <c r="F362" t="s">
        <v>613</v>
      </c>
      <c r="G362" t="s">
        <v>665</v>
      </c>
      <c r="H362" t="s">
        <v>682</v>
      </c>
      <c r="I362" t="s">
        <v>1043</v>
      </c>
      <c r="J362" t="s">
        <v>1277</v>
      </c>
      <c r="K362">
        <v>43878</v>
      </c>
      <c r="L362">
        <v>0.124655172413793</v>
      </c>
      <c r="M362">
        <v>0.1506224836329224</v>
      </c>
      <c r="N362">
        <v>0.03</v>
      </c>
      <c r="O362">
        <v>0.2567643768148713</v>
      </c>
      <c r="P362" t="s">
        <v>317</v>
      </c>
      <c r="Q362" t="s">
        <v>618</v>
      </c>
      <c r="R362">
        <v>4</v>
      </c>
      <c r="S362">
        <v>0.3615</v>
      </c>
      <c r="T362">
        <v>4.8</v>
      </c>
      <c r="U362">
        <v>0.4958333333333333</v>
      </c>
      <c r="V362">
        <v>0.8313</v>
      </c>
      <c r="W362">
        <v>0.8</v>
      </c>
      <c r="X362">
        <v>0.2892</v>
      </c>
      <c r="Y362">
        <v>-0.5313129999999999</v>
      </c>
      <c r="Z362">
        <v>0.8866328257191202</v>
      </c>
      <c r="AA362">
        <v>0.1260364842454395</v>
      </c>
      <c r="AB362">
        <v>0.2185430463576159</v>
      </c>
      <c r="AC362">
        <v>0.9304635761589404</v>
      </c>
      <c r="AD362">
        <v>0.9420529801324503</v>
      </c>
    </row>
    <row r="363" spans="1:30">
      <c r="A363" s="1" t="s">
        <v>370</v>
      </c>
      <c r="B363">
        <f>HYPERLINK("https://www.suredividend.com/sure-analysis-BNPQF/","BNP Paribas SA")</f>
        <v>0</v>
      </c>
      <c r="C363">
        <v>30.02</v>
      </c>
      <c r="D363">
        <v>37482.74622</v>
      </c>
      <c r="E363" t="s">
        <v>647</v>
      </c>
      <c r="F363" t="s">
        <v>613</v>
      </c>
      <c r="G363" t="s">
        <v>666</v>
      </c>
      <c r="H363" t="s">
        <v>684</v>
      </c>
      <c r="I363" t="s">
        <v>1044</v>
      </c>
      <c r="J363" t="s">
        <v>1277</v>
      </c>
      <c r="K363">
        <v>43904</v>
      </c>
      <c r="L363">
        <v>0.100599600266489</v>
      </c>
      <c r="M363">
        <v>0.1598076588539392</v>
      </c>
      <c r="N363">
        <v>0.03</v>
      </c>
      <c r="O363">
        <v>0.249279318277017</v>
      </c>
      <c r="P363" t="s">
        <v>317</v>
      </c>
      <c r="Q363" t="s">
        <v>618</v>
      </c>
      <c r="R363">
        <v>3</v>
      </c>
      <c r="S363">
        <v>0.4339080459770115</v>
      </c>
      <c r="T363">
        <v>63</v>
      </c>
      <c r="U363">
        <v>0.4765079365079365</v>
      </c>
      <c r="V363">
        <v>6.9524</v>
      </c>
      <c r="W363">
        <v>6.96</v>
      </c>
      <c r="X363">
        <v>3.02</v>
      </c>
      <c r="Y363">
        <v>-0.423025</v>
      </c>
      <c r="Z363">
        <v>0.8392554991539762</v>
      </c>
      <c r="AA363">
        <v>0.2338308457711443</v>
      </c>
      <c r="AB363">
        <v>0.2185430463576159</v>
      </c>
      <c r="AC363">
        <v>0.9420529801324503</v>
      </c>
      <c r="AD363">
        <v>0.9321192052980132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44.64</v>
      </c>
      <c r="D364">
        <v>89413.7395</v>
      </c>
      <c r="E364" t="s">
        <v>644</v>
      </c>
      <c r="F364" t="s">
        <v>613</v>
      </c>
      <c r="G364" t="s">
        <v>653</v>
      </c>
      <c r="H364" t="s">
        <v>682</v>
      </c>
      <c r="I364" t="s">
        <v>1045</v>
      </c>
      <c r="J364" t="s">
        <v>1277</v>
      </c>
      <c r="K364">
        <v>43939</v>
      </c>
      <c r="L364">
        <v>0.046100116414435</v>
      </c>
      <c r="M364">
        <v>0.1453855431999611</v>
      </c>
      <c r="N364">
        <v>0.06</v>
      </c>
      <c r="O364">
        <v>0.241150202338396</v>
      </c>
      <c r="P364" t="s">
        <v>317</v>
      </c>
      <c r="Q364" t="s">
        <v>317</v>
      </c>
      <c r="R364">
        <v>6</v>
      </c>
      <c r="S364">
        <v>0.6</v>
      </c>
      <c r="T364">
        <v>88</v>
      </c>
      <c r="U364">
        <v>0.5072727272727273</v>
      </c>
      <c r="V364">
        <v>7.25</v>
      </c>
      <c r="W364">
        <v>3.3</v>
      </c>
      <c r="X364">
        <v>1.98</v>
      </c>
      <c r="Y364">
        <v>-0.369865</v>
      </c>
      <c r="Z364">
        <v>0.5499153976311336</v>
      </c>
      <c r="AA364">
        <v>0.2902155887230514</v>
      </c>
      <c r="AB364">
        <v>0.6423841059602649</v>
      </c>
      <c r="AC364">
        <v>0.9254966887417219</v>
      </c>
      <c r="AD364">
        <v>0.9205298013245033</v>
      </c>
    </row>
    <row r="365" spans="1:30">
      <c r="A365" s="1" t="s">
        <v>372</v>
      </c>
      <c r="B365">
        <f>HYPERLINK("https://www.suredividend.com/sure-analysis-SBRA/","Sabra Health Care REIT, Inc.")</f>
        <v>0</v>
      </c>
      <c r="C365">
        <v>11.525</v>
      </c>
      <c r="D365">
        <v>2390.65117</v>
      </c>
      <c r="E365" t="s">
        <v>652</v>
      </c>
      <c r="F365" t="s">
        <v>614</v>
      </c>
      <c r="G365" t="s">
        <v>653</v>
      </c>
      <c r="H365" t="s">
        <v>683</v>
      </c>
      <c r="I365" t="s">
        <v>1046</v>
      </c>
      <c r="J365" t="s">
        <v>1282</v>
      </c>
      <c r="K365">
        <v>43800</v>
      </c>
      <c r="L365">
        <v>0.154772141014617</v>
      </c>
      <c r="M365">
        <v>0.09326718874928241</v>
      </c>
      <c r="N365">
        <v>0.043</v>
      </c>
      <c r="O365">
        <v>0.2392736956930794</v>
      </c>
      <c r="P365" t="s">
        <v>317</v>
      </c>
      <c r="Q365" t="s">
        <v>617</v>
      </c>
      <c r="R365">
        <v>8</v>
      </c>
      <c r="S365">
        <v>0.8910891089108911</v>
      </c>
      <c r="T365">
        <v>18</v>
      </c>
      <c r="U365">
        <v>0.6402777777777778</v>
      </c>
      <c r="V365">
        <v>0.3483</v>
      </c>
      <c r="W365">
        <v>2.02</v>
      </c>
      <c r="X365">
        <v>1.8</v>
      </c>
      <c r="Y365">
        <v>-0.406027</v>
      </c>
      <c r="Z365">
        <v>0.9187817258883249</v>
      </c>
      <c r="AA365">
        <v>0.2504145936981758</v>
      </c>
      <c r="AB365">
        <v>0.4122516556291391</v>
      </c>
      <c r="AC365">
        <v>0.8145695364238411</v>
      </c>
      <c r="AD365">
        <v>0.9172185430463575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12.98</v>
      </c>
      <c r="D366">
        <v>826.7723999999999</v>
      </c>
      <c r="E366" t="s">
        <v>644</v>
      </c>
      <c r="F366" t="s">
        <v>615</v>
      </c>
      <c r="G366" t="s">
        <v>653</v>
      </c>
      <c r="H366" t="s">
        <v>682</v>
      </c>
      <c r="I366" t="s">
        <v>1047</v>
      </c>
      <c r="J366" t="s">
        <v>1287</v>
      </c>
      <c r="K366">
        <v>43878</v>
      </c>
      <c r="L366">
        <v>0.18018018018018</v>
      </c>
      <c r="M366">
        <v>0.1308039317725425</v>
      </c>
      <c r="N366">
        <v>0.015</v>
      </c>
      <c r="O366">
        <v>0.2387089903159698</v>
      </c>
      <c r="P366" t="s">
        <v>317</v>
      </c>
      <c r="Q366" t="s">
        <v>618</v>
      </c>
      <c r="R366">
        <v>0</v>
      </c>
      <c r="S366">
        <v>0.64</v>
      </c>
      <c r="T366">
        <v>24</v>
      </c>
      <c r="U366">
        <v>0.5408333333333334</v>
      </c>
      <c r="V366">
        <v>1.3144</v>
      </c>
      <c r="W366">
        <v>3.75</v>
      </c>
      <c r="X366">
        <v>2.4</v>
      </c>
      <c r="Y366">
        <v>-0.417323</v>
      </c>
      <c r="Z366">
        <v>0.9509306260575296</v>
      </c>
      <c r="AA366">
        <v>0.2404643449419569</v>
      </c>
      <c r="AB366">
        <v>0.07615894039735099</v>
      </c>
      <c r="AC366">
        <v>0.8923841059602649</v>
      </c>
      <c r="AD366">
        <v>0.9155629139072847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13.53</v>
      </c>
      <c r="D367">
        <v>6764.58838</v>
      </c>
      <c r="E367" t="s">
        <v>644</v>
      </c>
      <c r="F367" t="s">
        <v>613</v>
      </c>
      <c r="G367" t="s">
        <v>653</v>
      </c>
      <c r="H367" t="s">
        <v>682</v>
      </c>
      <c r="I367" t="s">
        <v>1048</v>
      </c>
      <c r="J367" t="s">
        <v>1280</v>
      </c>
      <c r="K367">
        <v>43920</v>
      </c>
      <c r="L367">
        <v>0.15600624024961</v>
      </c>
      <c r="M367">
        <v>0.1214571624956418</v>
      </c>
      <c r="N367">
        <v>0.04</v>
      </c>
      <c r="O367">
        <v>0.2370775401691652</v>
      </c>
      <c r="P367" t="s">
        <v>317</v>
      </c>
      <c r="Q367" t="s">
        <v>618</v>
      </c>
      <c r="R367">
        <v>5</v>
      </c>
      <c r="S367">
        <v>0.6666666666666666</v>
      </c>
      <c r="T367">
        <v>24</v>
      </c>
      <c r="U367">
        <v>0.56375</v>
      </c>
      <c r="V367">
        <v>2.7109</v>
      </c>
      <c r="W367">
        <v>3</v>
      </c>
      <c r="X367">
        <v>2</v>
      </c>
      <c r="Y367">
        <v>-0.761177</v>
      </c>
      <c r="Z367">
        <v>0.9255499153976311</v>
      </c>
      <c r="AA367">
        <v>0.01824212271973466</v>
      </c>
      <c r="AB367">
        <v>0.3501655629139073</v>
      </c>
      <c r="AC367">
        <v>0.8890728476821192</v>
      </c>
      <c r="AD367">
        <v>0.9105960264900662</v>
      </c>
    </row>
    <row r="368" spans="1:30">
      <c r="A368" s="1" t="s">
        <v>375</v>
      </c>
      <c r="B368">
        <f>HYPERLINK("https://www.suredividend.com/sure-analysis-FCAU/","Fiat Chrysler Automobiles NV")</f>
        <v>0</v>
      </c>
      <c r="C368">
        <v>8.19</v>
      </c>
      <c r="D368">
        <v>12780.9115</v>
      </c>
      <c r="E368" t="s">
        <v>644</v>
      </c>
      <c r="F368" t="s">
        <v>613</v>
      </c>
      <c r="G368" t="s">
        <v>655</v>
      </c>
      <c r="H368" t="s">
        <v>682</v>
      </c>
      <c r="I368" t="s">
        <v>1049</v>
      </c>
      <c r="J368" t="s">
        <v>1280</v>
      </c>
      <c r="K368">
        <v>43878</v>
      </c>
      <c r="L368">
        <v>0.159509202453987</v>
      </c>
      <c r="M368">
        <v>0.157265493724313</v>
      </c>
      <c r="N368">
        <v>0.03</v>
      </c>
      <c r="O368">
        <v>0.2329045107047325</v>
      </c>
      <c r="P368" t="s">
        <v>317</v>
      </c>
      <c r="Q368" t="s">
        <v>618</v>
      </c>
      <c r="R368">
        <v>0</v>
      </c>
      <c r="S368">
        <v>0.4333333333333333</v>
      </c>
      <c r="T368">
        <v>17</v>
      </c>
      <c r="U368">
        <v>0.4817647058823529</v>
      </c>
      <c r="V368">
        <v>0.3975</v>
      </c>
      <c r="W368">
        <v>3</v>
      </c>
      <c r="X368">
        <v>1.3</v>
      </c>
      <c r="Y368">
        <v>-0.464872</v>
      </c>
      <c r="Z368">
        <v>0.9289340101522842</v>
      </c>
      <c r="AA368">
        <v>0.1873963515754561</v>
      </c>
      <c r="AB368">
        <v>0.2185430463576159</v>
      </c>
      <c r="AC368">
        <v>0.9387417218543047</v>
      </c>
      <c r="AD368">
        <v>0.9072847682119205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17.99</v>
      </c>
      <c r="D369">
        <v>10098.1484</v>
      </c>
      <c r="E369" t="s">
        <v>646</v>
      </c>
      <c r="F369" t="s">
        <v>613</v>
      </c>
      <c r="G369" t="s">
        <v>653</v>
      </c>
      <c r="H369" t="s">
        <v>682</v>
      </c>
      <c r="I369" t="s">
        <v>1050</v>
      </c>
      <c r="J369" t="s">
        <v>1277</v>
      </c>
      <c r="K369">
        <v>43946</v>
      </c>
      <c r="L369">
        <v>0.05028901734104001</v>
      </c>
      <c r="M369">
        <v>0.1488260307093143</v>
      </c>
      <c r="N369">
        <v>0.05</v>
      </c>
      <c r="O369">
        <v>0.2327255470609269</v>
      </c>
      <c r="P369" t="s">
        <v>317</v>
      </c>
      <c r="Q369" t="s">
        <v>317</v>
      </c>
      <c r="R369">
        <v>4</v>
      </c>
      <c r="S369">
        <v>0.58</v>
      </c>
      <c r="T369">
        <v>36</v>
      </c>
      <c r="U369">
        <v>0.4997222222222222</v>
      </c>
      <c r="V369">
        <v>4.4623</v>
      </c>
      <c r="W369">
        <v>1.5</v>
      </c>
      <c r="X369">
        <v>0.87</v>
      </c>
      <c r="Y369">
        <v>-0.491176</v>
      </c>
      <c r="Z369">
        <v>0.6006768189509306</v>
      </c>
      <c r="AA369">
        <v>0.1575456053067993</v>
      </c>
      <c r="AB369">
        <v>0.5033112582781457</v>
      </c>
      <c r="AC369">
        <v>0.9288079470198676</v>
      </c>
      <c r="AD369">
        <v>0.9056291390728477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10.8</v>
      </c>
      <c r="D370">
        <v>3126.18784</v>
      </c>
      <c r="E370" t="s">
        <v>645</v>
      </c>
      <c r="F370" t="s">
        <v>614</v>
      </c>
      <c r="G370" t="s">
        <v>653</v>
      </c>
      <c r="H370" t="s">
        <v>682</v>
      </c>
      <c r="I370" t="s">
        <v>1051</v>
      </c>
      <c r="J370" t="s">
        <v>1282</v>
      </c>
      <c r="K370">
        <v>43875</v>
      </c>
      <c r="L370">
        <v>0.107244995233555</v>
      </c>
      <c r="M370">
        <v>0.1422445848996077</v>
      </c>
      <c r="N370">
        <v>0.03</v>
      </c>
      <c r="O370">
        <v>0.2313635133238099</v>
      </c>
      <c r="P370" t="s">
        <v>317</v>
      </c>
      <c r="Q370" t="s">
        <v>618</v>
      </c>
      <c r="R370">
        <v>6</v>
      </c>
      <c r="S370">
        <v>0.5829015544041452</v>
      </c>
      <c r="T370">
        <v>21</v>
      </c>
      <c r="U370">
        <v>0.5142857142857143</v>
      </c>
      <c r="V370">
        <v>0.9192</v>
      </c>
      <c r="W370">
        <v>1.93</v>
      </c>
      <c r="X370">
        <v>1.125</v>
      </c>
      <c r="Y370">
        <v>-0.410011</v>
      </c>
      <c r="Z370">
        <v>0.856175972927242</v>
      </c>
      <c r="AA370">
        <v>0.2454394693200663</v>
      </c>
      <c r="AB370">
        <v>0.2185430463576159</v>
      </c>
      <c r="AC370">
        <v>0.9139072847682119</v>
      </c>
      <c r="AD370">
        <v>0.9039735099337749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17.9</v>
      </c>
      <c r="D371">
        <v>2584.86255</v>
      </c>
      <c r="E371" t="s">
        <v>644</v>
      </c>
      <c r="F371" t="s">
        <v>613</v>
      </c>
      <c r="G371" t="s">
        <v>653</v>
      </c>
      <c r="H371" t="s">
        <v>682</v>
      </c>
      <c r="I371" t="s">
        <v>1052</v>
      </c>
      <c r="J371" t="s">
        <v>1280</v>
      </c>
      <c r="K371">
        <v>43899</v>
      </c>
      <c r="L371">
        <v>0.160960960960961</v>
      </c>
      <c r="M371">
        <v>0.1435179933974724</v>
      </c>
      <c r="N371">
        <v>0</v>
      </c>
      <c r="O371">
        <v>0.2300025347282775</v>
      </c>
      <c r="P371" t="s">
        <v>317</v>
      </c>
      <c r="Q371" t="s">
        <v>618</v>
      </c>
      <c r="R371">
        <v>9</v>
      </c>
      <c r="S371">
        <v>0.6160919540229886</v>
      </c>
      <c r="T371">
        <v>35</v>
      </c>
      <c r="U371">
        <v>0.5114285714285713</v>
      </c>
      <c r="V371">
        <v>4.41</v>
      </c>
      <c r="W371">
        <v>4.35</v>
      </c>
      <c r="X371">
        <v>2.68</v>
      </c>
      <c r="Y371">
        <v>-0.753443</v>
      </c>
      <c r="Z371">
        <v>0.9323181049069375</v>
      </c>
      <c r="AA371">
        <v>0.02155887230514096</v>
      </c>
      <c r="AB371">
        <v>0.02897350993377483</v>
      </c>
      <c r="AC371">
        <v>0.9188741721854305</v>
      </c>
      <c r="AD371">
        <v>0.9023178807947019</v>
      </c>
    </row>
    <row r="372" spans="1:30">
      <c r="A372" s="1" t="s">
        <v>379</v>
      </c>
      <c r="B372">
        <f>HYPERLINK("https://www.suredividend.com/sure-analysis-TFC/","Truist Financial Corp.")</f>
        <v>0</v>
      </c>
      <c r="C372">
        <v>35.24</v>
      </c>
      <c r="D372">
        <v>46146.95</v>
      </c>
      <c r="E372" t="s">
        <v>650</v>
      </c>
      <c r="F372" t="s">
        <v>613</v>
      </c>
      <c r="G372" t="s">
        <v>653</v>
      </c>
      <c r="H372" t="s">
        <v>682</v>
      </c>
      <c r="I372" t="s">
        <v>1053</v>
      </c>
      <c r="J372" t="s">
        <v>1277</v>
      </c>
      <c r="K372">
        <v>43867</v>
      </c>
      <c r="L372">
        <v>0.05115126785193801</v>
      </c>
      <c r="M372">
        <v>0.1196213153002592</v>
      </c>
      <c r="N372">
        <v>0.07000000000000001</v>
      </c>
      <c r="O372">
        <v>0.2278563444697377</v>
      </c>
      <c r="P372" t="s">
        <v>317</v>
      </c>
      <c r="Q372" t="s">
        <v>371</v>
      </c>
      <c r="R372">
        <v>10</v>
      </c>
      <c r="S372">
        <v>0.3934977578475336</v>
      </c>
      <c r="T372">
        <v>62</v>
      </c>
      <c r="U372">
        <v>0.5683870967741936</v>
      </c>
      <c r="V372">
        <v>3.5527</v>
      </c>
      <c r="W372">
        <v>4.46</v>
      </c>
      <c r="X372">
        <v>1.755</v>
      </c>
      <c r="Y372">
        <v>-0.311321</v>
      </c>
      <c r="Z372">
        <v>0.6057529610829103</v>
      </c>
      <c r="AA372">
        <v>0.3648424543946932</v>
      </c>
      <c r="AB372">
        <v>0.7442052980132451</v>
      </c>
      <c r="AC372">
        <v>0.8857615894039735</v>
      </c>
      <c r="AD372">
        <v>0.8990066225165563</v>
      </c>
    </row>
    <row r="373" spans="1:30">
      <c r="A373" s="1" t="s">
        <v>380</v>
      </c>
      <c r="B373">
        <f>HYPERLINK("https://www.suredividend.com/sure-analysis-LB/","L Brands, Inc.")</f>
        <v>0</v>
      </c>
      <c r="C373">
        <v>11.18</v>
      </c>
      <c r="D373">
        <v>3039.09767</v>
      </c>
      <c r="E373" t="s">
        <v>641</v>
      </c>
      <c r="F373" t="s">
        <v>613</v>
      </c>
      <c r="G373" t="s">
        <v>653</v>
      </c>
      <c r="H373" t="s">
        <v>682</v>
      </c>
      <c r="I373" t="s">
        <v>1054</v>
      </c>
      <c r="J373" t="s">
        <v>1280</v>
      </c>
      <c r="K373">
        <v>43888</v>
      </c>
      <c r="L373">
        <v>0.10919017288444</v>
      </c>
      <c r="M373">
        <v>0.1343720001812858</v>
      </c>
      <c r="N373">
        <v>0.03</v>
      </c>
      <c r="O373">
        <v>0.2210357173443516</v>
      </c>
      <c r="P373" t="s">
        <v>317</v>
      </c>
      <c r="Q373" t="s">
        <v>618</v>
      </c>
      <c r="R373">
        <v>0</v>
      </c>
      <c r="S373">
        <v>0.5217391304347826</v>
      </c>
      <c r="T373">
        <v>21</v>
      </c>
      <c r="U373">
        <v>0.5323809523809524</v>
      </c>
      <c r="V373">
        <v>-1.3207</v>
      </c>
      <c r="W373">
        <v>2.3</v>
      </c>
      <c r="X373">
        <v>1.2</v>
      </c>
      <c r="Y373">
        <v>-0.5484800000000001</v>
      </c>
      <c r="Z373">
        <v>0.8629441624365483</v>
      </c>
      <c r="AA373">
        <v>0.1111111111111111</v>
      </c>
      <c r="AB373">
        <v>0.2185430463576159</v>
      </c>
      <c r="AC373">
        <v>0.9006622516556291</v>
      </c>
      <c r="AD373">
        <v>0.8874172185430463</v>
      </c>
    </row>
    <row r="374" spans="1:30">
      <c r="A374" s="1" t="s">
        <v>381</v>
      </c>
      <c r="B374">
        <f>HYPERLINK("https://www.suredividend.com/sure-analysis-OUT/","OUTFRONT Media, Inc.")</f>
        <v>0</v>
      </c>
      <c r="C374">
        <v>14.45</v>
      </c>
      <c r="D374">
        <v>1863.59723</v>
      </c>
      <c r="E374" t="s">
        <v>646</v>
      </c>
      <c r="F374" t="s">
        <v>613</v>
      </c>
      <c r="G374" t="s">
        <v>653</v>
      </c>
      <c r="H374" t="s">
        <v>682</v>
      </c>
      <c r="I374" t="s">
        <v>1055</v>
      </c>
      <c r="J374" t="s">
        <v>1282</v>
      </c>
      <c r="K374">
        <v>43892</v>
      </c>
      <c r="L374">
        <v>0.111541440743609</v>
      </c>
      <c r="M374">
        <v>0.1414530078501222</v>
      </c>
      <c r="N374">
        <v>0.015</v>
      </c>
      <c r="O374">
        <v>0.2133565297936044</v>
      </c>
      <c r="P374" t="s">
        <v>317</v>
      </c>
      <c r="Q374" t="s">
        <v>618</v>
      </c>
      <c r="R374">
        <v>1</v>
      </c>
      <c r="S374">
        <v>0.5647058823529412</v>
      </c>
      <c r="T374">
        <v>28</v>
      </c>
      <c r="U374">
        <v>0.5160714285714285</v>
      </c>
      <c r="V374">
        <v>0.966</v>
      </c>
      <c r="W374">
        <v>2.55</v>
      </c>
      <c r="X374">
        <v>1.44</v>
      </c>
      <c r="Y374">
        <v>-0.462083</v>
      </c>
      <c r="Z374">
        <v>0.8663282571912013</v>
      </c>
      <c r="AA374">
        <v>0.1907131011608623</v>
      </c>
      <c r="AB374">
        <v>0.07615894039735099</v>
      </c>
      <c r="AC374">
        <v>0.9105960264900662</v>
      </c>
      <c r="AD374">
        <v>0.8791390728476821</v>
      </c>
    </row>
    <row r="375" spans="1:30">
      <c r="A375" s="1" t="s">
        <v>382</v>
      </c>
      <c r="B375">
        <f>HYPERLINK("https://www.suredividend.com/sure-analysis-LYB/","LyondellBasell Industries NV")</f>
        <v>0</v>
      </c>
      <c r="C375">
        <v>53.73</v>
      </c>
      <c r="D375">
        <v>17389.41966</v>
      </c>
      <c r="E375" t="s">
        <v>641</v>
      </c>
      <c r="F375" t="s">
        <v>613</v>
      </c>
      <c r="G375" t="s">
        <v>655</v>
      </c>
      <c r="H375" t="s">
        <v>682</v>
      </c>
      <c r="I375" t="s">
        <v>1056</v>
      </c>
      <c r="J375" t="s">
        <v>1281</v>
      </c>
      <c r="K375">
        <v>43864</v>
      </c>
      <c r="L375">
        <v>0.080598733448474</v>
      </c>
      <c r="M375">
        <v>0.1086772445227362</v>
      </c>
      <c r="N375">
        <v>0.05</v>
      </c>
      <c r="O375">
        <v>0.2097750667326017</v>
      </c>
      <c r="P375" t="s">
        <v>317</v>
      </c>
      <c r="Q375" t="s">
        <v>618</v>
      </c>
      <c r="R375">
        <v>9</v>
      </c>
      <c r="S375">
        <v>0.42</v>
      </c>
      <c r="T375">
        <v>90</v>
      </c>
      <c r="U375">
        <v>0.597</v>
      </c>
      <c r="V375">
        <v>7.8057</v>
      </c>
      <c r="W375">
        <v>10</v>
      </c>
      <c r="X375">
        <v>4.2</v>
      </c>
      <c r="Y375">
        <v>-0.374054</v>
      </c>
      <c r="Z375">
        <v>0.7851099830795262</v>
      </c>
      <c r="AA375">
        <v>0.2819237147595356</v>
      </c>
      <c r="AB375">
        <v>0.5033112582781457</v>
      </c>
      <c r="AC375">
        <v>0.8509933774834437</v>
      </c>
      <c r="AD375">
        <v>0.8708609271523179</v>
      </c>
    </row>
    <row r="376" spans="1:30">
      <c r="A376" s="1" t="s">
        <v>383</v>
      </c>
      <c r="B376">
        <f>HYPERLINK("https://www.suredividend.com/sure-analysis-PFG/","Principal Financial Group, Inc.")</f>
        <v>0</v>
      </c>
      <c r="C376">
        <v>36.285</v>
      </c>
      <c r="D376">
        <v>9300.557280000001</v>
      </c>
      <c r="E376" t="s">
        <v>646</v>
      </c>
      <c r="F376" t="s">
        <v>613</v>
      </c>
      <c r="G376" t="s">
        <v>653</v>
      </c>
      <c r="H376" t="s">
        <v>683</v>
      </c>
      <c r="I376" t="s">
        <v>1057</v>
      </c>
      <c r="J376" t="s">
        <v>1277</v>
      </c>
      <c r="K376">
        <v>43951</v>
      </c>
      <c r="L376">
        <v>0.06478209658421601</v>
      </c>
      <c r="M376">
        <v>0.1166644350813835</v>
      </c>
      <c r="N376">
        <v>0.05</v>
      </c>
      <c r="O376">
        <v>0.2091840775216998</v>
      </c>
      <c r="P376" t="s">
        <v>317</v>
      </c>
      <c r="Q376" t="s">
        <v>371</v>
      </c>
      <c r="R376">
        <v>12</v>
      </c>
      <c r="S376">
        <v>0.4583333333333334</v>
      </c>
      <c r="T376">
        <v>63</v>
      </c>
      <c r="U376">
        <v>0.5759523809523809</v>
      </c>
      <c r="V376">
        <v>4.5162</v>
      </c>
      <c r="W376">
        <v>4.8</v>
      </c>
      <c r="X376">
        <v>2.2</v>
      </c>
      <c r="Y376">
        <v>-0.398406</v>
      </c>
      <c r="Z376">
        <v>0.6818950930626058</v>
      </c>
      <c r="AA376">
        <v>0.2603648424543947</v>
      </c>
      <c r="AB376">
        <v>0.5033112582781457</v>
      </c>
      <c r="AC376">
        <v>0.8741721854304636</v>
      </c>
      <c r="AD376">
        <v>0.8692052980132451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9.52</v>
      </c>
      <c r="D377">
        <v>10847.252</v>
      </c>
      <c r="E377" t="s">
        <v>650</v>
      </c>
      <c r="F377" t="s">
        <v>613</v>
      </c>
      <c r="G377" t="s">
        <v>653</v>
      </c>
      <c r="H377" t="s">
        <v>682</v>
      </c>
      <c r="I377" t="s">
        <v>1058</v>
      </c>
      <c r="J377" t="s">
        <v>1279</v>
      </c>
      <c r="K377">
        <v>43888</v>
      </c>
      <c r="L377">
        <v>0.101214574898785</v>
      </c>
      <c r="M377">
        <v>0.1052296845709664</v>
      </c>
      <c r="N377">
        <v>0.03</v>
      </c>
      <c r="O377">
        <v>0.1950125457852256</v>
      </c>
      <c r="P377" t="s">
        <v>317</v>
      </c>
      <c r="Q377" t="s">
        <v>371</v>
      </c>
      <c r="R377">
        <v>0</v>
      </c>
      <c r="S377">
        <v>0.6993006993006994</v>
      </c>
      <c r="T377">
        <v>15.7</v>
      </c>
      <c r="U377">
        <v>0.6063694267515923</v>
      </c>
      <c r="V377">
        <v>-4.932</v>
      </c>
      <c r="W377">
        <v>1.43</v>
      </c>
      <c r="X377">
        <v>1</v>
      </c>
      <c r="Y377">
        <v>-0.134093</v>
      </c>
      <c r="Z377">
        <v>0.840947546531303</v>
      </c>
      <c r="AA377">
        <v>0.6169154228855721</v>
      </c>
      <c r="AB377">
        <v>0.2185430463576159</v>
      </c>
      <c r="AC377">
        <v>0.8443708609271523</v>
      </c>
      <c r="AD377">
        <v>0.8526490066225166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15.95</v>
      </c>
      <c r="D378">
        <v>17677.4488</v>
      </c>
      <c r="E378" t="s">
        <v>643</v>
      </c>
      <c r="F378" t="s">
        <v>613</v>
      </c>
      <c r="G378" t="s">
        <v>673</v>
      </c>
      <c r="H378" t="s">
        <v>684</v>
      </c>
      <c r="I378" t="s">
        <v>1059</v>
      </c>
      <c r="J378" t="s">
        <v>1277</v>
      </c>
      <c r="K378">
        <v>43883</v>
      </c>
      <c r="L378">
        <v>0.060752351097178</v>
      </c>
      <c r="M378">
        <v>0.102662314741897</v>
      </c>
      <c r="N378">
        <v>0.046</v>
      </c>
      <c r="O378">
        <v>0.1932512433054137</v>
      </c>
      <c r="P378" t="s">
        <v>317</v>
      </c>
      <c r="Q378" t="s">
        <v>371</v>
      </c>
      <c r="R378">
        <v>0</v>
      </c>
      <c r="S378">
        <v>0.4845</v>
      </c>
      <c r="T378">
        <v>26</v>
      </c>
      <c r="U378">
        <v>0.6134615384615384</v>
      </c>
      <c r="V378">
        <v>1.1461</v>
      </c>
      <c r="W378">
        <v>2</v>
      </c>
      <c r="X378">
        <v>0.969</v>
      </c>
      <c r="Y378">
        <v>-0.286992</v>
      </c>
      <c r="Z378">
        <v>0.6632825719120136</v>
      </c>
      <c r="AA378">
        <v>0.3963515754560531</v>
      </c>
      <c r="AB378">
        <v>0.4312913907284768</v>
      </c>
      <c r="AC378">
        <v>0.8394039735099338</v>
      </c>
      <c r="AD378">
        <v>0.8460264900662251</v>
      </c>
    </row>
    <row r="379" spans="1:30">
      <c r="A379" s="1" t="s">
        <v>386</v>
      </c>
      <c r="B379">
        <f>HYPERLINK("https://www.suredividend.com/sure-analysis-BKR/","Baker Hughes Co.")</f>
        <v>0</v>
      </c>
      <c r="C379">
        <v>14.02</v>
      </c>
      <c r="D379">
        <v>13344.21255</v>
      </c>
      <c r="E379" t="s">
        <v>648</v>
      </c>
      <c r="F379" t="s">
        <v>613</v>
      </c>
      <c r="G379" t="s">
        <v>653</v>
      </c>
      <c r="H379" t="s">
        <v>682</v>
      </c>
      <c r="I379" t="s">
        <v>1060</v>
      </c>
      <c r="J379" t="s">
        <v>1285</v>
      </c>
      <c r="K379">
        <v>43851</v>
      </c>
      <c r="L379">
        <v>0.05568445475638</v>
      </c>
      <c r="M379">
        <v>0.09429630664318189</v>
      </c>
      <c r="N379">
        <v>0.06</v>
      </c>
      <c r="O379">
        <v>0.190365776780588</v>
      </c>
      <c r="P379" t="s">
        <v>317</v>
      </c>
      <c r="Q379" t="s">
        <v>317</v>
      </c>
      <c r="R379">
        <v>0</v>
      </c>
      <c r="S379">
        <v>0.5538461538461538</v>
      </c>
      <c r="T379">
        <v>22</v>
      </c>
      <c r="U379">
        <v>0.6372727272727272</v>
      </c>
      <c r="V379">
        <v>-15.4757</v>
      </c>
      <c r="W379">
        <v>1.3</v>
      </c>
      <c r="X379">
        <v>0.72</v>
      </c>
      <c r="Y379">
        <v>-0.442913</v>
      </c>
      <c r="Z379">
        <v>0.637901861252115</v>
      </c>
      <c r="AA379">
        <v>0.2106135986733002</v>
      </c>
      <c r="AB379">
        <v>0.6423841059602649</v>
      </c>
      <c r="AC379">
        <v>0.8162251655629139</v>
      </c>
      <c r="AD379">
        <v>0.8410596026490066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7.49</v>
      </c>
      <c r="D380">
        <v>20389.442</v>
      </c>
      <c r="E380" t="s">
        <v>649</v>
      </c>
      <c r="F380" t="s">
        <v>615</v>
      </c>
      <c r="G380" t="s">
        <v>653</v>
      </c>
      <c r="H380" t="s">
        <v>682</v>
      </c>
      <c r="I380" t="s">
        <v>1061</v>
      </c>
      <c r="J380" t="s">
        <v>1285</v>
      </c>
      <c r="K380">
        <v>43913</v>
      </c>
      <c r="L380">
        <v>0.160949868073878</v>
      </c>
      <c r="M380">
        <v>0.02319755494530495</v>
      </c>
      <c r="N380">
        <v>0.074</v>
      </c>
      <c r="O380">
        <v>0.1899742434814236</v>
      </c>
      <c r="P380" t="s">
        <v>317</v>
      </c>
      <c r="Q380" t="s">
        <v>618</v>
      </c>
      <c r="R380">
        <v>0</v>
      </c>
      <c r="S380">
        <v>0.8714285714285714</v>
      </c>
      <c r="T380">
        <v>8.4</v>
      </c>
      <c r="U380">
        <v>0.8916666666666666</v>
      </c>
      <c r="V380">
        <v>1.365</v>
      </c>
      <c r="W380">
        <v>1.4</v>
      </c>
      <c r="X380">
        <v>1.22</v>
      </c>
      <c r="Y380">
        <v>-0.498345</v>
      </c>
      <c r="Z380">
        <v>0.9306260575296108</v>
      </c>
      <c r="AA380">
        <v>0.1509121061359867</v>
      </c>
      <c r="AB380">
        <v>0.7764900662251655</v>
      </c>
      <c r="AC380">
        <v>0.543046357615894</v>
      </c>
      <c r="AD380">
        <v>0.837748344370861</v>
      </c>
    </row>
    <row r="381" spans="1:30">
      <c r="A381" s="1" t="s">
        <v>388</v>
      </c>
      <c r="B381">
        <f>HYPERLINK("https://www.suredividend.com/sure-analysis-TPR/","Tapestry, Inc.")</f>
        <v>0</v>
      </c>
      <c r="C381">
        <v>14.5</v>
      </c>
      <c r="D381">
        <v>3883.72803</v>
      </c>
      <c r="E381" t="s">
        <v>647</v>
      </c>
      <c r="F381" t="s">
        <v>613</v>
      </c>
      <c r="G381" t="s">
        <v>653</v>
      </c>
      <c r="H381" t="s">
        <v>682</v>
      </c>
      <c r="I381" t="s">
        <v>1062</v>
      </c>
      <c r="J381" t="s">
        <v>1280</v>
      </c>
      <c r="K381">
        <v>43888</v>
      </c>
      <c r="L381">
        <v>0.09594882729211</v>
      </c>
      <c r="M381">
        <v>0.0869534259253939</v>
      </c>
      <c r="N381">
        <v>0.045</v>
      </c>
      <c r="O381">
        <v>0.1894070222185935</v>
      </c>
      <c r="P381" t="s">
        <v>317</v>
      </c>
      <c r="Q381" t="s">
        <v>618</v>
      </c>
      <c r="R381">
        <v>0</v>
      </c>
      <c r="S381">
        <v>0.6136363636363636</v>
      </c>
      <c r="T381">
        <v>22</v>
      </c>
      <c r="U381">
        <v>0.6590909090909091</v>
      </c>
      <c r="V381">
        <v>-0.7844</v>
      </c>
      <c r="W381">
        <v>2.2</v>
      </c>
      <c r="X381">
        <v>1.35</v>
      </c>
      <c r="Y381">
        <v>-0.541992</v>
      </c>
      <c r="Z381">
        <v>0.8341793570219965</v>
      </c>
      <c r="AA381">
        <v>0.1160862354892206</v>
      </c>
      <c r="AB381">
        <v>0.4205298013245033</v>
      </c>
      <c r="AC381">
        <v>0.7947019867549669</v>
      </c>
      <c r="AD381">
        <v>0.8344370860927153</v>
      </c>
    </row>
    <row r="382" spans="1:30">
      <c r="A382" s="1" t="s">
        <v>389</v>
      </c>
      <c r="B382">
        <f>HYPERLINK("https://www.suredividend.com/sure-analysis-BXP/","Boston Properties, Inc.")</f>
        <v>0</v>
      </c>
      <c r="C382">
        <v>85.84999999999999</v>
      </c>
      <c r="D382">
        <v>12934.6332</v>
      </c>
      <c r="E382" t="s">
        <v>649</v>
      </c>
      <c r="F382" t="s">
        <v>614</v>
      </c>
      <c r="G382" t="s">
        <v>653</v>
      </c>
      <c r="H382" t="s">
        <v>682</v>
      </c>
      <c r="I382" t="s">
        <v>1063</v>
      </c>
      <c r="J382" t="s">
        <v>1282</v>
      </c>
      <c r="K382">
        <v>43908</v>
      </c>
      <c r="L382">
        <v>0.04634966378482201</v>
      </c>
      <c r="M382">
        <v>0.113564576155698</v>
      </c>
      <c r="N382">
        <v>0.043</v>
      </c>
      <c r="O382">
        <v>0.1883363848455102</v>
      </c>
      <c r="P382" t="s">
        <v>317</v>
      </c>
      <c r="Q382" t="s">
        <v>317</v>
      </c>
      <c r="R382">
        <v>9</v>
      </c>
      <c r="S382">
        <v>0.5105820105820106</v>
      </c>
      <c r="T382">
        <v>147</v>
      </c>
      <c r="U382">
        <v>0.5840136054421768</v>
      </c>
      <c r="V382">
        <v>5.8799</v>
      </c>
      <c r="W382">
        <v>7.56</v>
      </c>
      <c r="X382">
        <v>3.86</v>
      </c>
      <c r="Y382">
        <v>-0.367077</v>
      </c>
      <c r="Z382">
        <v>0.5583756345177665</v>
      </c>
      <c r="AA382">
        <v>0.296849087893864</v>
      </c>
      <c r="AB382">
        <v>0.4122516556291391</v>
      </c>
      <c r="AC382">
        <v>0.8658940397350993</v>
      </c>
      <c r="AD382">
        <v>0.8311258278145695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19.94</v>
      </c>
      <c r="D383">
        <v>18871.37552</v>
      </c>
      <c r="E383" t="s">
        <v>643</v>
      </c>
      <c r="F383" t="s">
        <v>613</v>
      </c>
      <c r="G383" t="s">
        <v>655</v>
      </c>
      <c r="H383" t="s">
        <v>684</v>
      </c>
      <c r="I383" t="s">
        <v>1064</v>
      </c>
      <c r="J383" t="s">
        <v>1284</v>
      </c>
      <c r="K383">
        <v>43774</v>
      </c>
      <c r="L383">
        <v>0.123850150451354</v>
      </c>
      <c r="M383">
        <v>0.07779103982594449</v>
      </c>
      <c r="N383">
        <v>0.03</v>
      </c>
      <c r="O383">
        <v>0.1812959783757979</v>
      </c>
      <c r="P383" t="s">
        <v>317</v>
      </c>
      <c r="Q383" t="s">
        <v>618</v>
      </c>
      <c r="R383">
        <v>3</v>
      </c>
      <c r="S383">
        <v>0.6879030640668523</v>
      </c>
      <c r="T383">
        <v>29</v>
      </c>
      <c r="U383">
        <v>0.6875862068965518</v>
      </c>
      <c r="V383">
        <v>1.3594</v>
      </c>
      <c r="W383">
        <v>3.59</v>
      </c>
      <c r="X383">
        <v>2.469572</v>
      </c>
      <c r="Y383">
        <v>-0.344941</v>
      </c>
      <c r="Z383">
        <v>0.883248730964467</v>
      </c>
      <c r="AA383">
        <v>0.3283582089552239</v>
      </c>
      <c r="AB383">
        <v>0.2185430463576159</v>
      </c>
      <c r="AC383">
        <v>0.771523178807947</v>
      </c>
      <c r="AD383">
        <v>0.8162251655629139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11.05</v>
      </c>
      <c r="D384">
        <v>7432.93746</v>
      </c>
      <c r="E384" t="s">
        <v>648</v>
      </c>
      <c r="F384" t="s">
        <v>614</v>
      </c>
      <c r="G384" t="s">
        <v>653</v>
      </c>
      <c r="H384" t="s">
        <v>682</v>
      </c>
      <c r="I384" t="s">
        <v>1065</v>
      </c>
      <c r="J384" t="s">
        <v>1282</v>
      </c>
      <c r="K384">
        <v>43886</v>
      </c>
      <c r="L384">
        <v>0.07597340930674201</v>
      </c>
      <c r="M384">
        <v>0.1144953596738372</v>
      </c>
      <c r="N384">
        <v>0.02</v>
      </c>
      <c r="O384">
        <v>0.1809010800771087</v>
      </c>
      <c r="P384" t="s">
        <v>317</v>
      </c>
      <c r="Q384" t="s">
        <v>371</v>
      </c>
      <c r="R384">
        <v>0</v>
      </c>
      <c r="S384">
        <v>0.4733727810650888</v>
      </c>
      <c r="T384">
        <v>19</v>
      </c>
      <c r="U384">
        <v>0.5815789473684211</v>
      </c>
      <c r="V384">
        <v>1.257</v>
      </c>
      <c r="W384">
        <v>1.69</v>
      </c>
      <c r="X384">
        <v>0.8</v>
      </c>
      <c r="Y384">
        <v>-0.456095</v>
      </c>
      <c r="Z384">
        <v>0.7614213197969544</v>
      </c>
      <c r="AA384">
        <v>0.197346600331675</v>
      </c>
      <c r="AB384">
        <v>0.130794701986755</v>
      </c>
      <c r="AC384">
        <v>0.8692052980132451</v>
      </c>
      <c r="AD384">
        <v>0.8145695364238411</v>
      </c>
    </row>
    <row r="385" spans="1:30">
      <c r="A385" s="1" t="s">
        <v>392</v>
      </c>
      <c r="B385">
        <f>HYPERLINK("https://www.suredividend.com/sure-analysis-KMI/","Kinder Morgan, Inc.")</f>
        <v>0</v>
      </c>
      <c r="C385">
        <v>14.94</v>
      </c>
      <c r="D385">
        <v>33289.1328</v>
      </c>
      <c r="E385" t="s">
        <v>649</v>
      </c>
      <c r="F385" t="s">
        <v>613</v>
      </c>
      <c r="G385" t="s">
        <v>653</v>
      </c>
      <c r="H385" t="s">
        <v>682</v>
      </c>
      <c r="I385" t="s">
        <v>1066</v>
      </c>
      <c r="J385" t="s">
        <v>1285</v>
      </c>
      <c r="K385">
        <v>43858</v>
      </c>
      <c r="L385">
        <v>0.06793478260869501</v>
      </c>
      <c r="M385">
        <v>0.08047423877318605</v>
      </c>
      <c r="N385">
        <v>0.04</v>
      </c>
      <c r="O385">
        <v>0.1774073103140672</v>
      </c>
      <c r="P385" t="s">
        <v>317</v>
      </c>
      <c r="Q385" t="s">
        <v>371</v>
      </c>
      <c r="R385">
        <v>2</v>
      </c>
      <c r="S385">
        <v>0.4464285714285714</v>
      </c>
      <c r="T385">
        <v>22</v>
      </c>
      <c r="U385">
        <v>0.6790909090909091</v>
      </c>
      <c r="V385">
        <v>0.5814</v>
      </c>
      <c r="W385">
        <v>2.24</v>
      </c>
      <c r="X385">
        <v>1</v>
      </c>
      <c r="Y385">
        <v>-0.247444</v>
      </c>
      <c r="Z385">
        <v>0.703891708967851</v>
      </c>
      <c r="AA385">
        <v>0.4494195688225539</v>
      </c>
      <c r="AB385">
        <v>0.3501655629139073</v>
      </c>
      <c r="AC385">
        <v>0.7798013245033113</v>
      </c>
      <c r="AD385">
        <v>0.8096026490066225</v>
      </c>
    </row>
    <row r="386" spans="1:30">
      <c r="A386" s="1" t="s">
        <v>393</v>
      </c>
      <c r="B386">
        <f>HYPERLINK("https://www.suredividend.com/sure-analysis-NAVI/","Navient Corp.")</f>
        <v>0</v>
      </c>
      <c r="C386">
        <v>7.535</v>
      </c>
      <c r="D386">
        <v>1354.75986</v>
      </c>
      <c r="E386" t="s">
        <v>646</v>
      </c>
      <c r="F386" t="s">
        <v>613</v>
      </c>
      <c r="G386" t="s">
        <v>653</v>
      </c>
      <c r="H386" t="s">
        <v>683</v>
      </c>
      <c r="I386" t="s">
        <v>1067</v>
      </c>
      <c r="J386" t="s">
        <v>1277</v>
      </c>
      <c r="K386">
        <v>43946</v>
      </c>
      <c r="L386">
        <v>0.09155937052932701</v>
      </c>
      <c r="M386">
        <v>0.1152494535838184</v>
      </c>
      <c r="N386">
        <v>0.01</v>
      </c>
      <c r="O386">
        <v>0.1748190757764381</v>
      </c>
      <c r="P386" t="s">
        <v>317</v>
      </c>
      <c r="Q386" t="s">
        <v>618</v>
      </c>
      <c r="R386">
        <v>0</v>
      </c>
      <c r="S386">
        <v>0.3047619047619047</v>
      </c>
      <c r="T386">
        <v>13</v>
      </c>
      <c r="U386">
        <v>0.5796153846153846</v>
      </c>
      <c r="V386">
        <v>1.5555</v>
      </c>
      <c r="W386">
        <v>2.1</v>
      </c>
      <c r="X386">
        <v>0.64</v>
      </c>
      <c r="Y386">
        <v>-0.492743</v>
      </c>
      <c r="Z386">
        <v>0.8257191201353637</v>
      </c>
      <c r="AA386">
        <v>0.1558872305140962</v>
      </c>
      <c r="AB386">
        <v>0.05711920529801325</v>
      </c>
      <c r="AC386">
        <v>0.8708609271523179</v>
      </c>
      <c r="AD386">
        <v>0.804635761589404</v>
      </c>
    </row>
    <row r="387" spans="1:30">
      <c r="A387" s="1" t="s">
        <v>394</v>
      </c>
      <c r="B387">
        <f>HYPERLINK("https://www.suredividend.com/sure-analysis-USB/","U.S. Bancorp")</f>
        <v>0</v>
      </c>
      <c r="C387">
        <v>34.2</v>
      </c>
      <c r="D387">
        <v>50521.0446</v>
      </c>
      <c r="E387" t="s">
        <v>644</v>
      </c>
      <c r="F387" t="s">
        <v>613</v>
      </c>
      <c r="G387" t="s">
        <v>653</v>
      </c>
      <c r="H387" t="s">
        <v>682</v>
      </c>
      <c r="I387" t="s">
        <v>1068</v>
      </c>
      <c r="J387" t="s">
        <v>1277</v>
      </c>
      <c r="K387">
        <v>43940</v>
      </c>
      <c r="L387">
        <v>0.04908160192713001</v>
      </c>
      <c r="M387">
        <v>0.074568226155173</v>
      </c>
      <c r="N387">
        <v>0.06</v>
      </c>
      <c r="O387">
        <v>0.1719744512360279</v>
      </c>
      <c r="P387" t="s">
        <v>317</v>
      </c>
      <c r="Q387" t="s">
        <v>317</v>
      </c>
      <c r="R387">
        <v>10</v>
      </c>
      <c r="S387">
        <v>0.6269230769230768</v>
      </c>
      <c r="T387">
        <v>49</v>
      </c>
      <c r="U387">
        <v>0.6979591836734694</v>
      </c>
      <c r="V387">
        <v>3.8728</v>
      </c>
      <c r="W387">
        <v>2.6</v>
      </c>
      <c r="X387">
        <v>1.63</v>
      </c>
      <c r="Y387">
        <v>-0.368151</v>
      </c>
      <c r="Z387">
        <v>0.5820642978003384</v>
      </c>
      <c r="AA387">
        <v>0.2935323383084577</v>
      </c>
      <c r="AB387">
        <v>0.6423841059602649</v>
      </c>
      <c r="AC387">
        <v>0.7566225165562913</v>
      </c>
      <c r="AD387">
        <v>0.7980132450331127</v>
      </c>
    </row>
    <row r="388" spans="1:30">
      <c r="A388" s="1" t="s">
        <v>395</v>
      </c>
      <c r="B388">
        <f>HYPERLINK("https://www.suredividend.com/sure-analysis-NOV/","National Oilwell Varco, Inc.")</f>
        <v>0</v>
      </c>
      <c r="C388">
        <v>12.35</v>
      </c>
      <c r="D388">
        <v>4581.0314</v>
      </c>
      <c r="E388" t="s">
        <v>648</v>
      </c>
      <c r="F388" t="s">
        <v>613</v>
      </c>
      <c r="G388" t="s">
        <v>653</v>
      </c>
      <c r="H388" t="s">
        <v>682</v>
      </c>
      <c r="I388" t="s">
        <v>1069</v>
      </c>
      <c r="J388" t="s">
        <v>1285</v>
      </c>
      <c r="K388">
        <v>43872</v>
      </c>
      <c r="L388">
        <v>0.016949152542372</v>
      </c>
      <c r="M388">
        <v>0.1324321111468623</v>
      </c>
      <c r="N388">
        <v>0.018</v>
      </c>
      <c r="O388">
        <v>0.170836541728816</v>
      </c>
      <c r="P388" t="s">
        <v>317</v>
      </c>
      <c r="Q388" t="s">
        <v>523</v>
      </c>
      <c r="R388">
        <v>0</v>
      </c>
      <c r="S388">
        <v>0.2857142857142858</v>
      </c>
      <c r="T388">
        <v>23</v>
      </c>
      <c r="U388">
        <v>0.5369565217391304</v>
      </c>
      <c r="V388">
        <v>-21.0986</v>
      </c>
      <c r="W388">
        <v>0.7</v>
      </c>
      <c r="X388">
        <v>0.2</v>
      </c>
      <c r="Y388">
        <v>-0.534517</v>
      </c>
      <c r="Z388">
        <v>0.1370558375634518</v>
      </c>
      <c r="AA388">
        <v>0.1194029850746269</v>
      </c>
      <c r="AB388">
        <v>0.08857615894039736</v>
      </c>
      <c r="AC388">
        <v>0.8956953642384106</v>
      </c>
      <c r="AD388">
        <v>0.7963576158940397</v>
      </c>
    </row>
    <row r="389" spans="1:30">
      <c r="A389" s="1" t="s">
        <v>396</v>
      </c>
      <c r="B389">
        <f>HYPERLINK("https://www.suredividend.com/sure-analysis-TEF/","Telefónica SA")</f>
        <v>0</v>
      </c>
      <c r="C389">
        <v>4.66</v>
      </c>
      <c r="D389">
        <v>23786.863764</v>
      </c>
      <c r="E389" t="s">
        <v>646</v>
      </c>
      <c r="F389" t="s">
        <v>613</v>
      </c>
      <c r="G389" t="s">
        <v>662</v>
      </c>
      <c r="H389" t="s">
        <v>682</v>
      </c>
      <c r="I389" t="s">
        <v>1070</v>
      </c>
      <c r="J389" t="s">
        <v>1279</v>
      </c>
      <c r="K389">
        <v>43883</v>
      </c>
      <c r="L389">
        <v>0.09630107526881701</v>
      </c>
      <c r="M389">
        <v>0.09091098755138827</v>
      </c>
      <c r="N389">
        <v>0.02</v>
      </c>
      <c r="O389">
        <v>0.1704984691831686</v>
      </c>
      <c r="P389" t="s">
        <v>317</v>
      </c>
      <c r="Q389" t="s">
        <v>618</v>
      </c>
      <c r="R389">
        <v>0</v>
      </c>
      <c r="S389">
        <v>0.55975</v>
      </c>
      <c r="T389">
        <v>7.2</v>
      </c>
      <c r="U389">
        <v>0.6472222222222223</v>
      </c>
      <c r="V389">
        <v>0.2067</v>
      </c>
      <c r="W389">
        <v>0.8</v>
      </c>
      <c r="X389">
        <v>0.4478</v>
      </c>
      <c r="Y389">
        <v>-0.421642</v>
      </c>
      <c r="Z389">
        <v>0.8358714043993232</v>
      </c>
      <c r="AA389">
        <v>0.2354892205638474</v>
      </c>
      <c r="AB389">
        <v>0.130794701986755</v>
      </c>
      <c r="AC389">
        <v>0.8096026490066225</v>
      </c>
      <c r="AD389">
        <v>0.7947019867549669</v>
      </c>
    </row>
    <row r="390" spans="1:30">
      <c r="A390" s="1" t="s">
        <v>397</v>
      </c>
      <c r="B390">
        <f>HYPERLINK("https://www.suredividend.com/sure-analysis-NWL/","Newell Brands, Inc.")</f>
        <v>0</v>
      </c>
      <c r="C390">
        <v>12.045</v>
      </c>
      <c r="D390">
        <v>4957.729</v>
      </c>
      <c r="E390" t="s">
        <v>644</v>
      </c>
      <c r="F390" t="s">
        <v>613</v>
      </c>
      <c r="G390" t="s">
        <v>653</v>
      </c>
      <c r="H390" t="s">
        <v>683</v>
      </c>
      <c r="I390" t="s">
        <v>1071</v>
      </c>
      <c r="J390" t="s">
        <v>1284</v>
      </c>
      <c r="K390">
        <v>43883</v>
      </c>
      <c r="L390">
        <v>0.078699743370402</v>
      </c>
      <c r="M390">
        <v>0.07134272141561282</v>
      </c>
      <c r="N390">
        <v>0.05</v>
      </c>
      <c r="O390">
        <v>0.1690125549559973</v>
      </c>
      <c r="P390" t="s">
        <v>317</v>
      </c>
      <c r="Q390" t="s">
        <v>371</v>
      </c>
      <c r="R390">
        <v>0</v>
      </c>
      <c r="S390">
        <v>0.6052631578947368</v>
      </c>
      <c r="T390">
        <v>17</v>
      </c>
      <c r="U390">
        <v>0.7085294117647059</v>
      </c>
      <c r="V390">
        <v>-2.409</v>
      </c>
      <c r="W390">
        <v>1.52</v>
      </c>
      <c r="X390">
        <v>0.92</v>
      </c>
      <c r="Y390">
        <v>-0.267544</v>
      </c>
      <c r="Z390">
        <v>0.7783417935702199</v>
      </c>
      <c r="AA390">
        <v>0.4212271973466003</v>
      </c>
      <c r="AB390">
        <v>0.5033112582781457</v>
      </c>
      <c r="AC390">
        <v>0.7533112582781457</v>
      </c>
      <c r="AD390">
        <v>0.7930463576158941</v>
      </c>
    </row>
    <row r="391" spans="1:30">
      <c r="A391" s="1" t="s">
        <v>398</v>
      </c>
      <c r="B391">
        <f>HYPERLINK("https://www.suredividend.com/sure-analysis-CNA/","CNA Financial Corp.")</f>
        <v>0</v>
      </c>
      <c r="C391">
        <v>28.55</v>
      </c>
      <c r="D391">
        <v>7582.916</v>
      </c>
      <c r="E391" t="s">
        <v>641</v>
      </c>
      <c r="F391" t="s">
        <v>613</v>
      </c>
      <c r="G391" t="s">
        <v>653</v>
      </c>
      <c r="H391" t="s">
        <v>682</v>
      </c>
      <c r="I391" t="s">
        <v>1072</v>
      </c>
      <c r="J391" t="s">
        <v>1277</v>
      </c>
      <c r="K391">
        <v>43893</v>
      </c>
      <c r="L391">
        <v>0.050823192555476</v>
      </c>
      <c r="M391">
        <v>0.1140841445965632</v>
      </c>
      <c r="N391">
        <v>0.02</v>
      </c>
      <c r="O391">
        <v>0.1676692114058431</v>
      </c>
      <c r="P391" t="s">
        <v>317</v>
      </c>
      <c r="Q391" t="s">
        <v>371</v>
      </c>
      <c r="R391">
        <v>4</v>
      </c>
      <c r="S391">
        <v>0.3736842105263158</v>
      </c>
      <c r="T391">
        <v>49</v>
      </c>
      <c r="U391">
        <v>0.5826530612244898</v>
      </c>
      <c r="V391">
        <v>2.1984</v>
      </c>
      <c r="W391">
        <v>3.8</v>
      </c>
      <c r="X391">
        <v>1.42</v>
      </c>
      <c r="Y391">
        <v>-0.378973</v>
      </c>
      <c r="Z391">
        <v>0.6040609137055838</v>
      </c>
      <c r="AA391">
        <v>0.2736318407960199</v>
      </c>
      <c r="AB391">
        <v>0.130794701986755</v>
      </c>
      <c r="AC391">
        <v>0.8675496688741723</v>
      </c>
      <c r="AD391">
        <v>0.7847682119205298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24.55</v>
      </c>
      <c r="D392">
        <v>6310.08848</v>
      </c>
      <c r="E392" t="s">
        <v>646</v>
      </c>
      <c r="F392" t="s">
        <v>614</v>
      </c>
      <c r="G392" t="s">
        <v>653</v>
      </c>
      <c r="H392" t="s">
        <v>682</v>
      </c>
      <c r="I392" t="s">
        <v>1073</v>
      </c>
      <c r="J392" t="s">
        <v>1282</v>
      </c>
      <c r="K392">
        <v>43899</v>
      </c>
      <c r="L392">
        <v>0.111838503649635</v>
      </c>
      <c r="M392">
        <v>0.06729748025426185</v>
      </c>
      <c r="N392">
        <v>0.03</v>
      </c>
      <c r="O392">
        <v>0.1668938623393283</v>
      </c>
      <c r="P392" t="s">
        <v>317</v>
      </c>
      <c r="Q392" t="s">
        <v>618</v>
      </c>
      <c r="R392">
        <v>10</v>
      </c>
      <c r="S392">
        <v>0.7496941896024466</v>
      </c>
      <c r="T392">
        <v>34</v>
      </c>
      <c r="U392">
        <v>0.7220588235294118</v>
      </c>
      <c r="V392">
        <v>0.9316000000000001</v>
      </c>
      <c r="W392">
        <v>3.27</v>
      </c>
      <c r="X392">
        <v>2.4515</v>
      </c>
      <c r="Y392">
        <v>-0.289695</v>
      </c>
      <c r="Z392">
        <v>0.8680203045685279</v>
      </c>
      <c r="AA392">
        <v>0.3897180762852405</v>
      </c>
      <c r="AB392">
        <v>0.2185430463576159</v>
      </c>
      <c r="AC392">
        <v>0.7400662251655629</v>
      </c>
      <c r="AD392">
        <v>0.7814569536423841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22.84</v>
      </c>
      <c r="D393">
        <v>193899.8835</v>
      </c>
      <c r="E393" t="s">
        <v>644</v>
      </c>
      <c r="F393" t="s">
        <v>613</v>
      </c>
      <c r="G393" t="s">
        <v>653</v>
      </c>
      <c r="H393" t="s">
        <v>682</v>
      </c>
      <c r="I393" t="s">
        <v>1074</v>
      </c>
      <c r="J393" t="s">
        <v>1277</v>
      </c>
      <c r="K393">
        <v>43939</v>
      </c>
      <c r="L393">
        <v>0.030872483221476</v>
      </c>
      <c r="M393">
        <v>0.07637491529095053</v>
      </c>
      <c r="N393">
        <v>0.06</v>
      </c>
      <c r="O393">
        <v>0.164920150116695</v>
      </c>
      <c r="P393" t="s">
        <v>317</v>
      </c>
      <c r="Q393" t="s">
        <v>317</v>
      </c>
      <c r="R393">
        <v>6</v>
      </c>
      <c r="S393">
        <v>0.46</v>
      </c>
      <c r="T393">
        <v>33</v>
      </c>
      <c r="U393">
        <v>0.6921212121212121</v>
      </c>
      <c r="V393">
        <v>2.4632</v>
      </c>
      <c r="W393">
        <v>1.5</v>
      </c>
      <c r="X393">
        <v>0.6900000000000001</v>
      </c>
      <c r="Y393">
        <v>-0.253008</v>
      </c>
      <c r="Z393">
        <v>0.3688663282571912</v>
      </c>
      <c r="AA393">
        <v>0.4394693200663349</v>
      </c>
      <c r="AB393">
        <v>0.6423841059602649</v>
      </c>
      <c r="AC393">
        <v>0.7682119205298014</v>
      </c>
      <c r="AD393">
        <v>0.7764900662251655</v>
      </c>
    </row>
    <row r="394" spans="1:30">
      <c r="A394" s="1" t="s">
        <v>401</v>
      </c>
      <c r="B394">
        <f>HYPERLINK("https://www.suredividend.com/sure-analysis-JCI/","Johnson Controls International Plc")</f>
        <v>0</v>
      </c>
      <c r="C394">
        <v>28.52</v>
      </c>
      <c r="D394">
        <v>21058.73322</v>
      </c>
      <c r="E394" t="s">
        <v>641</v>
      </c>
      <c r="F394" t="s">
        <v>613</v>
      </c>
      <c r="G394" t="s">
        <v>658</v>
      </c>
      <c r="H394" t="s">
        <v>682</v>
      </c>
      <c r="I394" t="s">
        <v>1075</v>
      </c>
      <c r="J394" t="s">
        <v>1278</v>
      </c>
      <c r="K394">
        <v>43864</v>
      </c>
      <c r="L394">
        <v>0.036736135641116</v>
      </c>
      <c r="M394">
        <v>0.07529312005615107</v>
      </c>
      <c r="N394">
        <v>0.06</v>
      </c>
      <c r="O394">
        <v>0.1641958016135574</v>
      </c>
      <c r="P394" t="s">
        <v>317</v>
      </c>
      <c r="Q394" t="s">
        <v>317</v>
      </c>
      <c r="R394">
        <v>0</v>
      </c>
      <c r="S394">
        <v>0.407843137254902</v>
      </c>
      <c r="T394">
        <v>41</v>
      </c>
      <c r="U394">
        <v>0.6956097560975609</v>
      </c>
      <c r="V394">
        <v>0.1113</v>
      </c>
      <c r="W394">
        <v>2.55</v>
      </c>
      <c r="X394">
        <v>1.04</v>
      </c>
      <c r="Y394">
        <v>-0.278726</v>
      </c>
      <c r="Z394">
        <v>0.4450084602368867</v>
      </c>
      <c r="AA394">
        <v>0.4079601990049751</v>
      </c>
      <c r="AB394">
        <v>0.6423841059602649</v>
      </c>
      <c r="AC394">
        <v>0.7615894039735099</v>
      </c>
      <c r="AD394">
        <v>0.7748344370860927</v>
      </c>
    </row>
    <row r="395" spans="1:30">
      <c r="A395" s="1" t="s">
        <v>402</v>
      </c>
      <c r="B395">
        <f>HYPERLINK("https://www.suredividend.com/sure-analysis-NTAP/","NetApp, Inc.")</f>
        <v>0</v>
      </c>
      <c r="C395">
        <v>42.91</v>
      </c>
      <c r="D395">
        <v>9422.1402</v>
      </c>
      <c r="E395" t="s">
        <v>641</v>
      </c>
      <c r="F395" t="s">
        <v>613</v>
      </c>
      <c r="G395" t="s">
        <v>653</v>
      </c>
      <c r="H395" t="s">
        <v>683</v>
      </c>
      <c r="I395" t="s">
        <v>1076</v>
      </c>
      <c r="J395" t="s">
        <v>1286</v>
      </c>
      <c r="K395">
        <v>43879</v>
      </c>
      <c r="L395">
        <v>0.04319248826291</v>
      </c>
      <c r="M395">
        <v>0.06934673356219467</v>
      </c>
      <c r="N395">
        <v>0.06</v>
      </c>
      <c r="O395">
        <v>0.1629837089843098</v>
      </c>
      <c r="P395" t="s">
        <v>317</v>
      </c>
      <c r="Q395" t="s">
        <v>317</v>
      </c>
      <c r="R395">
        <v>6</v>
      </c>
      <c r="S395">
        <v>0.46</v>
      </c>
      <c r="T395">
        <v>60</v>
      </c>
      <c r="U395">
        <v>0.7151666666666666</v>
      </c>
      <c r="V395">
        <v>4.307</v>
      </c>
      <c r="W395">
        <v>4</v>
      </c>
      <c r="X395">
        <v>1.84</v>
      </c>
      <c r="Y395">
        <v>-0.383859</v>
      </c>
      <c r="Z395">
        <v>0.5143824027072759</v>
      </c>
      <c r="AA395">
        <v>0.2719734660033167</v>
      </c>
      <c r="AB395">
        <v>0.6423841059602649</v>
      </c>
      <c r="AC395">
        <v>0.7450331125827815</v>
      </c>
      <c r="AD395">
        <v>0.771523178807947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26.42</v>
      </c>
      <c r="D396">
        <v>5981.13672</v>
      </c>
      <c r="E396" t="s">
        <v>644</v>
      </c>
      <c r="F396" t="s">
        <v>614</v>
      </c>
      <c r="G396" t="s">
        <v>653</v>
      </c>
      <c r="H396" t="s">
        <v>682</v>
      </c>
      <c r="I396" t="s">
        <v>1077</v>
      </c>
      <c r="J396" t="s">
        <v>1282</v>
      </c>
      <c r="K396">
        <v>43878</v>
      </c>
      <c r="L396">
        <v>0.101289833080424</v>
      </c>
      <c r="M396">
        <v>0.07540030835271305</v>
      </c>
      <c r="N396">
        <v>0.02</v>
      </c>
      <c r="O396">
        <v>0.1611732498195153</v>
      </c>
      <c r="P396" t="s">
        <v>317</v>
      </c>
      <c r="Q396" t="s">
        <v>371</v>
      </c>
      <c r="R396">
        <v>17</v>
      </c>
      <c r="S396">
        <v>0.8449367088607594</v>
      </c>
      <c r="T396">
        <v>38</v>
      </c>
      <c r="U396">
        <v>0.6952631578947369</v>
      </c>
      <c r="V396">
        <v>1.6494</v>
      </c>
      <c r="W396">
        <v>3.16</v>
      </c>
      <c r="X396">
        <v>2.67</v>
      </c>
      <c r="Y396">
        <v>-0.247932</v>
      </c>
      <c r="Z396">
        <v>0.8443316412859561</v>
      </c>
      <c r="AA396">
        <v>0.4477611940298508</v>
      </c>
      <c r="AB396">
        <v>0.130794701986755</v>
      </c>
      <c r="AC396">
        <v>0.7632450331125828</v>
      </c>
      <c r="AD396">
        <v>0.7632450331125828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2</v>
      </c>
      <c r="D397">
        <v>33036.1038</v>
      </c>
      <c r="E397" t="s">
        <v>642</v>
      </c>
      <c r="F397" t="s">
        <v>613</v>
      </c>
      <c r="G397" t="s">
        <v>664</v>
      </c>
      <c r="H397" t="s">
        <v>682</v>
      </c>
      <c r="I397" t="s">
        <v>1078</v>
      </c>
      <c r="J397" t="s">
        <v>1284</v>
      </c>
      <c r="K397">
        <v>43916</v>
      </c>
      <c r="L397">
        <v>0.048909523809523</v>
      </c>
      <c r="M397">
        <v>0.09090189647497282</v>
      </c>
      <c r="N397">
        <v>0.03</v>
      </c>
      <c r="O397">
        <v>0.1589749921556398</v>
      </c>
      <c r="P397" t="s">
        <v>317</v>
      </c>
      <c r="Q397" t="s">
        <v>317</v>
      </c>
      <c r="R397">
        <v>0</v>
      </c>
      <c r="S397">
        <v>0.6419375</v>
      </c>
      <c r="T397">
        <v>3.09</v>
      </c>
      <c r="U397">
        <v>0.6472491909385114</v>
      </c>
      <c r="V397">
        <v>0.1891</v>
      </c>
      <c r="W397">
        <v>0.16</v>
      </c>
      <c r="X397">
        <v>0.10271</v>
      </c>
      <c r="Y397">
        <v>-0.5302009999999999</v>
      </c>
      <c r="Z397">
        <v>0.5786802030456852</v>
      </c>
      <c r="AA397">
        <v>0.1293532338308458</v>
      </c>
      <c r="AB397">
        <v>0.2185430463576159</v>
      </c>
      <c r="AC397">
        <v>0.8079470198675497</v>
      </c>
      <c r="AD397">
        <v>0.7566225165562913</v>
      </c>
    </row>
    <row r="398" spans="1:30">
      <c r="A398" s="1" t="s">
        <v>405</v>
      </c>
      <c r="B398">
        <f>HYPERLINK("https://www.suredividend.com/sure-analysis-UBS/","UBS Group AG")</f>
        <v>0</v>
      </c>
      <c r="C398">
        <v>9.789999999999999</v>
      </c>
      <c r="D398">
        <v>34407.316637</v>
      </c>
      <c r="E398" t="s">
        <v>648</v>
      </c>
      <c r="F398" t="s">
        <v>613</v>
      </c>
      <c r="G398" t="s">
        <v>656</v>
      </c>
      <c r="H398" t="s">
        <v>682</v>
      </c>
      <c r="I398" t="s">
        <v>1079</v>
      </c>
      <c r="J398" t="s">
        <v>1277</v>
      </c>
      <c r="K398">
        <v>43808</v>
      </c>
      <c r="L398">
        <v>0.056354166666666</v>
      </c>
      <c r="M398">
        <v>0.09906503606349149</v>
      </c>
      <c r="N398">
        <v>0.01</v>
      </c>
      <c r="O398">
        <v>0.1566826725590778</v>
      </c>
      <c r="P398" t="s">
        <v>317</v>
      </c>
      <c r="Q398" t="s">
        <v>371</v>
      </c>
      <c r="R398">
        <v>3</v>
      </c>
      <c r="S398">
        <v>0.425984251968504</v>
      </c>
      <c r="T398">
        <v>15.7</v>
      </c>
      <c r="U398">
        <v>0.6235668789808917</v>
      </c>
      <c r="V398">
        <v>1.3084</v>
      </c>
      <c r="W398">
        <v>1.27</v>
      </c>
      <c r="X398">
        <v>0.541</v>
      </c>
      <c r="Y398">
        <v>-0.214403</v>
      </c>
      <c r="Z398">
        <v>0.6463620981387479</v>
      </c>
      <c r="AA398">
        <v>0.4958540630182421</v>
      </c>
      <c r="AB398">
        <v>0.05711920529801325</v>
      </c>
      <c r="AC398">
        <v>0.8228476821192053</v>
      </c>
      <c r="AD398">
        <v>0.7483443708609272</v>
      </c>
    </row>
    <row r="399" spans="1:30">
      <c r="A399" s="1" t="s">
        <v>406</v>
      </c>
      <c r="B399">
        <f>HYPERLINK("https://www.suredividend.com/sure-analysis-WPP/","WPP Plc")</f>
        <v>0</v>
      </c>
      <c r="C399">
        <v>37.06</v>
      </c>
      <c r="D399">
        <v>8756.822149</v>
      </c>
      <c r="E399" t="s">
        <v>644</v>
      </c>
      <c r="F399" t="s">
        <v>613</v>
      </c>
      <c r="G399" t="s">
        <v>655</v>
      </c>
      <c r="H399" t="s">
        <v>682</v>
      </c>
      <c r="I399" t="s">
        <v>1080</v>
      </c>
      <c r="J399" t="s">
        <v>1279</v>
      </c>
      <c r="K399">
        <v>43897</v>
      </c>
      <c r="L399">
        <v>0.103737904340613</v>
      </c>
      <c r="M399">
        <v>0.05309406327681865</v>
      </c>
      <c r="N399">
        <v>0.03</v>
      </c>
      <c r="O399">
        <v>0.1555586276850653</v>
      </c>
      <c r="P399" t="s">
        <v>317</v>
      </c>
      <c r="Q399" t="s">
        <v>371</v>
      </c>
      <c r="R399">
        <v>0</v>
      </c>
      <c r="S399">
        <v>0.7079622641509434</v>
      </c>
      <c r="T399">
        <v>48</v>
      </c>
      <c r="U399">
        <v>0.7720833333333333</v>
      </c>
      <c r="V399">
        <v>2.8145</v>
      </c>
      <c r="W399">
        <v>5.3</v>
      </c>
      <c r="X399">
        <v>3.7522</v>
      </c>
      <c r="Y399">
        <v>-0.423586</v>
      </c>
      <c r="Z399">
        <v>0.8494077834179358</v>
      </c>
      <c r="AA399">
        <v>0.2321724709784411</v>
      </c>
      <c r="AB399">
        <v>0.2185430463576159</v>
      </c>
      <c r="AC399">
        <v>0.6705298013245033</v>
      </c>
      <c r="AD399">
        <v>0.7417218543046357</v>
      </c>
    </row>
    <row r="400" spans="1:30">
      <c r="A400" s="1" t="s">
        <v>407</v>
      </c>
      <c r="B400">
        <f>HYPERLINK("https://www.suredividend.com/sure-analysis-HFC/","HollyFrontier Corp.")</f>
        <v>0</v>
      </c>
      <c r="C400">
        <v>28.31</v>
      </c>
      <c r="D400">
        <v>4858.13884</v>
      </c>
      <c r="E400" t="s">
        <v>648</v>
      </c>
      <c r="F400" t="s">
        <v>613</v>
      </c>
      <c r="G400" t="s">
        <v>653</v>
      </c>
      <c r="H400" t="s">
        <v>682</v>
      </c>
      <c r="I400" t="s">
        <v>1081</v>
      </c>
      <c r="J400" t="s">
        <v>1285</v>
      </c>
      <c r="K400">
        <v>43888</v>
      </c>
      <c r="L400">
        <v>0.044651782739086</v>
      </c>
      <c r="M400">
        <v>0.1019543216607717</v>
      </c>
      <c r="N400">
        <v>0.02</v>
      </c>
      <c r="O400">
        <v>0.1551643760569037</v>
      </c>
      <c r="P400" t="s">
        <v>317</v>
      </c>
      <c r="Q400" t="s">
        <v>371</v>
      </c>
      <c r="R400">
        <v>2</v>
      </c>
      <c r="S400">
        <v>0.2977777777777778</v>
      </c>
      <c r="T400">
        <v>46</v>
      </c>
      <c r="U400">
        <v>0.6154347826086957</v>
      </c>
      <c r="V400">
        <v>4.6128</v>
      </c>
      <c r="W400">
        <v>4.5</v>
      </c>
      <c r="X400">
        <v>1.34</v>
      </c>
      <c r="Y400">
        <v>-0.340004</v>
      </c>
      <c r="Z400">
        <v>0.5346869712351946</v>
      </c>
      <c r="AA400">
        <v>0.3333333333333334</v>
      </c>
      <c r="AB400">
        <v>0.130794701986755</v>
      </c>
      <c r="AC400">
        <v>0.8344370860927153</v>
      </c>
      <c r="AD400">
        <v>0.7350993377483444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38.16</v>
      </c>
      <c r="D401">
        <v>156391.869</v>
      </c>
      <c r="E401" t="s">
        <v>650</v>
      </c>
      <c r="F401" t="s">
        <v>613</v>
      </c>
      <c r="G401" t="s">
        <v>674</v>
      </c>
      <c r="H401" t="s">
        <v>682</v>
      </c>
      <c r="J401" t="s">
        <v>1279</v>
      </c>
      <c r="K401">
        <v>43930</v>
      </c>
      <c r="L401">
        <v>0.04912309505106</v>
      </c>
      <c r="M401">
        <v>0.07584787080152378</v>
      </c>
      <c r="N401">
        <v>0.04</v>
      </c>
      <c r="O401">
        <v>0.1545973545257231</v>
      </c>
      <c r="P401" t="s">
        <v>317</v>
      </c>
      <c r="Q401" t="s">
        <v>371</v>
      </c>
      <c r="R401">
        <v>1</v>
      </c>
      <c r="S401">
        <v>0.4078284782608696</v>
      </c>
      <c r="T401">
        <v>55</v>
      </c>
      <c r="U401">
        <v>0.6938181818181818</v>
      </c>
      <c r="V401">
        <v>3.7744</v>
      </c>
      <c r="W401">
        <v>4.6</v>
      </c>
      <c r="X401">
        <v>1.876011</v>
      </c>
      <c r="Y401">
        <v>-0.18135</v>
      </c>
      <c r="Z401">
        <v>0.5837563451776649</v>
      </c>
      <c r="AA401">
        <v>0.5555555555555556</v>
      </c>
      <c r="AB401">
        <v>0.3501655629139073</v>
      </c>
      <c r="AC401">
        <v>0.7665562913907285</v>
      </c>
      <c r="AD401">
        <v>0.7317880794701986</v>
      </c>
    </row>
    <row r="402" spans="1:30">
      <c r="A402" s="1" t="s">
        <v>409</v>
      </c>
      <c r="B402">
        <f>HYPERLINK("https://www.suredividend.com/sure-analysis-UFS/","Domtar Corp.")</f>
        <v>0</v>
      </c>
      <c r="C402">
        <v>22.05</v>
      </c>
      <c r="D402">
        <v>1162.859621</v>
      </c>
      <c r="E402" t="s">
        <v>646</v>
      </c>
      <c r="F402" t="s">
        <v>613</v>
      </c>
      <c r="G402" t="s">
        <v>653</v>
      </c>
      <c r="H402" t="s">
        <v>682</v>
      </c>
      <c r="I402" t="s">
        <v>1082</v>
      </c>
      <c r="J402" t="s">
        <v>1281</v>
      </c>
      <c r="K402">
        <v>43871</v>
      </c>
      <c r="L402">
        <v>0.08542952064546701</v>
      </c>
      <c r="M402">
        <v>0.06351233698603864</v>
      </c>
      <c r="N402">
        <v>0.03</v>
      </c>
      <c r="O402">
        <v>0.152707342603015</v>
      </c>
      <c r="P402" t="s">
        <v>317</v>
      </c>
      <c r="Q402" t="s">
        <v>371</v>
      </c>
      <c r="R402">
        <v>10</v>
      </c>
      <c r="S402">
        <v>0.6666666666666666</v>
      </c>
      <c r="T402">
        <v>30</v>
      </c>
      <c r="U402">
        <v>0.735</v>
      </c>
      <c r="V402">
        <v>1.2874</v>
      </c>
      <c r="W402">
        <v>2.7</v>
      </c>
      <c r="X402">
        <v>1.8</v>
      </c>
      <c r="Y402">
        <v>-0.550267</v>
      </c>
      <c r="Z402">
        <v>0.8003384094754654</v>
      </c>
      <c r="AA402">
        <v>0.109452736318408</v>
      </c>
      <c r="AB402">
        <v>0.2185430463576159</v>
      </c>
      <c r="AC402">
        <v>0.7201986754966887</v>
      </c>
      <c r="AD402">
        <v>0.7201986754966887</v>
      </c>
    </row>
    <row r="403" spans="1:30">
      <c r="A403" s="1" t="s">
        <v>410</v>
      </c>
      <c r="B403">
        <f>HYPERLINK("https://www.suredividend.com/sure-analysis-SUUIF/","Superior Plus Corp.")</f>
        <v>0</v>
      </c>
      <c r="C403">
        <v>6.83</v>
      </c>
      <c r="D403">
        <v>1196.88237</v>
      </c>
      <c r="E403" t="s">
        <v>645</v>
      </c>
      <c r="F403" t="s">
        <v>613</v>
      </c>
      <c r="G403" t="s">
        <v>654</v>
      </c>
      <c r="H403" t="s">
        <v>684</v>
      </c>
      <c r="I403" t="s">
        <v>1083</v>
      </c>
      <c r="J403" t="s">
        <v>1287</v>
      </c>
      <c r="K403">
        <v>43886</v>
      </c>
      <c r="L403">
        <v>0.07944372060480101</v>
      </c>
      <c r="M403">
        <v>0.1000043340512287</v>
      </c>
      <c r="N403">
        <v>0</v>
      </c>
      <c r="O403">
        <v>0.1493703053573183</v>
      </c>
      <c r="P403" t="s">
        <v>317</v>
      </c>
      <c r="Q403" t="s">
        <v>618</v>
      </c>
      <c r="R403">
        <v>0</v>
      </c>
      <c r="S403">
        <v>0.3523380595654493</v>
      </c>
      <c r="T403">
        <v>11</v>
      </c>
      <c r="U403">
        <v>0.620909090909091</v>
      </c>
      <c r="V403">
        <v>0.6237</v>
      </c>
      <c r="W403">
        <v>1.54</v>
      </c>
      <c r="X403">
        <v>0.542600611730792</v>
      </c>
      <c r="Y403">
        <v>-0.198369</v>
      </c>
      <c r="Z403">
        <v>0.7817258883248731</v>
      </c>
      <c r="AA403">
        <v>0.5240464344941956</v>
      </c>
      <c r="AB403">
        <v>0.02897350993377483</v>
      </c>
      <c r="AC403">
        <v>0.8294701986754967</v>
      </c>
      <c r="AD403">
        <v>0.7086092715231789</v>
      </c>
    </row>
    <row r="404" spans="1:30">
      <c r="A404" s="1" t="s">
        <v>411</v>
      </c>
      <c r="B404">
        <f>HYPERLINK("https://www.suredividend.com/sure-analysis-NOK/","Nokia Oyj")</f>
        <v>0</v>
      </c>
      <c r="C404">
        <v>3.55</v>
      </c>
      <c r="D404">
        <v>19412.085696</v>
      </c>
      <c r="E404" t="s">
        <v>646</v>
      </c>
      <c r="F404" t="s">
        <v>613</v>
      </c>
      <c r="G404" t="s">
        <v>673</v>
      </c>
      <c r="H404" t="s">
        <v>682</v>
      </c>
      <c r="I404" t="s">
        <v>1084</v>
      </c>
      <c r="J404" t="s">
        <v>1286</v>
      </c>
      <c r="K404">
        <v>43870</v>
      </c>
      <c r="L404">
        <v>0.032427745664739</v>
      </c>
      <c r="M404">
        <v>0.04856856082338212</v>
      </c>
      <c r="N404">
        <v>0.07000000000000001</v>
      </c>
      <c r="O404">
        <v>0.1490247512391976</v>
      </c>
      <c r="P404" t="s">
        <v>317</v>
      </c>
      <c r="Q404" t="s">
        <v>317</v>
      </c>
      <c r="R404">
        <v>0</v>
      </c>
      <c r="S404">
        <v>0.4007142857142857</v>
      </c>
      <c r="T404">
        <v>4.5</v>
      </c>
      <c r="U404">
        <v>0.7888888888888889</v>
      </c>
      <c r="V404">
        <v>-0.0017</v>
      </c>
      <c r="W404">
        <v>0.28</v>
      </c>
      <c r="X404">
        <v>0.1122</v>
      </c>
      <c r="Y404">
        <v>-0.313492</v>
      </c>
      <c r="Z404">
        <v>0.3857868020304568</v>
      </c>
      <c r="AA404">
        <v>0.3615257048092869</v>
      </c>
      <c r="AB404">
        <v>0.7442052980132451</v>
      </c>
      <c r="AC404">
        <v>0.6506622516556291</v>
      </c>
      <c r="AD404">
        <v>0.7052980132450331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91.20999999999999</v>
      </c>
      <c r="D405">
        <v>275011.1658</v>
      </c>
      <c r="E405" t="s">
        <v>644</v>
      </c>
      <c r="F405" t="s">
        <v>613</v>
      </c>
      <c r="G405" t="s">
        <v>653</v>
      </c>
      <c r="H405" t="s">
        <v>682</v>
      </c>
      <c r="I405" t="s">
        <v>1085</v>
      </c>
      <c r="J405" t="s">
        <v>1277</v>
      </c>
      <c r="K405">
        <v>43939</v>
      </c>
      <c r="L405">
        <v>0.038772571175362</v>
      </c>
      <c r="M405">
        <v>0.05639845668223464</v>
      </c>
      <c r="N405">
        <v>0.06</v>
      </c>
      <c r="O405">
        <v>0.1483011947551887</v>
      </c>
      <c r="P405" t="s">
        <v>317</v>
      </c>
      <c r="Q405" t="s">
        <v>317</v>
      </c>
      <c r="R405">
        <v>10</v>
      </c>
      <c r="S405">
        <v>0.6363636363636364</v>
      </c>
      <c r="T405">
        <v>120</v>
      </c>
      <c r="U405">
        <v>0.7600833333333333</v>
      </c>
      <c r="V405">
        <v>8.879899999999999</v>
      </c>
      <c r="W405">
        <v>5.5</v>
      </c>
      <c r="X405">
        <v>3.5</v>
      </c>
      <c r="Y405">
        <v>-0.202632</v>
      </c>
      <c r="Z405">
        <v>0.4585448392554992</v>
      </c>
      <c r="AA405">
        <v>0.5174129353233831</v>
      </c>
      <c r="AB405">
        <v>0.6423841059602649</v>
      </c>
      <c r="AC405">
        <v>0.6854304635761589</v>
      </c>
      <c r="AD405">
        <v>0.7003311258278145</v>
      </c>
    </row>
    <row r="406" spans="1:30">
      <c r="A406" s="1" t="s">
        <v>413</v>
      </c>
      <c r="B406">
        <f>HYPERLINK("https://www.suredividend.com/sure-analysis-MCY/","Mercury General Corp.")</f>
        <v>0</v>
      </c>
      <c r="C406">
        <v>35.53</v>
      </c>
      <c r="D406">
        <v>1890.4757</v>
      </c>
      <c r="E406" t="s">
        <v>646</v>
      </c>
      <c r="F406" t="s">
        <v>613</v>
      </c>
      <c r="G406" t="s">
        <v>653</v>
      </c>
      <c r="H406" t="s">
        <v>682</v>
      </c>
      <c r="I406" t="s">
        <v>1086</v>
      </c>
      <c r="J406" t="s">
        <v>1277</v>
      </c>
      <c r="K406">
        <v>43955</v>
      </c>
      <c r="L406">
        <v>0.073645680819912</v>
      </c>
      <c r="M406">
        <v>0.08326854438692721</v>
      </c>
      <c r="N406">
        <v>0.015</v>
      </c>
      <c r="O406">
        <v>0.1448429884057025</v>
      </c>
      <c r="P406" t="s">
        <v>317</v>
      </c>
      <c r="Q406" t="s">
        <v>618</v>
      </c>
      <c r="R406">
        <v>32</v>
      </c>
      <c r="S406">
        <v>0.7185714285714286</v>
      </c>
      <c r="T406">
        <v>53</v>
      </c>
      <c r="U406">
        <v>0.670377358490566</v>
      </c>
      <c r="V406">
        <v>0.8134</v>
      </c>
      <c r="W406">
        <v>3.5</v>
      </c>
      <c r="X406">
        <v>2.515</v>
      </c>
      <c r="Y406">
        <v>-0.387993</v>
      </c>
      <c r="Z406">
        <v>0.7445008460236886</v>
      </c>
      <c r="AA406">
        <v>0.2703150912106136</v>
      </c>
      <c r="AB406">
        <v>0.07615894039735099</v>
      </c>
      <c r="AC406">
        <v>0.7864238410596026</v>
      </c>
      <c r="AD406">
        <v>0.6903973509933775</v>
      </c>
    </row>
    <row r="407" spans="1:30">
      <c r="A407" s="1" t="s">
        <v>414</v>
      </c>
      <c r="B407">
        <f>HYPERLINK("https://www.suredividend.com/sure-analysis-NLSN/","Nielsen Holdings Plc")</f>
        <v>0</v>
      </c>
      <c r="C407">
        <v>13.68</v>
      </c>
      <c r="D407">
        <v>4687.6594</v>
      </c>
      <c r="E407" t="s">
        <v>646</v>
      </c>
      <c r="F407" t="s">
        <v>613</v>
      </c>
      <c r="G407" t="s">
        <v>653</v>
      </c>
      <c r="H407" t="s">
        <v>682</v>
      </c>
      <c r="I407" t="s">
        <v>1087</v>
      </c>
      <c r="J407" t="s">
        <v>1278</v>
      </c>
      <c r="K407">
        <v>43895</v>
      </c>
      <c r="L407">
        <v>0.062357414448669</v>
      </c>
      <c r="M407">
        <v>0.09968250709909521</v>
      </c>
      <c r="N407">
        <v>0.03</v>
      </c>
      <c r="O407">
        <v>0.1446279962804435</v>
      </c>
      <c r="P407" t="s">
        <v>317</v>
      </c>
      <c r="Q407" t="s">
        <v>371</v>
      </c>
      <c r="R407">
        <v>0</v>
      </c>
      <c r="S407">
        <v>0.4739884393063584</v>
      </c>
      <c r="T407">
        <v>22</v>
      </c>
      <c r="U407">
        <v>0.6218181818181818</v>
      </c>
      <c r="V407">
        <v>-1.3333</v>
      </c>
      <c r="W407">
        <v>1.73</v>
      </c>
      <c r="X407">
        <v>0.8200000000000001</v>
      </c>
      <c r="Y407">
        <v>-0.455712</v>
      </c>
      <c r="Z407">
        <v>0.6700507614213198</v>
      </c>
      <c r="AA407">
        <v>0.1990049751243781</v>
      </c>
      <c r="AB407">
        <v>0.2185430463576159</v>
      </c>
      <c r="AC407">
        <v>0.8261589403973509</v>
      </c>
      <c r="AD407">
        <v>0.6870860927152317</v>
      </c>
    </row>
    <row r="408" spans="1:30">
      <c r="A408" s="1" t="s">
        <v>415</v>
      </c>
      <c r="B408">
        <f>HYPERLINK("https://www.suredividend.com/sure-analysis-OPI/","Office Properties Income Trust")</f>
        <v>0</v>
      </c>
      <c r="C408">
        <v>24.71</v>
      </c>
      <c r="D408">
        <v>1218.03927</v>
      </c>
      <c r="E408" t="s">
        <v>648</v>
      </c>
      <c r="F408" t="s">
        <v>614</v>
      </c>
      <c r="G408" t="s">
        <v>653</v>
      </c>
      <c r="H408" t="s">
        <v>683</v>
      </c>
      <c r="I408" t="s">
        <v>1088</v>
      </c>
      <c r="J408" t="s">
        <v>1282</v>
      </c>
      <c r="K408">
        <v>43882</v>
      </c>
      <c r="L408">
        <v>0.08705975464978201</v>
      </c>
      <c r="M408">
        <v>0.05956654882614032</v>
      </c>
      <c r="N408">
        <v>0.02</v>
      </c>
      <c r="O408">
        <v>0.1435354519557663</v>
      </c>
      <c r="P408" t="s">
        <v>317</v>
      </c>
      <c r="Q408" t="s">
        <v>618</v>
      </c>
      <c r="R408">
        <v>1</v>
      </c>
      <c r="S408">
        <v>0.4</v>
      </c>
      <c r="T408">
        <v>33</v>
      </c>
      <c r="U408">
        <v>0.7487878787878788</v>
      </c>
      <c r="V408">
        <v>0.1475</v>
      </c>
      <c r="W408">
        <v>5.5</v>
      </c>
      <c r="X408">
        <v>2.2</v>
      </c>
      <c r="Y408">
        <v>-0.060245</v>
      </c>
      <c r="Z408">
        <v>0.8104906937394247</v>
      </c>
      <c r="AA408">
        <v>0.6965174129353234</v>
      </c>
      <c r="AB408">
        <v>0.130794701986755</v>
      </c>
      <c r="AC408">
        <v>0.7019867549668873</v>
      </c>
      <c r="AD408">
        <v>0.6788079470198676</v>
      </c>
    </row>
    <row r="409" spans="1:30">
      <c r="A409" s="1" t="s">
        <v>416</v>
      </c>
      <c r="B409">
        <f>HYPERLINK("https://www.suredividend.com/sure-analysis-BUD/","Anheuser-Busch InBev SA/NV")</f>
        <v>0</v>
      </c>
      <c r="C409">
        <v>42.43</v>
      </c>
      <c r="D409">
        <v>69630.878264</v>
      </c>
      <c r="E409" t="s">
        <v>642</v>
      </c>
      <c r="F409" t="s">
        <v>613</v>
      </c>
      <c r="G409" t="s">
        <v>675</v>
      </c>
      <c r="H409" t="s">
        <v>682</v>
      </c>
      <c r="I409" t="s">
        <v>1089</v>
      </c>
      <c r="J409" t="s">
        <v>1284</v>
      </c>
      <c r="K409">
        <v>43916</v>
      </c>
      <c r="L409">
        <v>0.04708655876143501</v>
      </c>
      <c r="M409">
        <v>0.07880693981621478</v>
      </c>
      <c r="N409">
        <v>0.03</v>
      </c>
      <c r="O409">
        <v>0.1406402060426681</v>
      </c>
      <c r="P409" t="s">
        <v>317</v>
      </c>
      <c r="Q409" t="s">
        <v>317</v>
      </c>
      <c r="R409">
        <v>0</v>
      </c>
      <c r="S409">
        <v>0.578472622478386</v>
      </c>
      <c r="T409">
        <v>62</v>
      </c>
      <c r="U409">
        <v>0.6843548387096774</v>
      </c>
      <c r="V409">
        <v>4.6484</v>
      </c>
      <c r="W409">
        <v>3.47</v>
      </c>
      <c r="X409">
        <v>2.0073</v>
      </c>
      <c r="Y409">
        <v>-0.494066</v>
      </c>
      <c r="Z409">
        <v>0.5617597292724197</v>
      </c>
      <c r="AA409">
        <v>0.1525704809286899</v>
      </c>
      <c r="AB409">
        <v>0.2185430463576159</v>
      </c>
      <c r="AC409">
        <v>0.7748344370860927</v>
      </c>
      <c r="AD409">
        <v>0.6655629139072847</v>
      </c>
    </row>
    <row r="410" spans="1:30">
      <c r="A410" s="1" t="s">
        <v>417</v>
      </c>
      <c r="B410">
        <f>HYPERLINK("https://www.suredividend.com/sure-analysis-PSO/","Pearson Plc")</f>
        <v>0</v>
      </c>
      <c r="C410">
        <v>5.54</v>
      </c>
      <c r="D410">
        <v>4022.91939</v>
      </c>
      <c r="E410" t="s">
        <v>646</v>
      </c>
      <c r="F410" t="s">
        <v>613</v>
      </c>
      <c r="G410" t="s">
        <v>655</v>
      </c>
      <c r="H410" t="s">
        <v>682</v>
      </c>
      <c r="I410" t="s">
        <v>1090</v>
      </c>
      <c r="J410" t="s">
        <v>1279</v>
      </c>
      <c r="K410">
        <v>43951</v>
      </c>
      <c r="L410">
        <v>0.04627560521415201</v>
      </c>
      <c r="M410">
        <v>0.08810144951027787</v>
      </c>
      <c r="N410">
        <v>0.02</v>
      </c>
      <c r="O410">
        <v>0.1370497180716641</v>
      </c>
      <c r="P410" t="s">
        <v>317</v>
      </c>
      <c r="Q410" t="s">
        <v>317</v>
      </c>
      <c r="R410">
        <v>0</v>
      </c>
      <c r="S410">
        <v>0.62125</v>
      </c>
      <c r="T410">
        <v>8.449999999999999</v>
      </c>
      <c r="U410">
        <v>0.655621301775148</v>
      </c>
      <c r="V410">
        <v>0.4298</v>
      </c>
      <c r="W410">
        <v>0.4</v>
      </c>
      <c r="X410">
        <v>0.2485</v>
      </c>
      <c r="Y410">
        <v>-0.488571</v>
      </c>
      <c r="Z410">
        <v>0.5549915397631133</v>
      </c>
      <c r="AA410">
        <v>0.1666666666666667</v>
      </c>
      <c r="AB410">
        <v>0.130794701986755</v>
      </c>
      <c r="AC410">
        <v>0.8013245033112583</v>
      </c>
      <c r="AD410">
        <v>0.6523178807947019</v>
      </c>
    </row>
    <row r="411" spans="1:30">
      <c r="A411" s="1" t="s">
        <v>418</v>
      </c>
      <c r="B411">
        <f>HYPERLINK("https://www.suredividend.com/sure-analysis-CF/","CF Industries Holdings, Inc.")</f>
        <v>0</v>
      </c>
      <c r="C411">
        <v>27.54</v>
      </c>
      <c r="D411">
        <v>5616.44719</v>
      </c>
      <c r="E411" t="s">
        <v>644</v>
      </c>
      <c r="F411" t="s">
        <v>613</v>
      </c>
      <c r="G411" t="s">
        <v>653</v>
      </c>
      <c r="H411" t="s">
        <v>682</v>
      </c>
      <c r="I411" t="s">
        <v>1091</v>
      </c>
      <c r="J411" t="s">
        <v>1281</v>
      </c>
      <c r="K411">
        <v>43882</v>
      </c>
      <c r="L411">
        <v>0.04567948229920001</v>
      </c>
      <c r="M411">
        <v>0.06650754482726251</v>
      </c>
      <c r="N411">
        <v>0.04</v>
      </c>
      <c r="O411">
        <v>0.136569222281862</v>
      </c>
      <c r="P411" t="s">
        <v>317</v>
      </c>
      <c r="Q411" t="s">
        <v>317</v>
      </c>
      <c r="R411">
        <v>0</v>
      </c>
      <c r="S411">
        <v>0.6</v>
      </c>
      <c r="T411">
        <v>38</v>
      </c>
      <c r="U411">
        <v>0.7247368421052631</v>
      </c>
      <c r="V411">
        <v>2.2325</v>
      </c>
      <c r="W411">
        <v>2</v>
      </c>
      <c r="X411">
        <v>1.2</v>
      </c>
      <c r="Y411">
        <v>-0.367293</v>
      </c>
      <c r="Z411">
        <v>0.5465313028764806</v>
      </c>
      <c r="AA411">
        <v>0.2951907131011609</v>
      </c>
      <c r="AB411">
        <v>0.3501655629139073</v>
      </c>
      <c r="AC411">
        <v>0.7334437086092715</v>
      </c>
      <c r="AD411">
        <v>0.6506622516556291</v>
      </c>
    </row>
    <row r="412" spans="1:30">
      <c r="A412" s="1" t="s">
        <v>419</v>
      </c>
      <c r="B412">
        <f>HYPERLINK("https://www.suredividend.com/sure-analysis-CWCO/","Consolidated Water Co. Ltd.")</f>
        <v>0</v>
      </c>
      <c r="C412">
        <v>14.04</v>
      </c>
      <c r="D412">
        <v>210.646645</v>
      </c>
      <c r="E412" t="s">
        <v>649</v>
      </c>
      <c r="F412" t="s">
        <v>613</v>
      </c>
      <c r="G412" t="s">
        <v>676</v>
      </c>
      <c r="H412" t="s">
        <v>683</v>
      </c>
      <c r="I412" t="s">
        <v>1092</v>
      </c>
      <c r="J412" t="s">
        <v>1287</v>
      </c>
      <c r="K412">
        <v>43916</v>
      </c>
      <c r="L412">
        <v>0.024337866857551</v>
      </c>
      <c r="M412">
        <v>0.04143523667512938</v>
      </c>
      <c r="N412">
        <v>0.06900000000000001</v>
      </c>
      <c r="O412">
        <v>0.1357385198295711</v>
      </c>
      <c r="P412" t="s">
        <v>317</v>
      </c>
      <c r="Q412" t="s">
        <v>523</v>
      </c>
      <c r="R412">
        <v>0</v>
      </c>
      <c r="S412">
        <v>0.3953488372093024</v>
      </c>
      <c r="T412">
        <v>17.2</v>
      </c>
      <c r="U412">
        <v>0.8162790697674418</v>
      </c>
      <c r="V412">
        <v>0.5685</v>
      </c>
      <c r="W412">
        <v>0.86</v>
      </c>
      <c r="X412">
        <v>0.34</v>
      </c>
      <c r="Y412">
        <v>0.082107</v>
      </c>
      <c r="Z412">
        <v>0.2791878172588833</v>
      </c>
      <c r="AA412">
        <v>0.8441127694859039</v>
      </c>
      <c r="AB412">
        <v>0.7119205298013245</v>
      </c>
      <c r="AC412">
        <v>0.6175496688741722</v>
      </c>
      <c r="AD412">
        <v>0.6456953642384106</v>
      </c>
    </row>
    <row r="413" spans="1:30">
      <c r="A413" s="1" t="s">
        <v>420</v>
      </c>
      <c r="B413">
        <f>HYPERLINK("https://www.suredividend.com/sure-analysis-PFE/","Pfizer Inc.")</f>
        <v>0</v>
      </c>
      <c r="C413">
        <v>36.96</v>
      </c>
      <c r="D413">
        <v>213639.6164</v>
      </c>
      <c r="E413" t="s">
        <v>642</v>
      </c>
      <c r="F413" t="s">
        <v>613</v>
      </c>
      <c r="G413" t="s">
        <v>653</v>
      </c>
      <c r="H413" t="s">
        <v>682</v>
      </c>
      <c r="I413" t="s">
        <v>1093</v>
      </c>
      <c r="J413" t="s">
        <v>1283</v>
      </c>
      <c r="K413">
        <v>43901</v>
      </c>
      <c r="L413">
        <v>0.03843157621397</v>
      </c>
      <c r="M413">
        <v>0.04473266523102404</v>
      </c>
      <c r="N413">
        <v>0.06</v>
      </c>
      <c r="O413">
        <v>0.1342829798067722</v>
      </c>
      <c r="P413" t="s">
        <v>317</v>
      </c>
      <c r="Q413" t="s">
        <v>317</v>
      </c>
      <c r="R413">
        <v>10</v>
      </c>
      <c r="S413">
        <v>0.550185873605948</v>
      </c>
      <c r="T413">
        <v>46</v>
      </c>
      <c r="U413">
        <v>0.8034782608695652</v>
      </c>
      <c r="V413">
        <v>2.8425</v>
      </c>
      <c r="W413">
        <v>2.69</v>
      </c>
      <c r="X413">
        <v>1.48</v>
      </c>
      <c r="Y413">
        <v>-0.056821</v>
      </c>
      <c r="Z413">
        <v>0.4568527918781726</v>
      </c>
      <c r="AA413">
        <v>0.703150912106136</v>
      </c>
      <c r="AB413">
        <v>0.6423841059602649</v>
      </c>
      <c r="AC413">
        <v>0.6374172185430463</v>
      </c>
      <c r="AD413">
        <v>0.6374172185430463</v>
      </c>
    </row>
    <row r="414" spans="1:30">
      <c r="A414" s="1" t="s">
        <v>421</v>
      </c>
      <c r="B414">
        <f>HYPERLINK("https://www.suredividend.com/sure-analysis-WYNN/","Wynn Resorts Ltd.")</f>
        <v>0</v>
      </c>
      <c r="C414">
        <v>79.59</v>
      </c>
      <c r="D414">
        <v>8548.539000000001</v>
      </c>
      <c r="E414" t="s">
        <v>643</v>
      </c>
      <c r="F414" t="s">
        <v>613</v>
      </c>
      <c r="G414" t="s">
        <v>653</v>
      </c>
      <c r="H414" t="s">
        <v>683</v>
      </c>
      <c r="I414" t="s">
        <v>1094</v>
      </c>
      <c r="J414" t="s">
        <v>1280</v>
      </c>
      <c r="K414">
        <v>43871</v>
      </c>
      <c r="L414">
        <v>0.04731861198738101</v>
      </c>
      <c r="M414">
        <v>0.05697851328969805</v>
      </c>
      <c r="N414">
        <v>0.04</v>
      </c>
      <c r="O414">
        <v>0.1342657184692573</v>
      </c>
      <c r="P414" t="s">
        <v>317</v>
      </c>
      <c r="Q414" t="s">
        <v>317</v>
      </c>
      <c r="R414">
        <v>2</v>
      </c>
      <c r="S414">
        <v>0.6421232876712329</v>
      </c>
      <c r="T414">
        <v>105</v>
      </c>
      <c r="U414">
        <v>0.758</v>
      </c>
      <c r="V414">
        <v>1.1458</v>
      </c>
      <c r="W414">
        <v>5.84</v>
      </c>
      <c r="X414">
        <v>3.75</v>
      </c>
      <c r="Y414">
        <v>-0.415991</v>
      </c>
      <c r="Z414">
        <v>0.5634517766497462</v>
      </c>
      <c r="AA414">
        <v>0.24212271973466</v>
      </c>
      <c r="AB414">
        <v>0.3501655629139073</v>
      </c>
      <c r="AC414">
        <v>0.6903973509933775</v>
      </c>
      <c r="AD414">
        <v>0.6357615894039735</v>
      </c>
    </row>
    <row r="415" spans="1:30">
      <c r="A415" s="1" t="s">
        <v>422</v>
      </c>
      <c r="B415">
        <f>HYPERLINK("https://www.suredividend.com/sure-analysis-AXS/","AXIS Capital Holdings Ltd.")</f>
        <v>0</v>
      </c>
      <c r="C415">
        <v>37.8</v>
      </c>
      <c r="D415">
        <v>3062.54634</v>
      </c>
      <c r="E415" t="s">
        <v>644</v>
      </c>
      <c r="F415" t="s">
        <v>613</v>
      </c>
      <c r="G415" t="s">
        <v>661</v>
      </c>
      <c r="H415" t="s">
        <v>682</v>
      </c>
      <c r="I415" t="s">
        <v>1095</v>
      </c>
      <c r="J415" t="s">
        <v>1277</v>
      </c>
      <c r="K415">
        <v>43956</v>
      </c>
      <c r="L415">
        <v>0.04459124690338501</v>
      </c>
      <c r="M415">
        <v>0.04453070645597657</v>
      </c>
      <c r="N415">
        <v>0.05</v>
      </c>
      <c r="O415">
        <v>0.1295049650258036</v>
      </c>
      <c r="P415" t="s">
        <v>317</v>
      </c>
      <c r="Q415" t="s">
        <v>317</v>
      </c>
      <c r="R415">
        <v>18</v>
      </c>
      <c r="S415">
        <v>1.2</v>
      </c>
      <c r="T415">
        <v>47</v>
      </c>
      <c r="U415">
        <v>0.8042553191489361</v>
      </c>
      <c r="V415">
        <v>-0.0097</v>
      </c>
      <c r="W415">
        <v>1.35</v>
      </c>
      <c r="X415">
        <v>1.62</v>
      </c>
      <c r="Y415">
        <v>-0.364082</v>
      </c>
      <c r="Z415">
        <v>0.5313028764805414</v>
      </c>
      <c r="AA415">
        <v>0.3018242122719734</v>
      </c>
      <c r="AB415">
        <v>0.5033112582781457</v>
      </c>
      <c r="AC415">
        <v>0.6341059602649007</v>
      </c>
      <c r="AD415">
        <v>0.6225165562913907</v>
      </c>
    </row>
    <row r="416" spans="1:30">
      <c r="A416" s="1" t="s">
        <v>423</v>
      </c>
      <c r="B416">
        <f>HYPERLINK("https://www.suredividend.com/sure-analysis-DTEGY/","Deutsche Telekom AG")</f>
        <v>0</v>
      </c>
      <c r="C416">
        <v>13.83</v>
      </c>
      <c r="D416">
        <v>65588.2218</v>
      </c>
      <c r="E416" t="s">
        <v>648</v>
      </c>
      <c r="F416" t="s">
        <v>613</v>
      </c>
      <c r="G416" t="s">
        <v>659</v>
      </c>
      <c r="H416" t="s">
        <v>684</v>
      </c>
      <c r="I416" t="s">
        <v>1096</v>
      </c>
      <c r="J416" t="s">
        <v>1279</v>
      </c>
      <c r="K416">
        <v>43881</v>
      </c>
      <c r="L416">
        <v>0.032516268980477</v>
      </c>
      <c r="M416">
        <v>0.05412002826408346</v>
      </c>
      <c r="N416">
        <v>0.04</v>
      </c>
      <c r="O416">
        <v>0.1282949566527427</v>
      </c>
      <c r="P416" t="s">
        <v>317</v>
      </c>
      <c r="Q416" t="s">
        <v>317</v>
      </c>
      <c r="R416">
        <v>0</v>
      </c>
      <c r="S416">
        <v>0.37475</v>
      </c>
      <c r="T416">
        <v>18</v>
      </c>
      <c r="U416">
        <v>0.7683333333333333</v>
      </c>
      <c r="V416">
        <v>0.9125000000000001</v>
      </c>
      <c r="W416">
        <v>1.2</v>
      </c>
      <c r="X416">
        <v>0.4497</v>
      </c>
      <c r="Y416">
        <v>-0.166867</v>
      </c>
      <c r="Z416">
        <v>0.3874788494077834</v>
      </c>
      <c r="AA416">
        <v>0.572139303482587</v>
      </c>
      <c r="AB416">
        <v>0.3501655629139073</v>
      </c>
      <c r="AC416">
        <v>0.6754966887417219</v>
      </c>
      <c r="AD416">
        <v>0.6125827814569537</v>
      </c>
    </row>
    <row r="417" spans="1:30">
      <c r="A417" s="1" t="s">
        <v>424</v>
      </c>
      <c r="B417">
        <f>HYPERLINK("https://www.suredividend.com/sure-analysis-STAG/","STAG Industrial, Inc.")</f>
        <v>0</v>
      </c>
      <c r="C417">
        <v>25.4</v>
      </c>
      <c r="D417">
        <v>3809.681515</v>
      </c>
      <c r="E417" t="s">
        <v>648</v>
      </c>
      <c r="F417" t="s">
        <v>614</v>
      </c>
      <c r="G417" t="s">
        <v>653</v>
      </c>
      <c r="H417" t="s">
        <v>682</v>
      </c>
      <c r="I417" t="s">
        <v>1097</v>
      </c>
      <c r="J417" t="s">
        <v>1282</v>
      </c>
      <c r="K417">
        <v>43874</v>
      </c>
      <c r="L417">
        <v>0.05737790232185701</v>
      </c>
      <c r="M417">
        <v>0.02686382908093154</v>
      </c>
      <c r="N417">
        <v>0.06</v>
      </c>
      <c r="O417">
        <v>0.1271819010958155</v>
      </c>
      <c r="P417" t="s">
        <v>317</v>
      </c>
      <c r="Q417" t="s">
        <v>317</v>
      </c>
      <c r="R417">
        <v>9</v>
      </c>
      <c r="S417">
        <v>0.7543684210526316</v>
      </c>
      <c r="T417">
        <v>29</v>
      </c>
      <c r="U417">
        <v>0.8758620689655172</v>
      </c>
      <c r="V417">
        <v>0.7144</v>
      </c>
      <c r="W417">
        <v>1.9</v>
      </c>
      <c r="X417">
        <v>1.4333</v>
      </c>
      <c r="Y417">
        <v>-0.137133</v>
      </c>
      <c r="Z417">
        <v>0.6514382402707275</v>
      </c>
      <c r="AA417">
        <v>0.6086235489220564</v>
      </c>
      <c r="AB417">
        <v>0.6423841059602649</v>
      </c>
      <c r="AC417">
        <v>0.5596026490066225</v>
      </c>
      <c r="AD417">
        <v>0.6092715231788079</v>
      </c>
    </row>
    <row r="418" spans="1:30">
      <c r="A418" s="1" t="s">
        <v>425</v>
      </c>
      <c r="B418">
        <f>HYPERLINK("https://www.suredividend.com/sure-analysis-XRX/","Xerox Holdings Corp.")</f>
        <v>0</v>
      </c>
      <c r="C418">
        <v>17.33</v>
      </c>
      <c r="D418">
        <v>3554.2777</v>
      </c>
      <c r="E418" t="s">
        <v>644</v>
      </c>
      <c r="F418" t="s">
        <v>613</v>
      </c>
      <c r="G418" t="s">
        <v>653</v>
      </c>
      <c r="H418" t="s">
        <v>682</v>
      </c>
      <c r="I418" t="s">
        <v>1098</v>
      </c>
      <c r="J418" t="s">
        <v>1286</v>
      </c>
      <c r="K418">
        <v>43954</v>
      </c>
      <c r="L418">
        <v>0.05988023952095801</v>
      </c>
      <c r="M418">
        <v>0.08451348646386037</v>
      </c>
      <c r="N418">
        <v>0</v>
      </c>
      <c r="O418">
        <v>0.1233436281187004</v>
      </c>
      <c r="P418" t="s">
        <v>317</v>
      </c>
      <c r="Q418" t="s">
        <v>317</v>
      </c>
      <c r="R418">
        <v>0</v>
      </c>
      <c r="S418">
        <v>0.6666666666666666</v>
      </c>
      <c r="T418">
        <v>26</v>
      </c>
      <c r="U418">
        <v>0.6665384615384615</v>
      </c>
      <c r="V418">
        <v>2.6161</v>
      </c>
      <c r="W418">
        <v>1.5</v>
      </c>
      <c r="X418">
        <v>1</v>
      </c>
      <c r="Y418">
        <v>-0.488828</v>
      </c>
      <c r="Z418">
        <v>0.6582064297800337</v>
      </c>
      <c r="AA418">
        <v>0.1641791044776119</v>
      </c>
      <c r="AB418">
        <v>0.02897350993377483</v>
      </c>
      <c r="AC418">
        <v>0.7897350993377483</v>
      </c>
      <c r="AD418">
        <v>0.5910596026490066</v>
      </c>
    </row>
    <row r="419" spans="1:30">
      <c r="A419" s="1" t="s">
        <v>426</v>
      </c>
      <c r="B419">
        <f>HYPERLINK("https://www.suredividend.com/sure-analysis-UBA/","Urstadt Biddle Properties, Inc.")</f>
        <v>0</v>
      </c>
      <c r="C419">
        <v>12.88</v>
      </c>
      <c r="D419">
        <v>502.36494</v>
      </c>
      <c r="E419" t="s">
        <v>649</v>
      </c>
      <c r="F419" t="s">
        <v>614</v>
      </c>
      <c r="G419" t="s">
        <v>653</v>
      </c>
      <c r="H419" t="s">
        <v>682</v>
      </c>
      <c r="I419" t="s">
        <v>1099</v>
      </c>
      <c r="J419" t="s">
        <v>1282</v>
      </c>
      <c r="K419">
        <v>43936</v>
      </c>
      <c r="L419">
        <v>0.08811802232854801</v>
      </c>
      <c r="M419">
        <v>-0.01405411985563831</v>
      </c>
      <c r="N419">
        <v>0.07000000000000001</v>
      </c>
      <c r="O419">
        <v>0.1183250726656682</v>
      </c>
      <c r="P419" t="s">
        <v>317</v>
      </c>
      <c r="Q419" t="s">
        <v>618</v>
      </c>
      <c r="R419">
        <v>25</v>
      </c>
      <c r="S419">
        <v>1.105</v>
      </c>
      <c r="T419">
        <v>12</v>
      </c>
      <c r="U419">
        <v>1.073333333333333</v>
      </c>
      <c r="V419">
        <v>0.554</v>
      </c>
      <c r="W419">
        <v>1</v>
      </c>
      <c r="X419">
        <v>1.105</v>
      </c>
      <c r="Y419">
        <v>-0.442914</v>
      </c>
      <c r="Z419">
        <v>0.817258883248731</v>
      </c>
      <c r="AA419">
        <v>0.208955223880597</v>
      </c>
      <c r="AB419">
        <v>0.7442052980132451</v>
      </c>
      <c r="AC419">
        <v>0.3658940397350993</v>
      </c>
      <c r="AD419">
        <v>0.5711920529801324</v>
      </c>
    </row>
    <row r="420" spans="1:30">
      <c r="A420" s="1" t="s">
        <v>427</v>
      </c>
      <c r="B420">
        <f>HYPERLINK("https://www.suredividend.com/sure-analysis-HTA/","Healthcare Trust of America, Inc.")</f>
        <v>0</v>
      </c>
      <c r="C420">
        <v>24.78</v>
      </c>
      <c r="D420">
        <v>10754.267185</v>
      </c>
      <c r="E420" t="s">
        <v>647</v>
      </c>
      <c r="F420" t="s">
        <v>614</v>
      </c>
      <c r="G420" t="s">
        <v>653</v>
      </c>
      <c r="H420" t="s">
        <v>682</v>
      </c>
      <c r="I420" t="s">
        <v>1100</v>
      </c>
      <c r="J420" t="s">
        <v>1282</v>
      </c>
      <c r="K420">
        <v>43888</v>
      </c>
      <c r="L420">
        <v>0.051203590371277</v>
      </c>
      <c r="M420">
        <v>0.0389723515130509</v>
      </c>
      <c r="N420">
        <v>0.04</v>
      </c>
      <c r="O420">
        <v>0.1172978574421344</v>
      </c>
      <c r="P420" t="s">
        <v>317</v>
      </c>
      <c r="Q420" t="s">
        <v>317</v>
      </c>
      <c r="R420">
        <v>8</v>
      </c>
      <c r="S420">
        <v>0.7339181286549707</v>
      </c>
      <c r="T420">
        <v>30</v>
      </c>
      <c r="U420">
        <v>0.8260000000000001</v>
      </c>
      <c r="V420">
        <v>0.1636</v>
      </c>
      <c r="W420">
        <v>1.71</v>
      </c>
      <c r="X420">
        <v>1.255</v>
      </c>
      <c r="Y420">
        <v>-0.099228</v>
      </c>
      <c r="Z420">
        <v>0.6074450084602369</v>
      </c>
      <c r="AA420">
        <v>0.6567164179104478</v>
      </c>
      <c r="AB420">
        <v>0.3501655629139073</v>
      </c>
      <c r="AC420">
        <v>0.6076158940397351</v>
      </c>
      <c r="AD420">
        <v>0.5562913907284769</v>
      </c>
    </row>
    <row r="421" spans="1:30">
      <c r="A421" s="1" t="s">
        <v>428</v>
      </c>
      <c r="B421">
        <f>HYPERLINK("https://www.suredividend.com/sure-analysis-GLW/","Corning, Inc.")</f>
        <v>0</v>
      </c>
      <c r="C421">
        <v>20.95</v>
      </c>
      <c r="D421">
        <v>15718.89</v>
      </c>
      <c r="E421" t="s">
        <v>641</v>
      </c>
      <c r="F421" t="s">
        <v>613</v>
      </c>
      <c r="G421" t="s">
        <v>653</v>
      </c>
      <c r="H421" t="s">
        <v>682</v>
      </c>
      <c r="I421" t="s">
        <v>1101</v>
      </c>
      <c r="J421" t="s">
        <v>1286</v>
      </c>
      <c r="K421">
        <v>43951</v>
      </c>
      <c r="L421">
        <v>0.039594398841139</v>
      </c>
      <c r="M421">
        <v>0.0188465090666261</v>
      </c>
      <c r="N421">
        <v>0.06</v>
      </c>
      <c r="O421">
        <v>0.1146278358692217</v>
      </c>
      <c r="P421" t="s">
        <v>317</v>
      </c>
      <c r="Q421" t="s">
        <v>523</v>
      </c>
      <c r="R421">
        <v>10</v>
      </c>
      <c r="S421">
        <v>0.8200000000000001</v>
      </c>
      <c r="T421">
        <v>23</v>
      </c>
      <c r="U421">
        <v>0.9108695652173913</v>
      </c>
      <c r="V421">
        <v>0.3435</v>
      </c>
      <c r="W421">
        <v>1</v>
      </c>
      <c r="X421">
        <v>0.8200000000000001</v>
      </c>
      <c r="Y421">
        <v>-0.335366</v>
      </c>
      <c r="Z421">
        <v>0.4737732656514382</v>
      </c>
      <c r="AA421">
        <v>0.3399668325041459</v>
      </c>
      <c r="AB421">
        <v>0.6423841059602649</v>
      </c>
      <c r="AC421">
        <v>0.5215231788079471</v>
      </c>
      <c r="AD421">
        <v>0.5447019867549669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8.609999999999999</v>
      </c>
      <c r="D422">
        <v>13602.344</v>
      </c>
      <c r="E422" t="s">
        <v>651</v>
      </c>
      <c r="F422" t="s">
        <v>613</v>
      </c>
      <c r="G422" t="s">
        <v>655</v>
      </c>
      <c r="H422" t="s">
        <v>682</v>
      </c>
      <c r="I422" t="s">
        <v>1102</v>
      </c>
      <c r="J422" t="s">
        <v>1280</v>
      </c>
      <c r="K422">
        <v>43875</v>
      </c>
      <c r="L422">
        <v>0.04127358490566</v>
      </c>
      <c r="M422">
        <v>-0.01458908809266646</v>
      </c>
      <c r="N422">
        <v>0.08</v>
      </c>
      <c r="O422">
        <v>0.1145582721661507</v>
      </c>
      <c r="P422" t="s">
        <v>317</v>
      </c>
      <c r="Q422" t="s">
        <v>317</v>
      </c>
      <c r="R422">
        <v>36</v>
      </c>
      <c r="S422">
        <v>0.7000000000000001</v>
      </c>
      <c r="T422">
        <v>8</v>
      </c>
      <c r="U422">
        <v>1.07625</v>
      </c>
      <c r="V422">
        <v>0.3143</v>
      </c>
      <c r="W422">
        <v>0.5</v>
      </c>
      <c r="X422">
        <v>0.35</v>
      </c>
      <c r="Y422">
        <v>-0.241503</v>
      </c>
      <c r="Z422">
        <v>0.4923857868020305</v>
      </c>
      <c r="AA422">
        <v>0.4577114427860697</v>
      </c>
      <c r="AB422">
        <v>0.8228476821192053</v>
      </c>
      <c r="AC422">
        <v>0.3642384105960265</v>
      </c>
      <c r="AD422">
        <v>0.543046357615894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16.97</v>
      </c>
      <c r="D423">
        <v>8688.09405</v>
      </c>
      <c r="E423" t="s">
        <v>649</v>
      </c>
      <c r="F423" t="s">
        <v>614</v>
      </c>
      <c r="G423" t="s">
        <v>653</v>
      </c>
      <c r="H423" t="s">
        <v>682</v>
      </c>
      <c r="I423" t="s">
        <v>1103</v>
      </c>
      <c r="J423" t="s">
        <v>1282</v>
      </c>
      <c r="K423">
        <v>43921</v>
      </c>
      <c r="L423">
        <v>0.0625375826819</v>
      </c>
      <c r="M423">
        <v>0.01185465168192157</v>
      </c>
      <c r="N423">
        <v>0.047</v>
      </c>
      <c r="O423">
        <v>0.1116170635198652</v>
      </c>
      <c r="P423" t="s">
        <v>317</v>
      </c>
      <c r="Q423" t="s">
        <v>317</v>
      </c>
      <c r="R423">
        <v>7</v>
      </c>
      <c r="S423">
        <v>0.7123287671232877</v>
      </c>
      <c r="T423">
        <v>18</v>
      </c>
      <c r="U423">
        <v>0.9427777777777777</v>
      </c>
      <c r="V423">
        <v>0.8187000000000001</v>
      </c>
      <c r="W423">
        <v>1.46</v>
      </c>
      <c r="X423">
        <v>1.04</v>
      </c>
      <c r="Y423">
        <v>-0.05725599999999999</v>
      </c>
      <c r="Z423">
        <v>0.6768189509306261</v>
      </c>
      <c r="AA423">
        <v>0.6998341625207297</v>
      </c>
      <c r="AB423">
        <v>0.4370860927152318</v>
      </c>
      <c r="AC423">
        <v>0.4933774834437086</v>
      </c>
      <c r="AD423">
        <v>0.5347682119205298</v>
      </c>
    </row>
    <row r="424" spans="1:30">
      <c r="A424" s="1" t="s">
        <v>431</v>
      </c>
      <c r="B424">
        <f>HYPERLINK("https://www.suredividend.com/sure-analysis-BHP/","BHP Group Ltd.")</f>
        <v>0</v>
      </c>
      <c r="C424">
        <v>40.44</v>
      </c>
      <c r="D424">
        <v>57981.176178</v>
      </c>
      <c r="E424" t="s">
        <v>648</v>
      </c>
      <c r="F424" t="s">
        <v>613</v>
      </c>
      <c r="G424" t="s">
        <v>677</v>
      </c>
      <c r="H424" t="s">
        <v>682</v>
      </c>
      <c r="I424" t="s">
        <v>1104</v>
      </c>
      <c r="J424" t="s">
        <v>1281</v>
      </c>
      <c r="K424">
        <v>43895</v>
      </c>
      <c r="L424">
        <v>0.07262569832402201</v>
      </c>
      <c r="M424">
        <v>0.05558435425863872</v>
      </c>
      <c r="N424">
        <v>0.01</v>
      </c>
      <c r="O424">
        <v>0.1111645439581723</v>
      </c>
      <c r="P424" t="s">
        <v>317</v>
      </c>
      <c r="Q424" t="s">
        <v>371</v>
      </c>
      <c r="R424">
        <v>3</v>
      </c>
      <c r="S424">
        <v>0.7526315789473684</v>
      </c>
      <c r="T424">
        <v>53</v>
      </c>
      <c r="U424">
        <v>0.7630188679245282</v>
      </c>
      <c r="V424">
        <v>3.7318</v>
      </c>
      <c r="W424">
        <v>3.8</v>
      </c>
      <c r="X424">
        <v>2.86</v>
      </c>
      <c r="Y424">
        <v>-0.241087</v>
      </c>
      <c r="Z424">
        <v>0.7326565143824026</v>
      </c>
      <c r="AA424">
        <v>0.4593698175787728</v>
      </c>
      <c r="AB424">
        <v>0.05711920529801325</v>
      </c>
      <c r="AC424">
        <v>0.6804635761589404</v>
      </c>
      <c r="AD424">
        <v>0.5314569536423841</v>
      </c>
    </row>
    <row r="425" spans="1:30">
      <c r="A425" s="1" t="s">
        <v>432</v>
      </c>
      <c r="B425">
        <f>HYPERLINK("https://www.suredividend.com/sure-analysis-COP/","ConocoPhillips")</f>
        <v>0</v>
      </c>
      <c r="C425">
        <v>42.42</v>
      </c>
      <c r="D425">
        <v>43422.6907</v>
      </c>
      <c r="E425" t="s">
        <v>648</v>
      </c>
      <c r="F425" t="s">
        <v>613</v>
      </c>
      <c r="G425" t="s">
        <v>653</v>
      </c>
      <c r="H425" t="s">
        <v>682</v>
      </c>
      <c r="I425" t="s">
        <v>1105</v>
      </c>
      <c r="J425" t="s">
        <v>1285</v>
      </c>
      <c r="K425">
        <v>43866</v>
      </c>
      <c r="L425">
        <v>0.035811311434922</v>
      </c>
      <c r="M425">
        <v>-0.021766375758558</v>
      </c>
      <c r="N425">
        <v>0.1</v>
      </c>
      <c r="O425">
        <v>0.1107624762041635</v>
      </c>
      <c r="P425" t="s">
        <v>317</v>
      </c>
      <c r="Q425" t="s">
        <v>317</v>
      </c>
      <c r="R425">
        <v>4</v>
      </c>
      <c r="S425">
        <v>0.4531249999999999</v>
      </c>
      <c r="T425">
        <v>38</v>
      </c>
      <c r="U425">
        <v>1.116315789473684</v>
      </c>
      <c r="V425">
        <v>3.2137</v>
      </c>
      <c r="W425">
        <v>3.2</v>
      </c>
      <c r="X425">
        <v>1.45</v>
      </c>
      <c r="Y425">
        <v>-0.33623</v>
      </c>
      <c r="Z425">
        <v>0.4247038917089679</v>
      </c>
      <c r="AA425">
        <v>0.3383084577114427</v>
      </c>
      <c r="AB425">
        <v>0.9097682119205298</v>
      </c>
      <c r="AC425">
        <v>0.3261589403973509</v>
      </c>
      <c r="AD425">
        <v>0.5281456953642384</v>
      </c>
    </row>
    <row r="426" spans="1:30">
      <c r="A426" s="1" t="s">
        <v>433</v>
      </c>
      <c r="B426">
        <f>HYPERLINK("https://www.suredividend.com/sure-analysis-DD/","DuPont de Nemours, Inc.")</f>
        <v>0</v>
      </c>
      <c r="C426">
        <v>44.76</v>
      </c>
      <c r="D426">
        <v>32316.3318</v>
      </c>
      <c r="E426" t="s">
        <v>644</v>
      </c>
      <c r="F426" t="s">
        <v>613</v>
      </c>
      <c r="G426" t="s">
        <v>653</v>
      </c>
      <c r="H426" t="s">
        <v>682</v>
      </c>
      <c r="I426" t="s">
        <v>1106</v>
      </c>
      <c r="J426" t="s">
        <v>1281</v>
      </c>
      <c r="K426">
        <v>43957</v>
      </c>
      <c r="L426">
        <v>0.029972752043596</v>
      </c>
      <c r="M426">
        <v>0.01407536360886485</v>
      </c>
      <c r="N426">
        <v>0.07000000000000001</v>
      </c>
      <c r="O426">
        <v>0.1085057644815763</v>
      </c>
      <c r="P426" t="s">
        <v>317</v>
      </c>
      <c r="Q426" t="s">
        <v>523</v>
      </c>
      <c r="R426">
        <v>0</v>
      </c>
      <c r="S426">
        <v>0.44</v>
      </c>
      <c r="T426">
        <v>48</v>
      </c>
      <c r="U426">
        <v>0.9325</v>
      </c>
      <c r="V426">
        <v>-0.8598</v>
      </c>
      <c r="W426">
        <v>3</v>
      </c>
      <c r="X426">
        <v>1.32</v>
      </c>
      <c r="Y426">
        <v>-0.352528</v>
      </c>
      <c r="Z426">
        <v>0.3519458544839255</v>
      </c>
      <c r="AA426">
        <v>0.3167495854063018</v>
      </c>
      <c r="AB426">
        <v>0.7442052980132451</v>
      </c>
      <c r="AC426">
        <v>0.5016556291390729</v>
      </c>
      <c r="AD426">
        <v>0.5165562913907285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45.82</v>
      </c>
      <c r="D427">
        <v>44349.2</v>
      </c>
      <c r="E427" t="s">
        <v>648</v>
      </c>
      <c r="F427" t="s">
        <v>613</v>
      </c>
      <c r="G427" t="s">
        <v>654</v>
      </c>
      <c r="H427" t="s">
        <v>682</v>
      </c>
      <c r="I427" t="s">
        <v>1107</v>
      </c>
      <c r="J427" t="s">
        <v>1285</v>
      </c>
      <c r="K427">
        <v>43878</v>
      </c>
      <c r="L427">
        <v>0.04872556221057901</v>
      </c>
      <c r="M427">
        <v>0.02165206758313198</v>
      </c>
      <c r="N427">
        <v>0.04</v>
      </c>
      <c r="O427">
        <v>0.1079582112965005</v>
      </c>
      <c r="P427" t="s">
        <v>317</v>
      </c>
      <c r="Q427" t="s">
        <v>317</v>
      </c>
      <c r="R427">
        <v>5</v>
      </c>
      <c r="S427">
        <v>0.718397507842225</v>
      </c>
      <c r="T427">
        <v>51</v>
      </c>
      <c r="U427">
        <v>0.8984313725490196</v>
      </c>
      <c r="V427">
        <v>3.3123</v>
      </c>
      <c r="W427">
        <v>3.2</v>
      </c>
      <c r="X427">
        <v>2.29887202509512</v>
      </c>
      <c r="Y427">
        <v>0.012012</v>
      </c>
      <c r="Z427">
        <v>0.5769881556683587</v>
      </c>
      <c r="AA427">
        <v>0.7711442786069652</v>
      </c>
      <c r="AB427">
        <v>0.3501655629139073</v>
      </c>
      <c r="AC427">
        <v>0.5397350993377483</v>
      </c>
      <c r="AD427">
        <v>0.5082781456953642</v>
      </c>
    </row>
    <row r="428" spans="1:30">
      <c r="A428" s="1" t="s">
        <v>435</v>
      </c>
      <c r="B428">
        <f>HYPERLINK("https://www.suredividend.com/sure-analysis-SAN/","Banco Santander SA")</f>
        <v>0</v>
      </c>
      <c r="C428">
        <v>2.07</v>
      </c>
      <c r="D428">
        <v>34049.822629</v>
      </c>
      <c r="E428" t="s">
        <v>644</v>
      </c>
      <c r="F428" t="s">
        <v>613</v>
      </c>
      <c r="G428" t="s">
        <v>662</v>
      </c>
      <c r="H428" t="s">
        <v>682</v>
      </c>
      <c r="I428" t="s">
        <v>1108</v>
      </c>
      <c r="J428" t="s">
        <v>1277</v>
      </c>
      <c r="K428">
        <v>43953</v>
      </c>
      <c r="L428">
        <v>0.054292682926829</v>
      </c>
      <c r="M428">
        <v>0.1043372318790821</v>
      </c>
      <c r="N428">
        <v>0</v>
      </c>
      <c r="O428">
        <v>0.1043372318790821</v>
      </c>
      <c r="P428" t="s">
        <v>317</v>
      </c>
      <c r="Q428" t="s">
        <v>371</v>
      </c>
      <c r="R428">
        <v>0</v>
      </c>
      <c r="S428">
        <v>0.4452</v>
      </c>
      <c r="T428">
        <v>3.4</v>
      </c>
      <c r="U428">
        <v>0.6088235294117647</v>
      </c>
      <c r="V428">
        <v>0.4234</v>
      </c>
      <c r="W428">
        <v>0.25</v>
      </c>
      <c r="X428">
        <v>0.1113</v>
      </c>
      <c r="Y428">
        <v>-0.5629000000000001</v>
      </c>
      <c r="Z428">
        <v>0.6328257191201354</v>
      </c>
      <c r="AA428">
        <v>0.1028192371475954</v>
      </c>
      <c r="AB428">
        <v>0.02897350993377483</v>
      </c>
      <c r="AC428">
        <v>0.8427152317880795</v>
      </c>
      <c r="AD428">
        <v>0.4900662251655629</v>
      </c>
    </row>
    <row r="429" spans="1:30">
      <c r="A429" s="1" t="s">
        <v>436</v>
      </c>
      <c r="B429">
        <f>HYPERLINK("https://www.suredividend.com/sure-analysis-PM/","Philip Morris International, Inc.")</f>
        <v>0</v>
      </c>
      <c r="C429">
        <v>70.14</v>
      </c>
      <c r="D429">
        <v>111334.795</v>
      </c>
      <c r="E429" t="s">
        <v>641</v>
      </c>
      <c r="F429" t="s">
        <v>613</v>
      </c>
      <c r="G429" t="s">
        <v>653</v>
      </c>
      <c r="H429" t="s">
        <v>682</v>
      </c>
      <c r="I429" t="s">
        <v>1109</v>
      </c>
      <c r="J429" t="s">
        <v>1284</v>
      </c>
      <c r="K429">
        <v>43944</v>
      </c>
      <c r="L429">
        <v>0.065034965034965</v>
      </c>
      <c r="M429">
        <v>0.005248299184341221</v>
      </c>
      <c r="N429">
        <v>0.04</v>
      </c>
      <c r="O429">
        <v>0.09951411674371125</v>
      </c>
      <c r="P429" t="s">
        <v>317</v>
      </c>
      <c r="Q429" t="s">
        <v>371</v>
      </c>
      <c r="R429">
        <v>12</v>
      </c>
      <c r="S429">
        <v>0.9687500000000001</v>
      </c>
      <c r="T429">
        <v>72</v>
      </c>
      <c r="U429">
        <v>0.9741666666666666</v>
      </c>
      <c r="V429">
        <v>4.908</v>
      </c>
      <c r="W429">
        <v>4.8</v>
      </c>
      <c r="X429">
        <v>4.65</v>
      </c>
      <c r="Y429">
        <v>-0.153145</v>
      </c>
      <c r="Z429">
        <v>0.6852791878172588</v>
      </c>
      <c r="AA429">
        <v>0.5903814262023217</v>
      </c>
      <c r="AB429">
        <v>0.3501655629139073</v>
      </c>
      <c r="AC429">
        <v>0.4536423841059603</v>
      </c>
      <c r="AD429">
        <v>0.4536423841059603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35.005</v>
      </c>
      <c r="D430">
        <v>33581.1064</v>
      </c>
      <c r="E430" t="s">
        <v>643</v>
      </c>
      <c r="F430" t="s">
        <v>613</v>
      </c>
      <c r="G430" t="s">
        <v>653</v>
      </c>
      <c r="H430" t="s">
        <v>683</v>
      </c>
      <c r="I430" t="s">
        <v>1110</v>
      </c>
      <c r="J430" t="s">
        <v>1287</v>
      </c>
      <c r="K430">
        <v>43887</v>
      </c>
      <c r="L430">
        <v>0.042053364269141</v>
      </c>
      <c r="M430">
        <v>0.0419998938428221</v>
      </c>
      <c r="N430">
        <v>0.02</v>
      </c>
      <c r="O430">
        <v>0.09695181676420495</v>
      </c>
      <c r="P430" t="s">
        <v>317</v>
      </c>
      <c r="Q430" t="s">
        <v>317</v>
      </c>
      <c r="R430">
        <v>5</v>
      </c>
      <c r="S430">
        <v>0.4603174603174603</v>
      </c>
      <c r="T430">
        <v>43</v>
      </c>
      <c r="U430">
        <v>0.8140697674418605</v>
      </c>
      <c r="V430">
        <v>3.0191</v>
      </c>
      <c r="W430">
        <v>3.15</v>
      </c>
      <c r="X430">
        <v>1.45</v>
      </c>
      <c r="Y430">
        <v>-0.297575</v>
      </c>
      <c r="Z430">
        <v>0.505922165820643</v>
      </c>
      <c r="AA430">
        <v>0.3814262023217247</v>
      </c>
      <c r="AB430">
        <v>0.130794701986755</v>
      </c>
      <c r="AC430">
        <v>0.6208609271523179</v>
      </c>
      <c r="AD430">
        <v>0.4403973509933775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267.8</v>
      </c>
      <c r="D431">
        <v>105616.78638</v>
      </c>
      <c r="E431" t="s">
        <v>646</v>
      </c>
      <c r="F431" t="s">
        <v>613</v>
      </c>
      <c r="G431" t="s">
        <v>653</v>
      </c>
      <c r="H431" t="s">
        <v>683</v>
      </c>
      <c r="I431" t="s">
        <v>1111</v>
      </c>
      <c r="J431" t="s">
        <v>1286</v>
      </c>
      <c r="K431">
        <v>43923</v>
      </c>
      <c r="L431">
        <v>0.042395336512983</v>
      </c>
      <c r="M431">
        <v>-0.02331779080783003</v>
      </c>
      <c r="N431">
        <v>0.075</v>
      </c>
      <c r="O431">
        <v>0.09627611102442035</v>
      </c>
      <c r="P431" t="s">
        <v>317</v>
      </c>
      <c r="Q431" t="s">
        <v>317</v>
      </c>
      <c r="R431">
        <v>9</v>
      </c>
      <c r="S431">
        <v>0.5894736842105263</v>
      </c>
      <c r="T431">
        <v>238</v>
      </c>
      <c r="U431">
        <v>1.125210084033613</v>
      </c>
      <c r="V431">
        <v>6.3789</v>
      </c>
      <c r="W431">
        <v>19</v>
      </c>
      <c r="X431">
        <v>11.2</v>
      </c>
      <c r="Y431">
        <v>-0.140291</v>
      </c>
      <c r="Z431">
        <v>0.509306260575296</v>
      </c>
      <c r="AA431">
        <v>0.6036484245439468</v>
      </c>
      <c r="AB431">
        <v>0.7839403973509934</v>
      </c>
      <c r="AC431">
        <v>0.3129139072847682</v>
      </c>
      <c r="AD431">
        <v>0.4370860927152318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13.55</v>
      </c>
      <c r="D432">
        <v>892.51045</v>
      </c>
      <c r="E432" t="s">
        <v>642</v>
      </c>
      <c r="F432" t="s">
        <v>613</v>
      </c>
      <c r="G432" t="s">
        <v>653</v>
      </c>
      <c r="H432" t="s">
        <v>682</v>
      </c>
      <c r="I432" t="s">
        <v>1112</v>
      </c>
      <c r="J432" t="s">
        <v>1277</v>
      </c>
      <c r="K432">
        <v>43901</v>
      </c>
      <c r="L432">
        <v>0.074682598954443</v>
      </c>
      <c r="M432">
        <v>0.04641010578791693</v>
      </c>
      <c r="N432">
        <v>-0.01</v>
      </c>
      <c r="O432">
        <v>0.09330997076562642</v>
      </c>
      <c r="P432" t="s">
        <v>317</v>
      </c>
      <c r="Q432" t="s">
        <v>371</v>
      </c>
      <c r="R432">
        <v>0</v>
      </c>
      <c r="S432">
        <v>0.591715976331361</v>
      </c>
      <c r="T432">
        <v>17</v>
      </c>
      <c r="U432">
        <v>0.7970588235294118</v>
      </c>
      <c r="V432">
        <v>1.464</v>
      </c>
      <c r="W432">
        <v>1.69</v>
      </c>
      <c r="X432">
        <v>1</v>
      </c>
      <c r="Y432">
        <v>-0.262665</v>
      </c>
      <c r="Z432">
        <v>0.7546531302876481</v>
      </c>
      <c r="AA432">
        <v>0.4295190713101161</v>
      </c>
      <c r="AB432">
        <v>0.01241721854304636</v>
      </c>
      <c r="AC432">
        <v>0.6423841059602649</v>
      </c>
      <c r="AD432">
        <v>0.4238410596026491</v>
      </c>
    </row>
    <row r="433" spans="1:30">
      <c r="A433" s="1" t="s">
        <v>440</v>
      </c>
      <c r="B433">
        <f>HYPERLINK("https://www.suredividend.com/sure-analysis-TCP/","TC Pipelines LP")</f>
        <v>0</v>
      </c>
      <c r="C433">
        <v>32.04</v>
      </c>
      <c r="D433">
        <v>2427.51096</v>
      </c>
      <c r="E433" t="s">
        <v>648</v>
      </c>
      <c r="F433" t="s">
        <v>615</v>
      </c>
      <c r="G433" t="s">
        <v>653</v>
      </c>
      <c r="H433" t="s">
        <v>682</v>
      </c>
      <c r="I433" t="s">
        <v>1113</v>
      </c>
      <c r="J433" t="s">
        <v>1285</v>
      </c>
      <c r="K433">
        <v>43888</v>
      </c>
      <c r="L433">
        <v>0.078407720144752</v>
      </c>
      <c r="M433">
        <v>0.005921953700375626</v>
      </c>
      <c r="N433">
        <v>0.02</v>
      </c>
      <c r="O433">
        <v>0.09321456401250972</v>
      </c>
      <c r="P433" t="s">
        <v>317</v>
      </c>
      <c r="Q433" t="s">
        <v>371</v>
      </c>
      <c r="R433">
        <v>0</v>
      </c>
      <c r="S433">
        <v>0.5531914893617021</v>
      </c>
      <c r="T433">
        <v>33</v>
      </c>
      <c r="U433">
        <v>0.9709090909090908</v>
      </c>
      <c r="V433">
        <v>3.7447</v>
      </c>
      <c r="W433">
        <v>4.7</v>
      </c>
      <c r="X433">
        <v>2.6</v>
      </c>
      <c r="Y433">
        <v>-0.06221699999999999</v>
      </c>
      <c r="Z433">
        <v>0.7766497461928934</v>
      </c>
      <c r="AA433">
        <v>0.693200663349917</v>
      </c>
      <c r="AB433">
        <v>0.130794701986755</v>
      </c>
      <c r="AC433">
        <v>0.466887417218543</v>
      </c>
      <c r="AD433">
        <v>0.4221854304635762</v>
      </c>
    </row>
    <row r="434" spans="1:30">
      <c r="A434" s="1" t="s">
        <v>441</v>
      </c>
      <c r="B434">
        <f>HYPERLINK("https://www.suredividend.com/sure-analysis-STX/","Seagate Technology Plc")</f>
        <v>0</v>
      </c>
      <c r="C434">
        <v>48.71</v>
      </c>
      <c r="D434">
        <v>12194.82</v>
      </c>
      <c r="E434" t="s">
        <v>646</v>
      </c>
      <c r="F434" t="s">
        <v>613</v>
      </c>
      <c r="G434" t="s">
        <v>658</v>
      </c>
      <c r="H434" t="s">
        <v>683</v>
      </c>
      <c r="I434" t="s">
        <v>1114</v>
      </c>
      <c r="J434" t="s">
        <v>1286</v>
      </c>
      <c r="K434">
        <v>43867</v>
      </c>
      <c r="L434">
        <v>0.053872053872053</v>
      </c>
      <c r="M434">
        <v>0.00923059859687636</v>
      </c>
      <c r="N434">
        <v>0.04</v>
      </c>
      <c r="O434">
        <v>0.0931988692995509</v>
      </c>
      <c r="P434" t="s">
        <v>317</v>
      </c>
      <c r="Q434" t="s">
        <v>371</v>
      </c>
      <c r="R434">
        <v>1</v>
      </c>
      <c r="S434">
        <v>0.5019607843137255</v>
      </c>
      <c r="T434">
        <v>51</v>
      </c>
      <c r="U434">
        <v>0.9550980392156863</v>
      </c>
      <c r="V434">
        <v>6.7662</v>
      </c>
      <c r="W434">
        <v>5.1</v>
      </c>
      <c r="X434">
        <v>2.56</v>
      </c>
      <c r="Y434">
        <v>-0.021417</v>
      </c>
      <c r="Z434">
        <v>0.6294416243654822</v>
      </c>
      <c r="AA434">
        <v>0.7330016583747927</v>
      </c>
      <c r="AB434">
        <v>0.3501655629139073</v>
      </c>
      <c r="AC434">
        <v>0.4834437086092715</v>
      </c>
      <c r="AD434">
        <v>0.4205298013245033</v>
      </c>
    </row>
    <row r="435" spans="1:30">
      <c r="A435" s="1" t="s">
        <v>442</v>
      </c>
      <c r="B435">
        <f>HYPERLINK("https://www.suredividend.com/sure-analysis-DDAIF/","Daimler AG")</f>
        <v>0</v>
      </c>
      <c r="C435">
        <v>32.08</v>
      </c>
      <c r="D435">
        <v>34320.4672</v>
      </c>
      <c r="E435" t="s">
        <v>646</v>
      </c>
      <c r="F435" t="s">
        <v>613</v>
      </c>
      <c r="G435" t="s">
        <v>659</v>
      </c>
      <c r="H435" t="s">
        <v>684</v>
      </c>
      <c r="I435" t="s">
        <v>1115</v>
      </c>
      <c r="J435" t="s">
        <v>1280</v>
      </c>
      <c r="K435">
        <v>43878</v>
      </c>
      <c r="L435">
        <v>0.101309226932668</v>
      </c>
      <c r="M435">
        <v>0.01169338764536887</v>
      </c>
      <c r="N435">
        <v>0.05</v>
      </c>
      <c r="O435">
        <v>0.09212890253796657</v>
      </c>
      <c r="P435" t="s">
        <v>317</v>
      </c>
      <c r="Q435" t="s">
        <v>371</v>
      </c>
      <c r="R435">
        <v>0</v>
      </c>
      <c r="S435">
        <v>0.7222222222222222</v>
      </c>
      <c r="T435">
        <v>34</v>
      </c>
      <c r="U435">
        <v>0.9435294117647058</v>
      </c>
      <c r="V435">
        <v>0.3756</v>
      </c>
      <c r="W435">
        <v>4.5</v>
      </c>
      <c r="X435">
        <v>3.25</v>
      </c>
      <c r="Y435">
        <v>-0.490145</v>
      </c>
      <c r="Z435">
        <v>0.8460236886632826</v>
      </c>
      <c r="AA435">
        <v>0.1625207296849088</v>
      </c>
      <c r="AB435">
        <v>0.5033112582781457</v>
      </c>
      <c r="AC435">
        <v>0.4900662251655629</v>
      </c>
      <c r="AD435">
        <v>0.4155629139072847</v>
      </c>
    </row>
    <row r="436" spans="1:30">
      <c r="A436" s="1" t="s">
        <v>443</v>
      </c>
      <c r="B436">
        <f>HYPERLINK("https://www.suredividend.com/sure-analysis-PKX/","POSCO")</f>
        <v>0</v>
      </c>
      <c r="C436">
        <v>36.9</v>
      </c>
      <c r="D436">
        <v>11648.809112</v>
      </c>
      <c r="E436" t="s">
        <v>644</v>
      </c>
      <c r="F436" t="s">
        <v>613</v>
      </c>
      <c r="G436" t="s">
        <v>670</v>
      </c>
      <c r="H436" t="s">
        <v>682</v>
      </c>
      <c r="I436" t="s">
        <v>1116</v>
      </c>
      <c r="J436" t="s">
        <v>1281</v>
      </c>
      <c r="K436">
        <v>43872</v>
      </c>
      <c r="L436">
        <v>0.04530398899587301</v>
      </c>
      <c r="M436">
        <v>0.02622971294454834</v>
      </c>
      <c r="N436">
        <v>0.02</v>
      </c>
      <c r="O436">
        <v>0.09181371927766002</v>
      </c>
      <c r="P436" t="s">
        <v>317</v>
      </c>
      <c r="Q436" t="s">
        <v>371</v>
      </c>
      <c r="R436">
        <v>0</v>
      </c>
      <c r="S436">
        <v>0.2744666666666667</v>
      </c>
      <c r="T436">
        <v>42</v>
      </c>
      <c r="U436">
        <v>0.8785714285714286</v>
      </c>
      <c r="V436">
        <v>4.9347</v>
      </c>
      <c r="W436">
        <v>6</v>
      </c>
      <c r="X436">
        <v>1.6468</v>
      </c>
      <c r="Y436">
        <v>-0.310508</v>
      </c>
      <c r="Z436">
        <v>0.5431472081218274</v>
      </c>
      <c r="AA436">
        <v>0.3665008291873963</v>
      </c>
      <c r="AB436">
        <v>0.130794701986755</v>
      </c>
      <c r="AC436">
        <v>0.5579470198675497</v>
      </c>
      <c r="AD436">
        <v>0.4139072847682119</v>
      </c>
    </row>
    <row r="437" spans="1:30">
      <c r="A437" s="1" t="s">
        <v>444</v>
      </c>
      <c r="B437">
        <f>HYPERLINK("https://www.suredividend.com/sure-analysis-GSK/","GlaxoSmithKline Plc")</f>
        <v>0</v>
      </c>
      <c r="C437">
        <v>41.7</v>
      </c>
      <c r="D437">
        <v>105565.405671</v>
      </c>
      <c r="E437" t="s">
        <v>643</v>
      </c>
      <c r="F437" t="s">
        <v>613</v>
      </c>
      <c r="G437" t="s">
        <v>655</v>
      </c>
      <c r="H437" t="s">
        <v>682</v>
      </c>
      <c r="I437" t="s">
        <v>1117</v>
      </c>
      <c r="J437" t="s">
        <v>1283</v>
      </c>
      <c r="K437">
        <v>43951</v>
      </c>
      <c r="L437">
        <v>0.04634694503420601</v>
      </c>
      <c r="M437">
        <v>0.01982195030735623</v>
      </c>
      <c r="N437">
        <v>0.03</v>
      </c>
      <c r="O437">
        <v>0.09104227537911158</v>
      </c>
      <c r="P437" t="s">
        <v>317</v>
      </c>
      <c r="Q437" t="s">
        <v>317</v>
      </c>
      <c r="R437">
        <v>0</v>
      </c>
      <c r="S437">
        <v>0.6420415032679738</v>
      </c>
      <c r="T437">
        <v>46</v>
      </c>
      <c r="U437">
        <v>0.9065217391304349</v>
      </c>
      <c r="V437">
        <v>2.3865</v>
      </c>
      <c r="W437">
        <v>3.06</v>
      </c>
      <c r="X437">
        <v>1.964647</v>
      </c>
      <c r="Y437">
        <v>0.070725</v>
      </c>
      <c r="Z437">
        <v>0.5566835871404399</v>
      </c>
      <c r="AA437">
        <v>0.8291873963515755</v>
      </c>
      <c r="AB437">
        <v>0.2185430463576159</v>
      </c>
      <c r="AC437">
        <v>0.5281456953642384</v>
      </c>
      <c r="AD437">
        <v>0.4039735099337748</v>
      </c>
    </row>
    <row r="438" spans="1:30">
      <c r="A438" s="1" t="s">
        <v>445</v>
      </c>
      <c r="B438">
        <f>HYPERLINK("https://www.suredividend.com/sure-analysis-TT/","Trane Technologies Plc")</f>
        <v>0</v>
      </c>
      <c r="C438">
        <v>81.03</v>
      </c>
      <c r="D438">
        <v>19093.58256</v>
      </c>
      <c r="E438" t="s">
        <v>641</v>
      </c>
      <c r="F438" t="s">
        <v>613</v>
      </c>
      <c r="G438" t="s">
        <v>658</v>
      </c>
      <c r="H438" t="s">
        <v>682</v>
      </c>
      <c r="I438" t="s">
        <v>1118</v>
      </c>
      <c r="J438" t="s">
        <v>1278</v>
      </c>
      <c r="K438">
        <v>43901</v>
      </c>
      <c r="L438">
        <v>0.026559759458782</v>
      </c>
      <c r="M438">
        <v>-0.00255529402367527</v>
      </c>
      <c r="N438">
        <v>0.07000000000000001</v>
      </c>
      <c r="O438">
        <v>0.09093824250985172</v>
      </c>
      <c r="P438" t="s">
        <v>317</v>
      </c>
      <c r="Q438" t="s">
        <v>523</v>
      </c>
      <c r="R438">
        <v>9</v>
      </c>
      <c r="S438">
        <v>0.424</v>
      </c>
      <c r="T438">
        <v>80</v>
      </c>
      <c r="U438">
        <v>1.012875</v>
      </c>
      <c r="V438">
        <v>4.9028</v>
      </c>
      <c r="W438">
        <v>5</v>
      </c>
      <c r="X438">
        <v>2.12</v>
      </c>
      <c r="Y438">
        <v>-0.156634</v>
      </c>
      <c r="Z438">
        <v>0.3147208121827411</v>
      </c>
      <c r="AA438">
        <v>0.5870646766169154</v>
      </c>
      <c r="AB438">
        <v>0.7442052980132451</v>
      </c>
      <c r="AC438">
        <v>0.4105960264900662</v>
      </c>
      <c r="AD438">
        <v>0.402317880794702</v>
      </c>
    </row>
    <row r="439" spans="1:30">
      <c r="A439" s="1" t="s">
        <v>446</v>
      </c>
      <c r="B439">
        <f>HYPERLINK("https://www.suredividend.com/sure-analysis-SBUX/","Starbucks Corp.")</f>
        <v>0</v>
      </c>
      <c r="C439">
        <v>75.925</v>
      </c>
      <c r="D439">
        <v>85224.576</v>
      </c>
      <c r="E439" t="s">
        <v>641</v>
      </c>
      <c r="F439" t="s">
        <v>613</v>
      </c>
      <c r="G439" t="s">
        <v>653</v>
      </c>
      <c r="H439" t="s">
        <v>683</v>
      </c>
      <c r="I439" t="s">
        <v>1119</v>
      </c>
      <c r="J439" t="s">
        <v>1280</v>
      </c>
      <c r="K439">
        <v>43951</v>
      </c>
      <c r="L439">
        <v>0.02110745614035</v>
      </c>
      <c r="M439">
        <v>-0.0276293828011237</v>
      </c>
      <c r="N439">
        <v>0.1</v>
      </c>
      <c r="O439">
        <v>0.08969784098282307</v>
      </c>
      <c r="P439" t="s">
        <v>317</v>
      </c>
      <c r="Q439" t="s">
        <v>523</v>
      </c>
      <c r="R439">
        <v>10</v>
      </c>
      <c r="S439">
        <v>0.88</v>
      </c>
      <c r="T439">
        <v>66</v>
      </c>
      <c r="U439">
        <v>1.150378787878788</v>
      </c>
      <c r="V439">
        <v>2.8384</v>
      </c>
      <c r="W439">
        <v>1.75</v>
      </c>
      <c r="X439">
        <v>1.54</v>
      </c>
      <c r="Y439">
        <v>-0.064135</v>
      </c>
      <c r="Z439">
        <v>0.2115059221658206</v>
      </c>
      <c r="AA439">
        <v>0.691542288557214</v>
      </c>
      <c r="AB439">
        <v>0.9097682119205298</v>
      </c>
      <c r="AC439">
        <v>0.2847682119205298</v>
      </c>
      <c r="AD439">
        <v>0.3940397350993378</v>
      </c>
    </row>
    <row r="440" spans="1:30">
      <c r="A440" s="1" t="s">
        <v>447</v>
      </c>
      <c r="B440">
        <f>HYPERLINK("https://www.suredividend.com/sure-analysis-KHC/","The Kraft Heinz Co.")</f>
        <v>0</v>
      </c>
      <c r="C440">
        <v>28.84</v>
      </c>
      <c r="D440">
        <v>35921.802</v>
      </c>
      <c r="E440" t="s">
        <v>646</v>
      </c>
      <c r="F440" t="s">
        <v>613</v>
      </c>
      <c r="G440" t="s">
        <v>653</v>
      </c>
      <c r="H440" t="s">
        <v>683</v>
      </c>
      <c r="I440" t="s">
        <v>1120</v>
      </c>
      <c r="J440" t="s">
        <v>1284</v>
      </c>
      <c r="K440">
        <v>43881</v>
      </c>
      <c r="L440">
        <v>0.05442176870748301</v>
      </c>
      <c r="M440">
        <v>0.01454960836569974</v>
      </c>
      <c r="N440">
        <v>0.03</v>
      </c>
      <c r="O440">
        <v>0.08784747980439578</v>
      </c>
      <c r="P440" t="s">
        <v>317</v>
      </c>
      <c r="Q440" t="s">
        <v>317</v>
      </c>
      <c r="R440">
        <v>0</v>
      </c>
      <c r="S440">
        <v>0.6808510638297872</v>
      </c>
      <c r="T440">
        <v>31</v>
      </c>
      <c r="U440">
        <v>0.9303225806451613</v>
      </c>
      <c r="V440">
        <v>1.5627</v>
      </c>
      <c r="W440">
        <v>2.35</v>
      </c>
      <c r="X440">
        <v>1.6</v>
      </c>
      <c r="Y440">
        <v>-0.095385</v>
      </c>
      <c r="Z440">
        <v>0.6345177664974619</v>
      </c>
      <c r="AA440">
        <v>0.6583747927031509</v>
      </c>
      <c r="AB440">
        <v>0.2185430463576159</v>
      </c>
      <c r="AC440">
        <v>0.5066225165562914</v>
      </c>
      <c r="AD440">
        <v>0.3824503311258278</v>
      </c>
    </row>
    <row r="441" spans="1:30">
      <c r="A441" s="1" t="s">
        <v>448</v>
      </c>
      <c r="B441">
        <f>HYPERLINK("https://www.suredividend.com/sure-analysis-TS/","Tenaris SA")</f>
        <v>0</v>
      </c>
      <c r="C441">
        <v>13.23</v>
      </c>
      <c r="D441">
        <v>7614.462554</v>
      </c>
      <c r="E441" t="s">
        <v>644</v>
      </c>
      <c r="F441" t="s">
        <v>613</v>
      </c>
      <c r="G441" t="s">
        <v>667</v>
      </c>
      <c r="H441" t="s">
        <v>682</v>
      </c>
      <c r="I441" t="s">
        <v>1121</v>
      </c>
      <c r="J441" t="s">
        <v>1285</v>
      </c>
      <c r="K441">
        <v>43951</v>
      </c>
      <c r="L441">
        <v>0.015361240310077</v>
      </c>
      <c r="M441">
        <v>0.01137831645760157</v>
      </c>
      <c r="N441">
        <v>0.06</v>
      </c>
      <c r="O441">
        <v>0.08545536105180429</v>
      </c>
      <c r="P441" t="s">
        <v>317</v>
      </c>
      <c r="Q441" t="s">
        <v>523</v>
      </c>
      <c r="R441">
        <v>0</v>
      </c>
      <c r="S441">
        <v>0.4954</v>
      </c>
      <c r="T441">
        <v>14</v>
      </c>
      <c r="U441">
        <v>0.9450000000000001</v>
      </c>
      <c r="V441">
        <v>0.2601</v>
      </c>
      <c r="W441">
        <v>0.4</v>
      </c>
      <c r="X441">
        <v>0.19816</v>
      </c>
      <c r="Y441">
        <v>-0.5122869999999999</v>
      </c>
      <c r="Z441">
        <v>0.116751269035533</v>
      </c>
      <c r="AA441">
        <v>0.142620232172471</v>
      </c>
      <c r="AB441">
        <v>0.6423841059602649</v>
      </c>
      <c r="AC441">
        <v>0.4884105960264901</v>
      </c>
      <c r="AD441">
        <v>0.3625827814569537</v>
      </c>
    </row>
    <row r="442" spans="1:30">
      <c r="A442" s="1" t="s">
        <v>449</v>
      </c>
      <c r="B442">
        <f>HYPERLINK("https://www.suredividend.com/sure-analysis-HRB/","H&amp;R Block, Inc.")</f>
        <v>0</v>
      </c>
      <c r="C442">
        <v>15.6</v>
      </c>
      <c r="D442">
        <v>2991.0615</v>
      </c>
      <c r="E442" t="s">
        <v>649</v>
      </c>
      <c r="F442" t="s">
        <v>613</v>
      </c>
      <c r="G442" t="s">
        <v>653</v>
      </c>
      <c r="H442" t="s">
        <v>682</v>
      </c>
      <c r="I442" t="s">
        <v>1122</v>
      </c>
      <c r="J442" t="s">
        <v>1280</v>
      </c>
      <c r="K442">
        <v>43937</v>
      </c>
      <c r="L442">
        <v>0.06692406692406601</v>
      </c>
      <c r="M442">
        <v>-0.1041741667038044</v>
      </c>
      <c r="N442">
        <v>0.149</v>
      </c>
      <c r="O442">
        <v>0.08541856407182213</v>
      </c>
      <c r="P442" t="s">
        <v>317</v>
      </c>
      <c r="Q442" t="s">
        <v>371</v>
      </c>
      <c r="R442">
        <v>5</v>
      </c>
      <c r="S442">
        <v>1.04</v>
      </c>
      <c r="T442">
        <v>9</v>
      </c>
      <c r="U442">
        <v>1.733333333333333</v>
      </c>
      <c r="V442">
        <v>1.9653</v>
      </c>
      <c r="W442">
        <v>1</v>
      </c>
      <c r="X442">
        <v>1.04</v>
      </c>
      <c r="Y442">
        <v>-0.421229</v>
      </c>
      <c r="Z442">
        <v>0.6937394247038917</v>
      </c>
      <c r="AA442">
        <v>0.2371475953565506</v>
      </c>
      <c r="AB442">
        <v>0.9552980132450331</v>
      </c>
      <c r="AC442">
        <v>0.05298013245033113</v>
      </c>
      <c r="AD442">
        <v>0.3609271523178808</v>
      </c>
    </row>
    <row r="443" spans="1:30">
      <c r="A443" s="1" t="s">
        <v>450</v>
      </c>
      <c r="B443">
        <f>HYPERLINK("https://www.suredividend.com/sure-analysis-CBRL/","Cracker Barrel Old Country Store, Inc.")</f>
        <v>0</v>
      </c>
      <c r="C443">
        <v>86.95</v>
      </c>
      <c r="D443">
        <v>2002.83195</v>
      </c>
      <c r="E443" t="s">
        <v>649</v>
      </c>
      <c r="F443" t="s">
        <v>613</v>
      </c>
      <c r="G443" t="s">
        <v>653</v>
      </c>
      <c r="H443" t="s">
        <v>683</v>
      </c>
      <c r="I443" t="s">
        <v>1123</v>
      </c>
      <c r="J443" t="s">
        <v>1280</v>
      </c>
      <c r="K443">
        <v>43916</v>
      </c>
      <c r="L443">
        <v>0.06156604901374701</v>
      </c>
      <c r="M443">
        <v>-0.09770873824783199</v>
      </c>
      <c r="N443">
        <v>0.151</v>
      </c>
      <c r="O443">
        <v>0.08496631562312329</v>
      </c>
      <c r="P443" t="s">
        <v>317</v>
      </c>
      <c r="Q443" t="s">
        <v>371</v>
      </c>
      <c r="R443">
        <v>17</v>
      </c>
      <c r="S443">
        <v>0.9903846153846154</v>
      </c>
      <c r="T443">
        <v>52</v>
      </c>
      <c r="U443">
        <v>1.672115384615385</v>
      </c>
      <c r="V443">
        <v>9.1533</v>
      </c>
      <c r="W443">
        <v>5.2</v>
      </c>
      <c r="X443">
        <v>5.15</v>
      </c>
      <c r="Y443">
        <v>-0.502113</v>
      </c>
      <c r="Z443">
        <v>0.6649746192893402</v>
      </c>
      <c r="AA443">
        <v>0.1459369817578773</v>
      </c>
      <c r="AB443">
        <v>0.9685430463576159</v>
      </c>
      <c r="AC443">
        <v>0.06125827814569536</v>
      </c>
      <c r="AD443">
        <v>0.3576158940397351</v>
      </c>
    </row>
    <row r="444" spans="1:30">
      <c r="A444" s="1" t="s">
        <v>451</v>
      </c>
      <c r="B444">
        <f>HYPERLINK("https://www.suredividend.com/sure-analysis-DOC/","Physicians Realty Trust")</f>
        <v>0</v>
      </c>
      <c r="C444">
        <v>15.38</v>
      </c>
      <c r="D444">
        <v>2991.76689</v>
      </c>
      <c r="E444" t="s">
        <v>643</v>
      </c>
      <c r="F444" t="s">
        <v>614</v>
      </c>
      <c r="G444" t="s">
        <v>653</v>
      </c>
      <c r="H444" t="s">
        <v>682</v>
      </c>
      <c r="I444" t="s">
        <v>1124</v>
      </c>
      <c r="J444" t="s">
        <v>1282</v>
      </c>
      <c r="K444">
        <v>43895</v>
      </c>
      <c r="L444">
        <v>0.06228842247799501</v>
      </c>
      <c r="M444">
        <v>0.02023100382782617</v>
      </c>
      <c r="N444">
        <v>0.017</v>
      </c>
      <c r="O444">
        <v>0.08470644889422596</v>
      </c>
      <c r="P444" t="s">
        <v>317</v>
      </c>
      <c r="Q444" t="s">
        <v>371</v>
      </c>
      <c r="R444">
        <v>0</v>
      </c>
      <c r="S444">
        <v>0.8363636363636363</v>
      </c>
      <c r="T444">
        <v>17</v>
      </c>
      <c r="U444">
        <v>0.9047058823529412</v>
      </c>
      <c r="V444">
        <v>0.3918</v>
      </c>
      <c r="W444">
        <v>1.1</v>
      </c>
      <c r="X444">
        <v>0.92</v>
      </c>
      <c r="Y444">
        <v>-0.170225</v>
      </c>
      <c r="Z444">
        <v>0.6683587140439933</v>
      </c>
      <c r="AA444">
        <v>0.5671641791044776</v>
      </c>
      <c r="AB444">
        <v>0.08526490066225165</v>
      </c>
      <c r="AC444">
        <v>0.5331125827814569</v>
      </c>
      <c r="AD444">
        <v>0.3559602649006622</v>
      </c>
    </row>
    <row r="445" spans="1:30">
      <c r="A445" s="1" t="s">
        <v>452</v>
      </c>
      <c r="B445">
        <f>HYPERLINK("https://www.suredividend.com/sure-analysis-LAMR/","Lamar Advertising Co.")</f>
        <v>0</v>
      </c>
      <c r="C445">
        <v>63.35</v>
      </c>
      <c r="D445">
        <v>5386.603405</v>
      </c>
      <c r="E445" t="s">
        <v>649</v>
      </c>
      <c r="F445" t="s">
        <v>614</v>
      </c>
      <c r="G445" t="s">
        <v>653</v>
      </c>
      <c r="H445" t="s">
        <v>683</v>
      </c>
      <c r="I445" t="s">
        <v>1125</v>
      </c>
      <c r="J445" t="s">
        <v>1282</v>
      </c>
      <c r="K445">
        <v>43921</v>
      </c>
      <c r="L445">
        <v>0.07165515954469101</v>
      </c>
      <c r="M445">
        <v>-0.01080724643139075</v>
      </c>
      <c r="N445">
        <v>0.046</v>
      </c>
      <c r="O445">
        <v>0.08401960576622791</v>
      </c>
      <c r="P445" t="s">
        <v>317</v>
      </c>
      <c r="Q445" t="s">
        <v>371</v>
      </c>
      <c r="R445">
        <v>4</v>
      </c>
      <c r="S445">
        <v>0.768</v>
      </c>
      <c r="T445">
        <v>60</v>
      </c>
      <c r="U445">
        <v>1.055833333333333</v>
      </c>
      <c r="V445">
        <v>3.7108</v>
      </c>
      <c r="W445">
        <v>5</v>
      </c>
      <c r="X445">
        <v>3.84</v>
      </c>
      <c r="Y445">
        <v>-0.337577</v>
      </c>
      <c r="Z445">
        <v>0.7258883248730964</v>
      </c>
      <c r="AA445">
        <v>0.3366500829187397</v>
      </c>
      <c r="AB445">
        <v>0.4312913907284768</v>
      </c>
      <c r="AC445">
        <v>0.380794701986755</v>
      </c>
      <c r="AD445">
        <v>0.3460264900662252</v>
      </c>
    </row>
    <row r="446" spans="1:30">
      <c r="A446" s="1" t="s">
        <v>453</v>
      </c>
      <c r="B446">
        <f>HYPERLINK("https://www.suredividend.com/sure-analysis-RCI/","Rogers Communications, Inc.")</f>
        <v>0</v>
      </c>
      <c r="C446">
        <v>40.48</v>
      </c>
      <c r="D446">
        <v>20444.45374</v>
      </c>
      <c r="E446" t="s">
        <v>648</v>
      </c>
      <c r="F446" t="s">
        <v>613</v>
      </c>
      <c r="G446" t="s">
        <v>654</v>
      </c>
      <c r="H446" t="s">
        <v>682</v>
      </c>
      <c r="I446" t="s">
        <v>1126</v>
      </c>
      <c r="J446" t="s">
        <v>1279</v>
      </c>
      <c r="K446">
        <v>43957</v>
      </c>
      <c r="L446">
        <v>0.04939491232403</v>
      </c>
      <c r="M446">
        <v>-0.02318482150308943</v>
      </c>
      <c r="N446">
        <v>0.07000000000000001</v>
      </c>
      <c r="O446">
        <v>0.07714953140403624</v>
      </c>
      <c r="P446" t="s">
        <v>317</v>
      </c>
      <c r="Q446" t="s">
        <v>371</v>
      </c>
      <c r="R446">
        <v>0</v>
      </c>
      <c r="S446">
        <v>0.8333333333333334</v>
      </c>
      <c r="T446">
        <v>36</v>
      </c>
      <c r="U446">
        <v>1.124444444444444</v>
      </c>
      <c r="V446">
        <v>2.9563</v>
      </c>
      <c r="W446">
        <v>2.4</v>
      </c>
      <c r="X446">
        <v>2</v>
      </c>
      <c r="Y446">
        <v>-0.213786</v>
      </c>
      <c r="Z446">
        <v>0.5905245346869712</v>
      </c>
      <c r="AA446">
        <v>0.4991708126036485</v>
      </c>
      <c r="AB446">
        <v>0.7442052980132451</v>
      </c>
      <c r="AC446">
        <v>0.3178807947019868</v>
      </c>
      <c r="AD446">
        <v>0.3211920529801324</v>
      </c>
    </row>
    <row r="447" spans="1:30">
      <c r="A447" s="1" t="s">
        <v>454</v>
      </c>
      <c r="B447">
        <f>HYPERLINK("https://www.suredividend.com/sure-analysis-OGZPY/","Gazprom PJSC")</f>
        <v>0</v>
      </c>
      <c r="C447">
        <v>4.98</v>
      </c>
      <c r="D447">
        <v>58947.015</v>
      </c>
      <c r="E447" t="s">
        <v>648</v>
      </c>
      <c r="F447" t="s">
        <v>613</v>
      </c>
      <c r="G447" t="s">
        <v>678</v>
      </c>
      <c r="H447" t="s">
        <v>684</v>
      </c>
      <c r="I447" t="s">
        <v>1127</v>
      </c>
      <c r="J447" t="s">
        <v>1285</v>
      </c>
      <c r="K447">
        <v>43956</v>
      </c>
      <c r="L447">
        <v>0.101224899598393</v>
      </c>
      <c r="M447">
        <v>-0.06810337190417504</v>
      </c>
      <c r="N447">
        <v>0.08</v>
      </c>
      <c r="O447">
        <v>0.07599573147891947</v>
      </c>
      <c r="P447" t="s">
        <v>317</v>
      </c>
      <c r="Q447" t="s">
        <v>371</v>
      </c>
      <c r="R447">
        <v>1</v>
      </c>
      <c r="S447">
        <v>0.7201428571428572</v>
      </c>
      <c r="T447">
        <v>3.5</v>
      </c>
      <c r="U447">
        <v>1.422857142857143</v>
      </c>
      <c r="V447">
        <v>1.6521</v>
      </c>
      <c r="W447">
        <v>0.7</v>
      </c>
      <c r="X447">
        <v>0.5041</v>
      </c>
      <c r="Y447">
        <v>-0.002004</v>
      </c>
      <c r="Z447">
        <v>0.8426395939086295</v>
      </c>
      <c r="AA447">
        <v>0.7611940298507462</v>
      </c>
      <c r="AB447">
        <v>0.8228476821192053</v>
      </c>
      <c r="AC447">
        <v>0.1274834437086093</v>
      </c>
      <c r="AD447">
        <v>0.3129139072847682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32.6</v>
      </c>
      <c r="D448">
        <v>12644.12897</v>
      </c>
      <c r="E448" t="s">
        <v>648</v>
      </c>
      <c r="F448" t="s">
        <v>613</v>
      </c>
      <c r="G448" t="s">
        <v>653</v>
      </c>
      <c r="H448" t="s">
        <v>682</v>
      </c>
      <c r="I448" t="s">
        <v>1128</v>
      </c>
      <c r="J448" t="s">
        <v>1280</v>
      </c>
      <c r="K448">
        <v>43861</v>
      </c>
      <c r="L448">
        <v>0.06294684488654001</v>
      </c>
      <c r="M448">
        <v>0.02003947753885926</v>
      </c>
      <c r="N448">
        <v>0</v>
      </c>
      <c r="O448">
        <v>0.07487914101468296</v>
      </c>
      <c r="P448" t="s">
        <v>317</v>
      </c>
      <c r="Q448" t="s">
        <v>371</v>
      </c>
      <c r="R448">
        <v>10</v>
      </c>
      <c r="S448">
        <v>0.5625</v>
      </c>
      <c r="T448">
        <v>36</v>
      </c>
      <c r="U448">
        <v>0.9055555555555556</v>
      </c>
      <c r="V448">
        <v>1.6816</v>
      </c>
      <c r="W448">
        <v>3.6</v>
      </c>
      <c r="X448">
        <v>2.025</v>
      </c>
      <c r="Y448">
        <v>-0.300956</v>
      </c>
      <c r="Z448">
        <v>0.6785109983079526</v>
      </c>
      <c r="AA448">
        <v>0.3764510779436153</v>
      </c>
      <c r="AB448">
        <v>0.02897350993377483</v>
      </c>
      <c r="AC448">
        <v>0.5314569536423841</v>
      </c>
      <c r="AD448">
        <v>0.304635761589404</v>
      </c>
    </row>
    <row r="449" spans="1:30">
      <c r="A449" s="1" t="s">
        <v>456</v>
      </c>
      <c r="B449">
        <f>HYPERLINK("https://www.suredividend.com/sure-analysis-DRETF/","Dream Office Real Estate Investment Trust")</f>
        <v>0</v>
      </c>
      <c r="C449">
        <v>15.07</v>
      </c>
      <c r="D449">
        <v>917.002312</v>
      </c>
      <c r="E449" t="s">
        <v>649</v>
      </c>
      <c r="F449" t="s">
        <v>613</v>
      </c>
      <c r="G449" t="s">
        <v>654</v>
      </c>
      <c r="H449" t="s">
        <v>684</v>
      </c>
      <c r="I449" t="s">
        <v>1129</v>
      </c>
      <c r="J449" t="s">
        <v>1277</v>
      </c>
      <c r="K449">
        <v>43916</v>
      </c>
      <c r="L449">
        <v>0.050005429081538</v>
      </c>
      <c r="M449">
        <v>-0.02176295932719763</v>
      </c>
      <c r="N449">
        <v>0.031</v>
      </c>
      <c r="O449">
        <v>0.07146028601957921</v>
      </c>
      <c r="P449" t="s">
        <v>317</v>
      </c>
      <c r="Q449" t="s">
        <v>317</v>
      </c>
      <c r="R449">
        <v>0</v>
      </c>
      <c r="S449">
        <v>0.502387877505854</v>
      </c>
      <c r="T449">
        <v>13.5</v>
      </c>
      <c r="U449">
        <v>1.116296296296296</v>
      </c>
      <c r="V449">
        <v>1.405</v>
      </c>
      <c r="W449">
        <v>1.5</v>
      </c>
      <c r="X449">
        <v>0.7535818162587811</v>
      </c>
      <c r="Y449">
        <v>-0.134723</v>
      </c>
      <c r="Z449">
        <v>0.5972927241962774</v>
      </c>
      <c r="AA449">
        <v>0.6135986733001658</v>
      </c>
      <c r="AB449">
        <v>0.2541390728476821</v>
      </c>
      <c r="AC449">
        <v>0.3278145695364238</v>
      </c>
      <c r="AD449">
        <v>0.283112582781457</v>
      </c>
    </row>
    <row r="450" spans="1:30">
      <c r="A450" s="1" t="s">
        <v>457</v>
      </c>
      <c r="B450">
        <f>HYPERLINK("https://www.suredividend.com/sure-analysis-TSM/","Taiwan Semiconductor Manufacturing Co., Ltd.")</f>
        <v>0</v>
      </c>
      <c r="C450">
        <v>52.33</v>
      </c>
      <c r="D450">
        <v>270350.3504</v>
      </c>
      <c r="E450" t="s">
        <v>648</v>
      </c>
      <c r="F450" t="s">
        <v>613</v>
      </c>
      <c r="G450" t="s">
        <v>679</v>
      </c>
      <c r="H450" t="s">
        <v>682</v>
      </c>
      <c r="I450" t="s">
        <v>1130</v>
      </c>
      <c r="J450" t="s">
        <v>1286</v>
      </c>
      <c r="K450">
        <v>43944</v>
      </c>
      <c r="L450">
        <v>0.02553322463073</v>
      </c>
      <c r="M450">
        <v>-0.04762798716426286</v>
      </c>
      <c r="N450">
        <v>0.09</v>
      </c>
      <c r="O450">
        <v>0.07135225154008573</v>
      </c>
      <c r="P450" t="s">
        <v>317</v>
      </c>
      <c r="Q450" t="s">
        <v>523</v>
      </c>
      <c r="R450">
        <v>5</v>
      </c>
      <c r="S450">
        <v>0.4670340350877192</v>
      </c>
      <c r="T450">
        <v>41</v>
      </c>
      <c r="U450">
        <v>1.276341463414634</v>
      </c>
      <c r="V450">
        <v>2.156</v>
      </c>
      <c r="W450">
        <v>2.85</v>
      </c>
      <c r="X450">
        <v>1.331047</v>
      </c>
      <c r="Y450">
        <v>0.191271</v>
      </c>
      <c r="Z450">
        <v>0.299492385786802</v>
      </c>
      <c r="AA450">
        <v>0.9137645107794361</v>
      </c>
      <c r="AB450">
        <v>0.8766556291390728</v>
      </c>
      <c r="AC450">
        <v>0.2036423841059603</v>
      </c>
      <c r="AD450">
        <v>0.2814569536423841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78</v>
      </c>
      <c r="D451">
        <v>15038.84714</v>
      </c>
      <c r="E451" t="s">
        <v>644</v>
      </c>
      <c r="F451" t="s">
        <v>613</v>
      </c>
      <c r="G451" t="s">
        <v>656</v>
      </c>
      <c r="H451" t="s">
        <v>683</v>
      </c>
      <c r="I451" t="s">
        <v>1131</v>
      </c>
      <c r="J451" t="s">
        <v>1286</v>
      </c>
      <c r="K451">
        <v>43954</v>
      </c>
      <c r="L451">
        <v>0.028959735805918</v>
      </c>
      <c r="M451">
        <v>0.007576624052174186</v>
      </c>
      <c r="N451">
        <v>0.03</v>
      </c>
      <c r="O451">
        <v>0.06734056002788424</v>
      </c>
      <c r="P451" t="s">
        <v>317</v>
      </c>
      <c r="Q451" t="s">
        <v>523</v>
      </c>
      <c r="R451">
        <v>2</v>
      </c>
      <c r="S451">
        <v>0.6608695652173914</v>
      </c>
      <c r="T451">
        <v>81</v>
      </c>
      <c r="U451">
        <v>0.9629629629629629</v>
      </c>
      <c r="V451">
        <v>5.1206</v>
      </c>
      <c r="W451">
        <v>3.45</v>
      </c>
      <c r="X451">
        <v>2.28</v>
      </c>
      <c r="Y451">
        <v>0.004594</v>
      </c>
      <c r="Z451">
        <v>0.3417935702199661</v>
      </c>
      <c r="AA451">
        <v>0.7661691542288557</v>
      </c>
      <c r="AB451">
        <v>0.2185430463576159</v>
      </c>
      <c r="AC451">
        <v>0.4768211920529801</v>
      </c>
      <c r="AD451">
        <v>0.2649006622516556</v>
      </c>
    </row>
    <row r="452" spans="1:30">
      <c r="A452" s="1" t="s">
        <v>459</v>
      </c>
      <c r="B452">
        <f>HYPERLINK("https://www.suredividend.com/sure-analysis-WEN/","The Wendy's Co.")</f>
        <v>0</v>
      </c>
      <c r="C452">
        <v>20.475</v>
      </c>
      <c r="D452">
        <v>4498.48327</v>
      </c>
      <c r="E452" t="s">
        <v>650</v>
      </c>
      <c r="F452" t="s">
        <v>613</v>
      </c>
      <c r="G452" t="s">
        <v>653</v>
      </c>
      <c r="H452" t="s">
        <v>683</v>
      </c>
      <c r="I452" t="s">
        <v>1132</v>
      </c>
      <c r="J452" t="s">
        <v>1280</v>
      </c>
      <c r="K452">
        <v>43888</v>
      </c>
      <c r="L452">
        <v>0.020781791192478</v>
      </c>
      <c r="M452">
        <v>-0.02543744906113798</v>
      </c>
      <c r="N452">
        <v>0.07000000000000001</v>
      </c>
      <c r="O452">
        <v>0.06604659697304749</v>
      </c>
      <c r="P452" t="s">
        <v>317</v>
      </c>
      <c r="Q452" t="s">
        <v>523</v>
      </c>
      <c r="R452">
        <v>10</v>
      </c>
      <c r="S452">
        <v>0.65625</v>
      </c>
      <c r="T452">
        <v>18</v>
      </c>
      <c r="U452">
        <v>1.1375</v>
      </c>
      <c r="V452">
        <v>0.5951000000000001</v>
      </c>
      <c r="W452">
        <v>0.64</v>
      </c>
      <c r="X452">
        <v>0.42</v>
      </c>
      <c r="Y452">
        <v>0.094207</v>
      </c>
      <c r="Z452">
        <v>0.2047377326565144</v>
      </c>
      <c r="AA452">
        <v>0.857379767827529</v>
      </c>
      <c r="AB452">
        <v>0.7442052980132451</v>
      </c>
      <c r="AC452">
        <v>0.3013245033112583</v>
      </c>
      <c r="AD452">
        <v>0.2599337748344371</v>
      </c>
    </row>
    <row r="453" spans="1:30">
      <c r="A453" s="1" t="s">
        <v>460</v>
      </c>
      <c r="B453">
        <f>HYPERLINK("https://www.suredividend.com/sure-analysis-COR/","CoreSite Realty Corp.")</f>
        <v>0</v>
      </c>
      <c r="C453">
        <v>120.11</v>
      </c>
      <c r="D453">
        <v>4626.868038</v>
      </c>
      <c r="E453" t="s">
        <v>649</v>
      </c>
      <c r="F453" t="s">
        <v>614</v>
      </c>
      <c r="G453" t="s">
        <v>653</v>
      </c>
      <c r="H453" t="s">
        <v>682</v>
      </c>
      <c r="I453" t="s">
        <v>1133</v>
      </c>
      <c r="J453" t="s">
        <v>1282</v>
      </c>
      <c r="K453">
        <v>43915</v>
      </c>
      <c r="L453">
        <v>0.03997706234127901</v>
      </c>
      <c r="M453">
        <v>-0.03987145474713349</v>
      </c>
      <c r="N453">
        <v>0.063</v>
      </c>
      <c r="O453">
        <v>0.0581368588778437</v>
      </c>
      <c r="P453" t="s">
        <v>317</v>
      </c>
      <c r="Q453" t="s">
        <v>317</v>
      </c>
      <c r="R453">
        <v>8</v>
      </c>
      <c r="S453">
        <v>0.9475728155339805</v>
      </c>
      <c r="T453">
        <v>98</v>
      </c>
      <c r="U453">
        <v>1.225612244897959</v>
      </c>
      <c r="V453">
        <v>2.0007</v>
      </c>
      <c r="W453">
        <v>5.15</v>
      </c>
      <c r="X453">
        <v>4.88</v>
      </c>
      <c r="Y453">
        <v>0.09069000000000001</v>
      </c>
      <c r="Z453">
        <v>0.4805414551607445</v>
      </c>
      <c r="AA453">
        <v>0.8507462686567164</v>
      </c>
      <c r="AB453">
        <v>0.695364238410596</v>
      </c>
      <c r="AC453">
        <v>0.228476821192053</v>
      </c>
      <c r="AD453">
        <v>0.2334437086092715</v>
      </c>
    </row>
    <row r="454" spans="1:30">
      <c r="A454" s="1" t="s">
        <v>461</v>
      </c>
      <c r="B454">
        <f>HYPERLINK("https://www.suredividend.com/sure-analysis-RIO/","Rio Tinto Plc")</f>
        <v>0</v>
      </c>
      <c r="C454">
        <v>45.8</v>
      </c>
      <c r="D454">
        <v>55841.771924</v>
      </c>
      <c r="E454" t="s">
        <v>648</v>
      </c>
      <c r="F454" t="s">
        <v>613</v>
      </c>
      <c r="G454" t="s">
        <v>655</v>
      </c>
      <c r="H454" t="s">
        <v>682</v>
      </c>
      <c r="I454" t="s">
        <v>1134</v>
      </c>
      <c r="J454" t="s">
        <v>1281</v>
      </c>
      <c r="K454">
        <v>43900</v>
      </c>
      <c r="L454">
        <v>0.08582341046955701</v>
      </c>
      <c r="M454">
        <v>-0.02671752688410378</v>
      </c>
      <c r="N454">
        <v>0.01</v>
      </c>
      <c r="O454">
        <v>0.05305656635849099</v>
      </c>
      <c r="P454" t="s">
        <v>317</v>
      </c>
      <c r="Q454" t="s">
        <v>371</v>
      </c>
      <c r="R454">
        <v>3</v>
      </c>
      <c r="S454">
        <v>0.764</v>
      </c>
      <c r="T454">
        <v>40</v>
      </c>
      <c r="U454">
        <v>1.145</v>
      </c>
      <c r="V454">
        <v>4.9394</v>
      </c>
      <c r="W454">
        <v>5</v>
      </c>
      <c r="X454">
        <v>3.82</v>
      </c>
      <c r="Y454">
        <v>-0.236404</v>
      </c>
      <c r="Z454">
        <v>0.8037225042301185</v>
      </c>
      <c r="AA454">
        <v>0.4676616915422885</v>
      </c>
      <c r="AB454">
        <v>0.05711920529801325</v>
      </c>
      <c r="AC454">
        <v>0.2913907284768212</v>
      </c>
      <c r="AD454">
        <v>0.2102649006622516</v>
      </c>
    </row>
    <row r="455" spans="1:30">
      <c r="A455" s="1" t="s">
        <v>462</v>
      </c>
      <c r="B455">
        <f>HYPERLINK("https://www.suredividend.com/sure-analysis-STZ/","Constellation Brands, Inc.")</f>
        <v>0</v>
      </c>
      <c r="C455">
        <v>164.77</v>
      </c>
      <c r="D455">
        <v>31910.886352</v>
      </c>
      <c r="E455" t="s">
        <v>641</v>
      </c>
      <c r="F455" t="s">
        <v>613</v>
      </c>
      <c r="G455" t="s">
        <v>653</v>
      </c>
      <c r="H455" t="s">
        <v>682</v>
      </c>
      <c r="I455" t="s">
        <v>1135</v>
      </c>
      <c r="J455" t="s">
        <v>1284</v>
      </c>
      <c r="K455">
        <v>43930</v>
      </c>
      <c r="L455">
        <v>0.018129079042784</v>
      </c>
      <c r="M455">
        <v>-0.01471321522956748</v>
      </c>
      <c r="N455">
        <v>0.05</v>
      </c>
      <c r="O455">
        <v>0.05259972445023187</v>
      </c>
      <c r="P455" t="s">
        <v>317</v>
      </c>
      <c r="Q455" t="s">
        <v>523</v>
      </c>
      <c r="R455">
        <v>4</v>
      </c>
      <c r="S455">
        <v>0.3529411764705883</v>
      </c>
      <c r="T455">
        <v>153</v>
      </c>
      <c r="U455">
        <v>1.076928104575164</v>
      </c>
      <c r="V455">
        <v>-0.0665</v>
      </c>
      <c r="W455">
        <v>8.5</v>
      </c>
      <c r="X455">
        <v>3</v>
      </c>
      <c r="Y455">
        <v>-0.203926</v>
      </c>
      <c r="Z455">
        <v>0.1573604060913706</v>
      </c>
      <c r="AA455">
        <v>0.5091210613598673</v>
      </c>
      <c r="AB455">
        <v>0.5033112582781457</v>
      </c>
      <c r="AC455">
        <v>0.3625827814569537</v>
      </c>
      <c r="AD455">
        <v>0.2086092715231788</v>
      </c>
    </row>
    <row r="456" spans="1:30">
      <c r="A456" s="1" t="s">
        <v>463</v>
      </c>
      <c r="B456">
        <f>HYPERLINK("https://www.suredividend.com/sure-analysis-ESS/","Essex Property Trust, Inc.")</f>
        <v>0</v>
      </c>
      <c r="C456">
        <v>249.06</v>
      </c>
      <c r="D456">
        <v>15975.43159</v>
      </c>
      <c r="E456" t="s">
        <v>649</v>
      </c>
      <c r="F456" t="s">
        <v>614</v>
      </c>
      <c r="G456" t="s">
        <v>653</v>
      </c>
      <c r="H456" t="s">
        <v>682</v>
      </c>
      <c r="I456" t="s">
        <v>1136</v>
      </c>
      <c r="J456" t="s">
        <v>1282</v>
      </c>
      <c r="K456">
        <v>43924</v>
      </c>
      <c r="L456">
        <v>0.03231285471643301</v>
      </c>
      <c r="M456">
        <v>-0.01239705860278562</v>
      </c>
      <c r="N456">
        <v>0.029</v>
      </c>
      <c r="O456">
        <v>0.04647575906065327</v>
      </c>
      <c r="P456" t="s">
        <v>317</v>
      </c>
      <c r="Q456" t="s">
        <v>317</v>
      </c>
      <c r="R456">
        <v>25</v>
      </c>
      <c r="S456">
        <v>0.6</v>
      </c>
      <c r="T456">
        <v>234</v>
      </c>
      <c r="U456">
        <v>1.064358974358974</v>
      </c>
      <c r="V456">
        <v>6.6709</v>
      </c>
      <c r="W456">
        <v>13</v>
      </c>
      <c r="X456">
        <v>7.8</v>
      </c>
      <c r="Y456">
        <v>-0.134524</v>
      </c>
      <c r="Z456">
        <v>0.3807106598984772</v>
      </c>
      <c r="AA456">
        <v>0.615257048092869</v>
      </c>
      <c r="AB456">
        <v>0.1821192052980133</v>
      </c>
      <c r="AC456">
        <v>0.3741721854304636</v>
      </c>
      <c r="AD456">
        <v>0.1821192052980133</v>
      </c>
    </row>
    <row r="457" spans="1:30">
      <c r="A457" s="1" t="s">
        <v>464</v>
      </c>
      <c r="B457">
        <f>HYPERLINK("https://www.suredividend.com/sure-analysis-CAG/","Conagra Brands, Inc.")</f>
        <v>0</v>
      </c>
      <c r="C457">
        <v>33.17</v>
      </c>
      <c r="D457">
        <v>16273.20916</v>
      </c>
      <c r="E457" t="s">
        <v>641</v>
      </c>
      <c r="F457" t="s">
        <v>613</v>
      </c>
      <c r="G457" t="s">
        <v>653</v>
      </c>
      <c r="H457" t="s">
        <v>682</v>
      </c>
      <c r="I457" t="s">
        <v>1137</v>
      </c>
      <c r="J457" t="s">
        <v>1284</v>
      </c>
      <c r="K457">
        <v>43922</v>
      </c>
      <c r="L457">
        <v>0.025441484585453</v>
      </c>
      <c r="M457">
        <v>-0.01988924094451294</v>
      </c>
      <c r="N457">
        <v>0.04</v>
      </c>
      <c r="O457">
        <v>0.04455134470777877</v>
      </c>
      <c r="P457" t="s">
        <v>317</v>
      </c>
      <c r="Q457" t="s">
        <v>523</v>
      </c>
      <c r="R457">
        <v>0</v>
      </c>
      <c r="S457">
        <v>0.3953488372093023</v>
      </c>
      <c r="T457">
        <v>30</v>
      </c>
      <c r="U457">
        <v>1.105666666666667</v>
      </c>
      <c r="V457">
        <v>1.571</v>
      </c>
      <c r="W457">
        <v>2.15</v>
      </c>
      <c r="X457">
        <v>0.85</v>
      </c>
      <c r="Y457">
        <v>0.144178</v>
      </c>
      <c r="Z457">
        <v>0.2961082910321489</v>
      </c>
      <c r="AA457">
        <v>0.8922056384742951</v>
      </c>
      <c r="AB457">
        <v>0.3501655629139073</v>
      </c>
      <c r="AC457">
        <v>0.3394039735099338</v>
      </c>
      <c r="AD457">
        <v>0.1721854304635762</v>
      </c>
    </row>
    <row r="458" spans="1:30">
      <c r="A458" s="1" t="s">
        <v>465</v>
      </c>
      <c r="B458">
        <f>HYPERLINK("https://www.suredividend.com/sure-analysis-PCAR/","PACCAR, Inc.")</f>
        <v>0</v>
      </c>
      <c r="C458">
        <v>68.59999999999999</v>
      </c>
      <c r="D458">
        <v>23613.1541</v>
      </c>
      <c r="E458" t="s">
        <v>641</v>
      </c>
      <c r="F458" t="s">
        <v>613</v>
      </c>
      <c r="G458" t="s">
        <v>653</v>
      </c>
      <c r="H458" t="s">
        <v>683</v>
      </c>
      <c r="I458" t="s">
        <v>1138</v>
      </c>
      <c r="J458" t="s">
        <v>1278</v>
      </c>
      <c r="K458">
        <v>43944</v>
      </c>
      <c r="L458">
        <v>0.018740849194729</v>
      </c>
      <c r="M458">
        <v>-0.07681924336821289</v>
      </c>
      <c r="N458">
        <v>0.1</v>
      </c>
      <c r="O458">
        <v>0.04287418397409182</v>
      </c>
      <c r="P458" t="s">
        <v>317</v>
      </c>
      <c r="Q458" t="s">
        <v>523</v>
      </c>
      <c r="R458">
        <v>10</v>
      </c>
      <c r="S458">
        <v>0.3657142857142857</v>
      </c>
      <c r="T458">
        <v>46</v>
      </c>
      <c r="U458">
        <v>1.491304347826087</v>
      </c>
      <c r="V458">
        <v>6.1082</v>
      </c>
      <c r="W458">
        <v>3.5</v>
      </c>
      <c r="X458">
        <v>1.28</v>
      </c>
      <c r="Y458">
        <v>-0.007988</v>
      </c>
      <c r="Z458">
        <v>0.1692047377326565</v>
      </c>
      <c r="AA458">
        <v>0.7545605306799337</v>
      </c>
      <c r="AB458">
        <v>0.9097682119205298</v>
      </c>
      <c r="AC458">
        <v>0.09768211920529801</v>
      </c>
      <c r="AD458">
        <v>0.1655629139072848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26.96</v>
      </c>
      <c r="D459">
        <v>923.06005</v>
      </c>
      <c r="E459" t="s">
        <v>646</v>
      </c>
      <c r="F459" t="s">
        <v>613</v>
      </c>
      <c r="G459" t="s">
        <v>653</v>
      </c>
      <c r="H459" t="s">
        <v>683</v>
      </c>
      <c r="I459" t="s">
        <v>1139</v>
      </c>
      <c r="J459" t="s">
        <v>1279</v>
      </c>
      <c r="K459">
        <v>43923</v>
      </c>
      <c r="L459">
        <v>0.022304832713754</v>
      </c>
      <c r="M459">
        <v>-0.05797588269417542</v>
      </c>
      <c r="N459">
        <v>0.08</v>
      </c>
      <c r="O459">
        <v>0.04102916485971231</v>
      </c>
      <c r="P459" t="s">
        <v>317</v>
      </c>
      <c r="Q459" t="s">
        <v>523</v>
      </c>
      <c r="R459">
        <v>0</v>
      </c>
      <c r="S459">
        <v>0.5454545454545455</v>
      </c>
      <c r="T459">
        <v>20</v>
      </c>
      <c r="U459">
        <v>1.348</v>
      </c>
      <c r="V459">
        <v>-0.3852</v>
      </c>
      <c r="W459">
        <v>1.1</v>
      </c>
      <c r="X459">
        <v>0.6000000000000001</v>
      </c>
      <c r="Y459">
        <v>-0.329177</v>
      </c>
      <c r="Z459">
        <v>0.2436548223350254</v>
      </c>
      <c r="AA459">
        <v>0.3466003316749585</v>
      </c>
      <c r="AB459">
        <v>0.8228476821192053</v>
      </c>
      <c r="AC459">
        <v>0.1589403973509934</v>
      </c>
      <c r="AD459">
        <v>0.1589403973509934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63.05</v>
      </c>
      <c r="D460">
        <v>22705.78608</v>
      </c>
      <c r="E460" t="s">
        <v>649</v>
      </c>
      <c r="F460" t="s">
        <v>614</v>
      </c>
      <c r="G460" t="s">
        <v>653</v>
      </c>
      <c r="H460" t="s">
        <v>682</v>
      </c>
      <c r="I460" t="s">
        <v>1140</v>
      </c>
      <c r="J460" t="s">
        <v>1282</v>
      </c>
      <c r="K460">
        <v>43921</v>
      </c>
      <c r="L460">
        <v>0.03777450016388</v>
      </c>
      <c r="M460">
        <v>-0.0415333259297207</v>
      </c>
      <c r="N460">
        <v>0.046</v>
      </c>
      <c r="O460">
        <v>0.03799657305270077</v>
      </c>
      <c r="P460" t="s">
        <v>317</v>
      </c>
      <c r="Q460" t="s">
        <v>523</v>
      </c>
      <c r="R460">
        <v>9</v>
      </c>
      <c r="S460">
        <v>0.7683333333333334</v>
      </c>
      <c r="T460">
        <v>51</v>
      </c>
      <c r="U460">
        <v>1.236274509803922</v>
      </c>
      <c r="V460">
        <v>3.2099</v>
      </c>
      <c r="W460">
        <v>3</v>
      </c>
      <c r="X460">
        <v>2.305</v>
      </c>
      <c r="Y460">
        <v>-0.183897</v>
      </c>
      <c r="Z460">
        <v>0.4534686971235194</v>
      </c>
      <c r="AA460">
        <v>0.5472636815920398</v>
      </c>
      <c r="AB460">
        <v>0.4312913907284768</v>
      </c>
      <c r="AC460">
        <v>0.2185430463576159</v>
      </c>
      <c r="AD460">
        <v>0.1490066225165563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10.01</v>
      </c>
      <c r="D461">
        <v>1333.05474</v>
      </c>
      <c r="E461" t="s">
        <v>644</v>
      </c>
      <c r="F461" t="s">
        <v>613</v>
      </c>
      <c r="G461" t="s">
        <v>653</v>
      </c>
      <c r="H461" t="s">
        <v>682</v>
      </c>
      <c r="I461" t="s">
        <v>1141</v>
      </c>
      <c r="J461" t="s">
        <v>1278</v>
      </c>
      <c r="K461">
        <v>43890</v>
      </c>
      <c r="L461">
        <v>0.08832807570977901</v>
      </c>
      <c r="M461">
        <v>-0.02104734989978807</v>
      </c>
      <c r="N461">
        <v>0.02</v>
      </c>
      <c r="O461">
        <v>0.03583418208536893</v>
      </c>
      <c r="P461" t="s">
        <v>317</v>
      </c>
      <c r="Q461" t="s">
        <v>618</v>
      </c>
      <c r="R461">
        <v>0</v>
      </c>
      <c r="S461">
        <v>0.5599999999999999</v>
      </c>
      <c r="T461">
        <v>9</v>
      </c>
      <c r="U461">
        <v>1.112222222222222</v>
      </c>
      <c r="V461">
        <v>-9.3119</v>
      </c>
      <c r="W461">
        <v>1.5</v>
      </c>
      <c r="X461">
        <v>0.84</v>
      </c>
      <c r="Y461">
        <v>-0.677955</v>
      </c>
      <c r="Z461">
        <v>0.8189509306260575</v>
      </c>
      <c r="AA461">
        <v>0.04643449419568823</v>
      </c>
      <c r="AB461">
        <v>0.130794701986755</v>
      </c>
      <c r="AC461">
        <v>0.3344370860927153</v>
      </c>
      <c r="AD461">
        <v>0.1440397350993377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187.11</v>
      </c>
      <c r="D462">
        <v>114906.93026</v>
      </c>
      <c r="E462" t="s">
        <v>646</v>
      </c>
      <c r="F462" t="s">
        <v>613</v>
      </c>
      <c r="G462" t="s">
        <v>658</v>
      </c>
      <c r="H462" t="s">
        <v>682</v>
      </c>
      <c r="I462" t="s">
        <v>1142</v>
      </c>
      <c r="J462" t="s">
        <v>1286</v>
      </c>
      <c r="K462">
        <v>43923</v>
      </c>
      <c r="L462">
        <v>0.01696418671693</v>
      </c>
      <c r="M462">
        <v>-0.06043957932610411</v>
      </c>
      <c r="N462">
        <v>0.075</v>
      </c>
      <c r="O462">
        <v>0.03003740322554393</v>
      </c>
      <c r="P462" t="s">
        <v>317</v>
      </c>
      <c r="Q462" t="s">
        <v>523</v>
      </c>
      <c r="R462">
        <v>9</v>
      </c>
      <c r="S462">
        <v>0.4031620553359684</v>
      </c>
      <c r="T462">
        <v>137</v>
      </c>
      <c r="U462">
        <v>1.365766423357664</v>
      </c>
      <c r="V462">
        <v>7.8049</v>
      </c>
      <c r="W462">
        <v>7.59</v>
      </c>
      <c r="X462">
        <v>3.06</v>
      </c>
      <c r="Y462">
        <v>0.037024</v>
      </c>
      <c r="Z462">
        <v>0.1387478849407783</v>
      </c>
      <c r="AA462">
        <v>0.7927031509121062</v>
      </c>
      <c r="AB462">
        <v>0.7839403973509934</v>
      </c>
      <c r="AC462">
        <v>0.1539735099337748</v>
      </c>
      <c r="AD462">
        <v>0.1357615894039735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49.775</v>
      </c>
      <c r="D463">
        <v>8248.27198</v>
      </c>
      <c r="E463" t="s">
        <v>643</v>
      </c>
      <c r="F463" t="s">
        <v>613</v>
      </c>
      <c r="G463" t="s">
        <v>656</v>
      </c>
      <c r="H463" t="s">
        <v>683</v>
      </c>
      <c r="I463" t="s">
        <v>1143</v>
      </c>
      <c r="J463" t="s">
        <v>1286</v>
      </c>
      <c r="K463">
        <v>43851</v>
      </c>
      <c r="L463">
        <v>0.014798297182242</v>
      </c>
      <c r="M463">
        <v>-0.05759389452533459</v>
      </c>
      <c r="N463">
        <v>0.07000000000000001</v>
      </c>
      <c r="O463">
        <v>0.0267864552867989</v>
      </c>
      <c r="P463" t="s">
        <v>317</v>
      </c>
      <c r="Q463" t="s">
        <v>523</v>
      </c>
      <c r="R463">
        <v>6</v>
      </c>
      <c r="S463">
        <v>0.3509615384615384</v>
      </c>
      <c r="T463">
        <v>37</v>
      </c>
      <c r="U463">
        <v>1.34527027027027</v>
      </c>
      <c r="V463">
        <v>1.6678</v>
      </c>
      <c r="W463">
        <v>2.08</v>
      </c>
      <c r="X463">
        <v>0.73</v>
      </c>
      <c r="Y463">
        <v>0.263576</v>
      </c>
      <c r="Z463">
        <v>0.1065989847715736</v>
      </c>
      <c r="AA463">
        <v>0.9402985074626865</v>
      </c>
      <c r="AB463">
        <v>0.7442052980132451</v>
      </c>
      <c r="AC463">
        <v>0.1622516556291391</v>
      </c>
      <c r="AD463">
        <v>0.1258278145695364</v>
      </c>
    </row>
    <row r="464" spans="1:30">
      <c r="A464" s="1" t="s">
        <v>471</v>
      </c>
      <c r="B464">
        <f>HYPERLINK("https://www.suredividend.com/sure-analysis-DEA/","Easterly Government Properties, Inc.")</f>
        <v>0</v>
      </c>
      <c r="C464">
        <v>26.47</v>
      </c>
      <c r="D464">
        <v>2147.275952</v>
      </c>
      <c r="E464" t="s">
        <v>649</v>
      </c>
      <c r="F464" t="s">
        <v>614</v>
      </c>
      <c r="G464" t="s">
        <v>653</v>
      </c>
      <c r="H464" t="s">
        <v>682</v>
      </c>
      <c r="I464" t="s">
        <v>1144</v>
      </c>
      <c r="J464" t="s">
        <v>1282</v>
      </c>
      <c r="K464">
        <v>43916</v>
      </c>
      <c r="L464">
        <v>0.040561622464898</v>
      </c>
      <c r="M464">
        <v>-0.05451376416108256</v>
      </c>
      <c r="N464">
        <v>0.034</v>
      </c>
      <c r="O464">
        <v>0.02347215492924604</v>
      </c>
      <c r="P464" t="s">
        <v>317</v>
      </c>
      <c r="Q464" t="s">
        <v>317</v>
      </c>
      <c r="R464">
        <v>0</v>
      </c>
      <c r="S464">
        <v>0.8455284552845529</v>
      </c>
      <c r="T464">
        <v>20</v>
      </c>
      <c r="U464">
        <v>1.3235</v>
      </c>
      <c r="V464">
        <v>0.1311</v>
      </c>
      <c r="W464">
        <v>1.23</v>
      </c>
      <c r="X464">
        <v>1.04</v>
      </c>
      <c r="Y464">
        <v>0.432402</v>
      </c>
      <c r="Z464">
        <v>0.4873096446700507</v>
      </c>
      <c r="AA464">
        <v>0.976782752902156</v>
      </c>
      <c r="AB464">
        <v>0.2607615894039735</v>
      </c>
      <c r="AC464">
        <v>0.1754966887417218</v>
      </c>
      <c r="AD464">
        <v>0.1142384105960265</v>
      </c>
    </row>
    <row r="465" spans="1:30">
      <c r="A465" s="1" t="s">
        <v>472</v>
      </c>
      <c r="B465">
        <f>HYPERLINK("https://www.suredividend.com/sure-analysis-LAND/","Gladstone Land Corp.")</f>
        <v>0</v>
      </c>
      <c r="C465">
        <v>14.11</v>
      </c>
      <c r="D465">
        <v>287.75082</v>
      </c>
      <c r="E465" t="s">
        <v>644</v>
      </c>
      <c r="F465" t="s">
        <v>614</v>
      </c>
      <c r="G465" t="s">
        <v>653</v>
      </c>
      <c r="H465" t="s">
        <v>683</v>
      </c>
      <c r="I465" t="s">
        <v>1145</v>
      </c>
      <c r="J465" t="s">
        <v>1282</v>
      </c>
      <c r="K465">
        <v>43882</v>
      </c>
      <c r="L465">
        <v>0.033019287833827</v>
      </c>
      <c r="M465">
        <v>-0.04857812100136194</v>
      </c>
      <c r="N465">
        <v>0.03</v>
      </c>
      <c r="O465">
        <v>0.01951221878841825</v>
      </c>
      <c r="P465" t="s">
        <v>317</v>
      </c>
      <c r="Q465" t="s">
        <v>523</v>
      </c>
      <c r="R465">
        <v>6</v>
      </c>
      <c r="S465">
        <v>0.7418333333333333</v>
      </c>
      <c r="T465">
        <v>11</v>
      </c>
      <c r="U465">
        <v>1.282727272727273</v>
      </c>
      <c r="V465">
        <v>-0.1277</v>
      </c>
      <c r="W465">
        <v>0.6</v>
      </c>
      <c r="X465">
        <v>0.4451</v>
      </c>
      <c r="Y465">
        <v>0.0784</v>
      </c>
      <c r="Z465">
        <v>0.3925549915397631</v>
      </c>
      <c r="AA465">
        <v>0.8391376451077943</v>
      </c>
      <c r="AB465">
        <v>0.2185430463576159</v>
      </c>
      <c r="AC465">
        <v>0.2019867549668874</v>
      </c>
      <c r="AD465">
        <v>0.09933774834437087</v>
      </c>
    </row>
    <row r="466" spans="1:30">
      <c r="A466" s="1" t="s">
        <v>473</v>
      </c>
      <c r="B466">
        <f>HYPERLINK("https://www.suredividend.com/sure-analysis-CME/","CME Group, Inc.")</f>
        <v>0</v>
      </c>
      <c r="C466">
        <v>178.49</v>
      </c>
      <c r="D466">
        <v>62267.2812</v>
      </c>
      <c r="E466" t="s">
        <v>649</v>
      </c>
      <c r="F466" t="s">
        <v>613</v>
      </c>
      <c r="G466" t="s">
        <v>653</v>
      </c>
      <c r="H466" t="s">
        <v>683</v>
      </c>
      <c r="I466" t="s">
        <v>1146</v>
      </c>
      <c r="J466" t="s">
        <v>1277</v>
      </c>
      <c r="K466">
        <v>43915</v>
      </c>
      <c r="L466">
        <v>0.017846862406447</v>
      </c>
      <c r="M466">
        <v>-0.05015434728800305</v>
      </c>
      <c r="N466">
        <v>0.043</v>
      </c>
      <c r="O466">
        <v>0.01221649934949975</v>
      </c>
      <c r="P466" t="s">
        <v>317</v>
      </c>
      <c r="Q466" t="s">
        <v>523</v>
      </c>
      <c r="R466">
        <v>16</v>
      </c>
      <c r="S466">
        <v>0.4428571428571429</v>
      </c>
      <c r="T466">
        <v>138</v>
      </c>
      <c r="U466">
        <v>1.293405797101449</v>
      </c>
      <c r="V466">
        <v>6.6765</v>
      </c>
      <c r="W466">
        <v>7</v>
      </c>
      <c r="X466">
        <v>3.1</v>
      </c>
      <c r="Y466">
        <v>-0.02476</v>
      </c>
      <c r="Z466">
        <v>0.1505922165820643</v>
      </c>
      <c r="AA466">
        <v>0.7296849087893864</v>
      </c>
      <c r="AB466">
        <v>0.4122516556291391</v>
      </c>
      <c r="AC466">
        <v>0.2003311258278146</v>
      </c>
      <c r="AD466">
        <v>0.08774834437086092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49.96</v>
      </c>
      <c r="D467">
        <v>4396.25472</v>
      </c>
      <c r="E467" t="s">
        <v>641</v>
      </c>
      <c r="F467" t="s">
        <v>613</v>
      </c>
      <c r="G467" t="s">
        <v>653</v>
      </c>
      <c r="H467" t="s">
        <v>682</v>
      </c>
      <c r="I467" t="s">
        <v>1147</v>
      </c>
      <c r="J467" t="s">
        <v>1277</v>
      </c>
      <c r="K467">
        <v>43861</v>
      </c>
      <c r="L467">
        <v>0.032051282051282</v>
      </c>
      <c r="M467">
        <v>-0.06343911827473592</v>
      </c>
      <c r="N467">
        <v>0.04</v>
      </c>
      <c r="O467">
        <v>0.0110934634558737</v>
      </c>
      <c r="P467" t="s">
        <v>317</v>
      </c>
      <c r="Q467" t="s">
        <v>317</v>
      </c>
      <c r="R467">
        <v>9</v>
      </c>
      <c r="S467">
        <v>0.4444444444444445</v>
      </c>
      <c r="T467">
        <v>36</v>
      </c>
      <c r="U467">
        <v>1.387777777777778</v>
      </c>
      <c r="V467">
        <v>2.8003</v>
      </c>
      <c r="W467">
        <v>3.6</v>
      </c>
      <c r="X467">
        <v>1.6</v>
      </c>
      <c r="Y467">
        <v>0.473436</v>
      </c>
      <c r="Z467">
        <v>0.3790186125211506</v>
      </c>
      <c r="AA467">
        <v>0.9817578772802653</v>
      </c>
      <c r="AB467">
        <v>0.3501655629139073</v>
      </c>
      <c r="AC467">
        <v>0.1390728476821192</v>
      </c>
      <c r="AD467">
        <v>0.08443708609271523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27.68</v>
      </c>
      <c r="D468">
        <v>11336.94056</v>
      </c>
      <c r="E468" t="s">
        <v>645</v>
      </c>
      <c r="F468" t="s">
        <v>613</v>
      </c>
      <c r="G468" t="s">
        <v>653</v>
      </c>
      <c r="H468" t="s">
        <v>682</v>
      </c>
      <c r="I468" t="s">
        <v>1148</v>
      </c>
      <c r="J468" t="s">
        <v>1278</v>
      </c>
      <c r="K468">
        <v>43886</v>
      </c>
      <c r="L468">
        <v>0.077712609970674</v>
      </c>
      <c r="M468">
        <v>-0.09289707548439607</v>
      </c>
      <c r="N468">
        <v>0.05</v>
      </c>
      <c r="O468">
        <v>0.007713341916449235</v>
      </c>
      <c r="P468" t="s">
        <v>317</v>
      </c>
      <c r="Q468" t="s">
        <v>371</v>
      </c>
      <c r="R468">
        <v>11</v>
      </c>
      <c r="S468">
        <v>1.284848484848485</v>
      </c>
      <c r="T468">
        <v>17</v>
      </c>
      <c r="U468">
        <v>1.628235294117647</v>
      </c>
      <c r="V468">
        <v>0.7826000000000001</v>
      </c>
      <c r="W468">
        <v>1.65</v>
      </c>
      <c r="X468">
        <v>2.12</v>
      </c>
      <c r="Y468">
        <v>-0.197411</v>
      </c>
      <c r="Z468">
        <v>0.7732656514382402</v>
      </c>
      <c r="AA468">
        <v>0.5257048092868988</v>
      </c>
      <c r="AB468">
        <v>0.5033112582781457</v>
      </c>
      <c r="AC468">
        <v>0.0728476821192053</v>
      </c>
      <c r="AD468">
        <v>0.0728476821192053</v>
      </c>
    </row>
    <row r="469" spans="1:30">
      <c r="A469" s="1" t="s">
        <v>476</v>
      </c>
      <c r="B469">
        <f>HYPERLINK("https://www.suredividend.com/sure-analysis-ETN/","Eaton Corp. Plc")</f>
        <v>0</v>
      </c>
      <c r="C469">
        <v>80.26000000000001</v>
      </c>
      <c r="D469">
        <v>31968</v>
      </c>
      <c r="E469" t="s">
        <v>643</v>
      </c>
      <c r="F469" t="s">
        <v>613</v>
      </c>
      <c r="G469" t="s">
        <v>658</v>
      </c>
      <c r="H469" t="s">
        <v>682</v>
      </c>
      <c r="I469" t="s">
        <v>1149</v>
      </c>
      <c r="J469" t="s">
        <v>1278</v>
      </c>
      <c r="K469">
        <v>43956</v>
      </c>
      <c r="L469">
        <v>0.035785785785785</v>
      </c>
      <c r="M469">
        <v>-0.07619795162759813</v>
      </c>
      <c r="N469">
        <v>0.04</v>
      </c>
      <c r="O469">
        <v>0.0023877517330535</v>
      </c>
      <c r="P469" t="s">
        <v>317</v>
      </c>
      <c r="Q469" t="s">
        <v>523</v>
      </c>
      <c r="R469">
        <v>11</v>
      </c>
      <c r="S469">
        <v>0.7566137566137566</v>
      </c>
      <c r="T469">
        <v>54</v>
      </c>
      <c r="U469">
        <v>1.486296296296296</v>
      </c>
      <c r="V469">
        <v>5.1156</v>
      </c>
      <c r="W469">
        <v>3.78</v>
      </c>
      <c r="X469">
        <v>2.86</v>
      </c>
      <c r="Y469">
        <v>-0.013699</v>
      </c>
      <c r="Z469">
        <v>0.4230118443316413</v>
      </c>
      <c r="AA469">
        <v>0.7446102819237147</v>
      </c>
      <c r="AB469">
        <v>0.3501655629139073</v>
      </c>
      <c r="AC469">
        <v>0.1009933774834437</v>
      </c>
      <c r="AD469">
        <v>0.05960264900662252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52.74</v>
      </c>
      <c r="D470">
        <v>141826.8992</v>
      </c>
      <c r="E470" t="s">
        <v>643</v>
      </c>
      <c r="F470" t="s">
        <v>613</v>
      </c>
      <c r="G470" t="s">
        <v>655</v>
      </c>
      <c r="H470" t="s">
        <v>682</v>
      </c>
      <c r="I470" t="s">
        <v>1150</v>
      </c>
      <c r="J470" t="s">
        <v>1283</v>
      </c>
      <c r="K470">
        <v>43953</v>
      </c>
      <c r="L470">
        <v>0.025351591413767</v>
      </c>
      <c r="M470">
        <v>-0.1067022793219459</v>
      </c>
      <c r="N470">
        <v>0.04</v>
      </c>
      <c r="O470">
        <v>-0.03779191496301681</v>
      </c>
      <c r="P470" t="s">
        <v>317</v>
      </c>
      <c r="Q470" t="s">
        <v>523</v>
      </c>
      <c r="R470">
        <v>0</v>
      </c>
      <c r="S470">
        <v>0.6884422110552765</v>
      </c>
      <c r="T470">
        <v>30</v>
      </c>
      <c r="U470">
        <v>1.758</v>
      </c>
      <c r="V470">
        <v>0.52</v>
      </c>
      <c r="W470">
        <v>1.99</v>
      </c>
      <c r="X470">
        <v>1.37</v>
      </c>
      <c r="Y470">
        <v>0.422854</v>
      </c>
      <c r="Z470">
        <v>0.2927241962774958</v>
      </c>
      <c r="AA470">
        <v>0.9734660033167496</v>
      </c>
      <c r="AB470">
        <v>0.3501655629139073</v>
      </c>
      <c r="AC470">
        <v>0.04966887417218543</v>
      </c>
      <c r="AD470">
        <v>0.01986754966887417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43.73</v>
      </c>
      <c r="D471">
        <v>18831.263</v>
      </c>
      <c r="E471" t="s">
        <v>644</v>
      </c>
      <c r="F471" t="s">
        <v>613</v>
      </c>
      <c r="G471" t="s">
        <v>654</v>
      </c>
      <c r="H471" t="s">
        <v>682</v>
      </c>
      <c r="I471" t="s">
        <v>1151</v>
      </c>
      <c r="J471" t="s">
        <v>1281</v>
      </c>
      <c r="K471">
        <v>43910</v>
      </c>
      <c r="L471">
        <v>0.008622371683140001</v>
      </c>
      <c r="M471">
        <v>-0.1205934991554372</v>
      </c>
      <c r="N471">
        <v>0</v>
      </c>
      <c r="O471">
        <v>-0.1058052694416471</v>
      </c>
      <c r="P471" t="s">
        <v>317</v>
      </c>
      <c r="Q471" t="s">
        <v>523</v>
      </c>
      <c r="R471">
        <v>1</v>
      </c>
      <c r="S471">
        <v>0.4025689534728378</v>
      </c>
      <c r="T471">
        <v>23</v>
      </c>
      <c r="U471">
        <v>1.901304347826087</v>
      </c>
      <c r="V471">
        <v>0.1926</v>
      </c>
      <c r="W471">
        <v>0.9</v>
      </c>
      <c r="X471">
        <v>0.362312058125554</v>
      </c>
      <c r="Y471">
        <v>0.999049</v>
      </c>
      <c r="Z471">
        <v>0.038917089678511</v>
      </c>
      <c r="AA471">
        <v>0.9933665008291874</v>
      </c>
      <c r="AB471">
        <v>0.02897350993377483</v>
      </c>
      <c r="AC471">
        <v>0.04304635761589404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22.165</v>
      </c>
      <c r="D472">
        <v>1349.686874</v>
      </c>
      <c r="E472" t="s">
        <v>643</v>
      </c>
      <c r="F472" t="s">
        <v>613</v>
      </c>
      <c r="G472" t="s">
        <v>680</v>
      </c>
      <c r="H472" t="s">
        <v>683</v>
      </c>
      <c r="I472" t="s">
        <v>1152</v>
      </c>
      <c r="J472" t="s">
        <v>1286</v>
      </c>
      <c r="K472">
        <v>43953</v>
      </c>
      <c r="L472">
        <v>0.022201665124884</v>
      </c>
      <c r="M472">
        <v>-0.2058801335511847</v>
      </c>
      <c r="N472">
        <v>0.02</v>
      </c>
      <c r="O472">
        <v>-0.1424958918151054</v>
      </c>
      <c r="P472" t="s">
        <v>317</v>
      </c>
      <c r="Q472" t="s">
        <v>523</v>
      </c>
      <c r="R472">
        <v>2</v>
      </c>
      <c r="S472">
        <v>0.5274725274725275</v>
      </c>
      <c r="T472">
        <v>7</v>
      </c>
      <c r="U472">
        <v>3.166428571428571</v>
      </c>
      <c r="V472">
        <v>0.5196000000000001</v>
      </c>
      <c r="W472">
        <v>0.91</v>
      </c>
      <c r="X472">
        <v>0.48</v>
      </c>
      <c r="Y472">
        <v>-0.06</v>
      </c>
      <c r="Z472">
        <v>0.2368866328257191</v>
      </c>
      <c r="AA472">
        <v>0.6981757877280265</v>
      </c>
      <c r="AB472">
        <v>0.130794701986755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6.47</v>
      </c>
      <c r="D473">
        <v>993.754903</v>
      </c>
      <c r="E473" t="s">
        <v>648</v>
      </c>
      <c r="F473" t="s">
        <v>614</v>
      </c>
      <c r="G473" t="s">
        <v>653</v>
      </c>
      <c r="H473" t="s">
        <v>682</v>
      </c>
      <c r="I473" t="s">
        <v>1153</v>
      </c>
      <c r="J473" t="s">
        <v>1282</v>
      </c>
      <c r="K473">
        <v>43868</v>
      </c>
      <c r="L473">
        <v>0.458715596330275</v>
      </c>
      <c r="M473">
        <v>0.3680169632971129</v>
      </c>
      <c r="N473">
        <v>0</v>
      </c>
      <c r="O473">
        <v>0.4803714819458942</v>
      </c>
      <c r="P473" t="s">
        <v>523</v>
      </c>
      <c r="Q473" t="s">
        <v>618</v>
      </c>
      <c r="R473">
        <v>8</v>
      </c>
      <c r="S473">
        <v>0.8695652173913043</v>
      </c>
      <c r="T473">
        <v>31</v>
      </c>
      <c r="U473">
        <v>0.2087096774193548</v>
      </c>
      <c r="V473">
        <v>0.7631</v>
      </c>
      <c r="W473">
        <v>3.45</v>
      </c>
      <c r="X473">
        <v>3</v>
      </c>
      <c r="Y473">
        <v>-0.8385579999999999</v>
      </c>
      <c r="Z473">
        <v>0.9983079526226735</v>
      </c>
      <c r="AA473">
        <v>0.003316749585406302</v>
      </c>
      <c r="AB473">
        <v>0.02897350993377483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5.97</v>
      </c>
      <c r="D474">
        <v>639.862364</v>
      </c>
      <c r="E474" t="s">
        <v>648</v>
      </c>
      <c r="F474" t="s">
        <v>615</v>
      </c>
      <c r="G474" t="s">
        <v>653</v>
      </c>
      <c r="H474" t="s">
        <v>682</v>
      </c>
      <c r="I474" t="s">
        <v>1154</v>
      </c>
      <c r="J474" t="s">
        <v>1285</v>
      </c>
      <c r="K474">
        <v>43881</v>
      </c>
      <c r="L474">
        <v>0.421455938697318</v>
      </c>
      <c r="M474">
        <v>0.298044764779599</v>
      </c>
      <c r="N474">
        <v>0.02</v>
      </c>
      <c r="O474">
        <v>0.4291106290903801</v>
      </c>
      <c r="P474" t="s">
        <v>523</v>
      </c>
      <c r="Q474" t="s">
        <v>618</v>
      </c>
      <c r="R474">
        <v>1</v>
      </c>
      <c r="S474">
        <v>0.7857142857142858</v>
      </c>
      <c r="T474">
        <v>22</v>
      </c>
      <c r="U474">
        <v>0.2713636363636364</v>
      </c>
      <c r="V474">
        <v>0.1756</v>
      </c>
      <c r="W474">
        <v>2.8</v>
      </c>
      <c r="X474">
        <v>2.2</v>
      </c>
      <c r="Y474">
        <v>-0.754006</v>
      </c>
      <c r="Z474">
        <v>0.9949238578680203</v>
      </c>
      <c r="AA474">
        <v>0.01990049751243781</v>
      </c>
      <c r="AB474">
        <v>0.130794701986755</v>
      </c>
      <c r="AC474">
        <v>0.9933774834437087</v>
      </c>
      <c r="AD474">
        <v>0.9966887417218543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13.42</v>
      </c>
      <c r="D475">
        <v>2718.05094</v>
      </c>
      <c r="E475" t="s">
        <v>648</v>
      </c>
      <c r="F475" t="s">
        <v>613</v>
      </c>
      <c r="G475" t="s">
        <v>653</v>
      </c>
      <c r="H475" t="s">
        <v>682</v>
      </c>
      <c r="I475" t="s">
        <v>1155</v>
      </c>
      <c r="J475" t="s">
        <v>1285</v>
      </c>
      <c r="K475">
        <v>43886</v>
      </c>
      <c r="L475">
        <v>0.312178387650085</v>
      </c>
      <c r="M475">
        <v>0.2181758822691771</v>
      </c>
      <c r="N475">
        <v>0.03</v>
      </c>
      <c r="O475">
        <v>0.3497205574809923</v>
      </c>
      <c r="P475" t="s">
        <v>523</v>
      </c>
      <c r="Q475" t="s">
        <v>618</v>
      </c>
      <c r="R475">
        <v>0</v>
      </c>
      <c r="S475">
        <v>0.91</v>
      </c>
      <c r="T475">
        <v>36</v>
      </c>
      <c r="U475">
        <v>0.3727777777777778</v>
      </c>
      <c r="V475">
        <v>-1.4354</v>
      </c>
      <c r="W475">
        <v>4</v>
      </c>
      <c r="X475">
        <v>3.64</v>
      </c>
      <c r="Y475">
        <v>-0.714216</v>
      </c>
      <c r="Z475">
        <v>0.9864636209813875</v>
      </c>
      <c r="AA475">
        <v>0.03316749585406302</v>
      </c>
      <c r="AB475">
        <v>0.2185430463576159</v>
      </c>
      <c r="AC475">
        <v>0.9801324503311258</v>
      </c>
      <c r="AD475">
        <v>0.9867549668874172</v>
      </c>
    </row>
    <row r="476" spans="1:30">
      <c r="A476" s="1" t="s">
        <v>483</v>
      </c>
      <c r="B476">
        <f>HYPERLINK("https://www.suredividend.com/sure-analysis-BPY/","Brookfield Property Partners LP")</f>
        <v>0</v>
      </c>
      <c r="C476">
        <v>8.935</v>
      </c>
      <c r="D476">
        <v>8031.124836</v>
      </c>
      <c r="E476" t="s">
        <v>645</v>
      </c>
      <c r="F476" t="s">
        <v>614</v>
      </c>
      <c r="G476" t="s">
        <v>661</v>
      </c>
      <c r="H476" t="s">
        <v>683</v>
      </c>
      <c r="I476" t="s">
        <v>1156</v>
      </c>
      <c r="J476" t="s">
        <v>1282</v>
      </c>
      <c r="K476">
        <v>43867</v>
      </c>
      <c r="L476">
        <v>0.155294117647058</v>
      </c>
      <c r="M476">
        <v>0.2081661282749374</v>
      </c>
      <c r="N476">
        <v>0.05</v>
      </c>
      <c r="O476">
        <v>0.3292442412260783</v>
      </c>
      <c r="P476" t="s">
        <v>523</v>
      </c>
      <c r="Q476" t="s">
        <v>618</v>
      </c>
      <c r="R476">
        <v>13</v>
      </c>
      <c r="S476">
        <v>0.9230769230769231</v>
      </c>
      <c r="T476">
        <v>23</v>
      </c>
      <c r="U476">
        <v>0.3884782608695652</v>
      </c>
      <c r="V476">
        <v>1.8955</v>
      </c>
      <c r="W476">
        <v>1.43</v>
      </c>
      <c r="X476">
        <v>1.32</v>
      </c>
      <c r="Y476">
        <v>-0.578373</v>
      </c>
      <c r="Z476">
        <v>0.9221658206429779</v>
      </c>
      <c r="AA476">
        <v>0.09286898839137646</v>
      </c>
      <c r="AB476">
        <v>0.5033112582781457</v>
      </c>
      <c r="AC476">
        <v>0.9735099337748345</v>
      </c>
      <c r="AD476">
        <v>0.9801324503311258</v>
      </c>
    </row>
    <row r="477" spans="1:30">
      <c r="A477" s="1" t="s">
        <v>484</v>
      </c>
      <c r="B477">
        <f>HYPERLINK("https://www.suredividend.com/sure-analysis-EPR/","EPR Properties")</f>
        <v>0</v>
      </c>
      <c r="C477">
        <v>25.62</v>
      </c>
      <c r="D477">
        <v>2084.78046</v>
      </c>
      <c r="E477" t="s">
        <v>644</v>
      </c>
      <c r="F477" t="s">
        <v>614</v>
      </c>
      <c r="G477" t="s">
        <v>653</v>
      </c>
      <c r="H477" t="s">
        <v>682</v>
      </c>
      <c r="I477" t="s">
        <v>1157</v>
      </c>
      <c r="J477" t="s">
        <v>1282</v>
      </c>
      <c r="K477">
        <v>43892</v>
      </c>
      <c r="L477">
        <v>0.169619298906897</v>
      </c>
      <c r="M477">
        <v>0.2009368462112329</v>
      </c>
      <c r="N477">
        <v>0.05</v>
      </c>
      <c r="O477">
        <v>0.3285830474993738</v>
      </c>
      <c r="P477" t="s">
        <v>523</v>
      </c>
      <c r="Q477" t="s">
        <v>618</v>
      </c>
      <c r="R477">
        <v>10</v>
      </c>
      <c r="S477">
        <v>0.8490566037735849</v>
      </c>
      <c r="T477">
        <v>64</v>
      </c>
      <c r="U477">
        <v>0.4003125</v>
      </c>
      <c r="V477">
        <v>2.3108</v>
      </c>
      <c r="W477">
        <v>5.3</v>
      </c>
      <c r="X477">
        <v>4.5</v>
      </c>
      <c r="Y477">
        <v>-0.656347</v>
      </c>
      <c r="Z477">
        <v>0.9390862944162437</v>
      </c>
      <c r="AA477">
        <v>0.05638474295190713</v>
      </c>
      <c r="AB477">
        <v>0.5033112582781457</v>
      </c>
      <c r="AC477">
        <v>0.9685430463576159</v>
      </c>
      <c r="AD477">
        <v>0.978476821192053</v>
      </c>
    </row>
    <row r="478" spans="1:30">
      <c r="A478" s="1" t="s">
        <v>485</v>
      </c>
      <c r="B478">
        <f>HYPERLINK("https://www.suredividend.com/sure-analysis-CLDT/","Chatham Lodging Trust")</f>
        <v>0</v>
      </c>
      <c r="C478">
        <v>6.5</v>
      </c>
      <c r="D478">
        <v>288.7917</v>
      </c>
      <c r="E478" t="s">
        <v>650</v>
      </c>
      <c r="F478" t="s">
        <v>614</v>
      </c>
      <c r="G478" t="s">
        <v>653</v>
      </c>
      <c r="H478" t="s">
        <v>682</v>
      </c>
      <c r="I478" t="s">
        <v>1158</v>
      </c>
      <c r="J478" t="s">
        <v>1282</v>
      </c>
      <c r="K478">
        <v>43888</v>
      </c>
      <c r="L478">
        <v>0.214634146341463</v>
      </c>
      <c r="M478">
        <v>0.212012539154832</v>
      </c>
      <c r="N478">
        <v>0.02</v>
      </c>
      <c r="O478">
        <v>0.3130439944738526</v>
      </c>
      <c r="P478" t="s">
        <v>523</v>
      </c>
      <c r="Q478" t="s">
        <v>618</v>
      </c>
      <c r="R478">
        <v>0</v>
      </c>
      <c r="S478">
        <v>0.75</v>
      </c>
      <c r="T478">
        <v>17</v>
      </c>
      <c r="U478">
        <v>0.3823529411764706</v>
      </c>
      <c r="V478">
        <v>0.3933</v>
      </c>
      <c r="W478">
        <v>1.76</v>
      </c>
      <c r="X478">
        <v>1.32</v>
      </c>
      <c r="Y478">
        <v>-0.6915749999999999</v>
      </c>
      <c r="Z478">
        <v>0.9627749576988155</v>
      </c>
      <c r="AA478">
        <v>0.04145936981757878</v>
      </c>
      <c r="AB478">
        <v>0.130794701986755</v>
      </c>
      <c r="AC478">
        <v>0.9768211920529801</v>
      </c>
      <c r="AD478">
        <v>0.9735099337748345</v>
      </c>
    </row>
    <row r="479" spans="1:30">
      <c r="A479" s="1" t="s">
        <v>486</v>
      </c>
      <c r="B479">
        <f>HYPERLINK("https://www.suredividend.com/sure-analysis-CIM/","Chimera Investment Corp.")</f>
        <v>0</v>
      </c>
      <c r="C479">
        <v>7.95</v>
      </c>
      <c r="D479">
        <v>1467.85184</v>
      </c>
      <c r="E479" t="s">
        <v>648</v>
      </c>
      <c r="F479" t="s">
        <v>613</v>
      </c>
      <c r="G479" t="s">
        <v>653</v>
      </c>
      <c r="H479" t="s">
        <v>682</v>
      </c>
      <c r="I479" t="s">
        <v>1159</v>
      </c>
      <c r="J479" t="s">
        <v>1282</v>
      </c>
      <c r="K479">
        <v>43874</v>
      </c>
      <c r="L479">
        <v>0.255102040816326</v>
      </c>
      <c r="M479">
        <v>0.1641698793020858</v>
      </c>
      <c r="N479">
        <v>0.026</v>
      </c>
      <c r="O479">
        <v>0.3009516749625956</v>
      </c>
      <c r="P479" t="s">
        <v>523</v>
      </c>
      <c r="Q479" t="s">
        <v>618</v>
      </c>
      <c r="R479">
        <v>0</v>
      </c>
      <c r="S479">
        <v>0.9090909090909091</v>
      </c>
      <c r="T479">
        <v>17</v>
      </c>
      <c r="U479">
        <v>0.4676470588235294</v>
      </c>
      <c r="V479">
        <v>1.8212</v>
      </c>
      <c r="W479">
        <v>2.2</v>
      </c>
      <c r="X479">
        <v>2</v>
      </c>
      <c r="Y479">
        <v>-0.584526</v>
      </c>
      <c r="Z479">
        <v>0.9729272419627749</v>
      </c>
      <c r="AA479">
        <v>0.08955223880597014</v>
      </c>
      <c r="AB479">
        <v>0.1754966887417218</v>
      </c>
      <c r="AC479">
        <v>0.9437086092715232</v>
      </c>
      <c r="AD479">
        <v>0.9652317880794702</v>
      </c>
    </row>
    <row r="480" spans="1:30">
      <c r="A480" s="1" t="s">
        <v>487</v>
      </c>
      <c r="B480">
        <f>HYPERLINK("https://www.suredividend.com/sure-analysis-OXY/","Occidental Petroleum Corp.")</f>
        <v>0</v>
      </c>
      <c r="C480">
        <v>13.88</v>
      </c>
      <c r="D480">
        <v>12060.2412</v>
      </c>
      <c r="E480" t="s">
        <v>648</v>
      </c>
      <c r="F480" t="s">
        <v>613</v>
      </c>
      <c r="G480" t="s">
        <v>653</v>
      </c>
      <c r="H480" t="s">
        <v>682</v>
      </c>
      <c r="I480" t="s">
        <v>1160</v>
      </c>
      <c r="J480" t="s">
        <v>1285</v>
      </c>
      <c r="K480">
        <v>43893</v>
      </c>
      <c r="L480">
        <v>0.235074626865671</v>
      </c>
      <c r="M480">
        <v>-0.1304552748193449</v>
      </c>
      <c r="N480">
        <v>0.38</v>
      </c>
      <c r="O480">
        <v>0.2954125323310115</v>
      </c>
      <c r="P480" t="s">
        <v>523</v>
      </c>
      <c r="Q480" t="s">
        <v>371</v>
      </c>
      <c r="R480">
        <v>17</v>
      </c>
      <c r="S480">
        <v>6.3</v>
      </c>
      <c r="T480">
        <v>6.9</v>
      </c>
      <c r="U480">
        <v>2.011594202898551</v>
      </c>
      <c r="V480">
        <v>-4.2181</v>
      </c>
      <c r="W480">
        <v>0.5</v>
      </c>
      <c r="X480">
        <v>3.15</v>
      </c>
      <c r="Y480">
        <v>-0.7755069999999999</v>
      </c>
      <c r="Z480">
        <v>0.9644670050761421</v>
      </c>
      <c r="AA480">
        <v>0.01492537313432836</v>
      </c>
      <c r="AB480">
        <v>0.9925496688741723</v>
      </c>
      <c r="AC480">
        <v>0.03642384105960265</v>
      </c>
      <c r="AD480">
        <v>0.9635761589403974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8.1</v>
      </c>
      <c r="D481">
        <v>744.75401</v>
      </c>
      <c r="E481" t="s">
        <v>650</v>
      </c>
      <c r="F481" t="s">
        <v>615</v>
      </c>
      <c r="G481" t="s">
        <v>653</v>
      </c>
      <c r="H481" t="s">
        <v>682</v>
      </c>
      <c r="I481" t="s">
        <v>1161</v>
      </c>
      <c r="J481" t="s">
        <v>1285</v>
      </c>
      <c r="K481">
        <v>43886</v>
      </c>
      <c r="L481">
        <v>0.272727272727272</v>
      </c>
      <c r="M481">
        <v>0.154315729866503</v>
      </c>
      <c r="N481">
        <v>0.01</v>
      </c>
      <c r="O481">
        <v>0.2810595268385034</v>
      </c>
      <c r="P481" t="s">
        <v>523</v>
      </c>
      <c r="Q481" t="s">
        <v>618</v>
      </c>
      <c r="R481">
        <v>0</v>
      </c>
      <c r="S481">
        <v>0.8860759493670886</v>
      </c>
      <c r="T481">
        <v>16.6</v>
      </c>
      <c r="U481">
        <v>0.4879518072289156</v>
      </c>
      <c r="V481">
        <v>-6.3974</v>
      </c>
      <c r="W481">
        <v>2.37</v>
      </c>
      <c r="X481">
        <v>2.1</v>
      </c>
      <c r="Y481">
        <v>-0.53305</v>
      </c>
      <c r="Z481">
        <v>0.9780033840947547</v>
      </c>
      <c r="AA481">
        <v>0.1227197346600332</v>
      </c>
      <c r="AB481">
        <v>0.05711920529801325</v>
      </c>
      <c r="AC481">
        <v>0.9321192052980132</v>
      </c>
      <c r="AD481">
        <v>0.9569536423841059</v>
      </c>
    </row>
    <row r="482" spans="1:30">
      <c r="A482" s="1" t="s">
        <v>489</v>
      </c>
      <c r="B482">
        <f>HYPERLINK("https://www.suredividend.com/sure-analysis-APA/","Apache Corp.")</f>
        <v>0</v>
      </c>
      <c r="C482">
        <v>11.88</v>
      </c>
      <c r="D482">
        <v>4381.82298</v>
      </c>
      <c r="E482" t="s">
        <v>648</v>
      </c>
      <c r="F482" t="s">
        <v>613</v>
      </c>
      <c r="G482" t="s">
        <v>653</v>
      </c>
      <c r="H482" t="s">
        <v>682</v>
      </c>
      <c r="I482" t="s">
        <v>1162</v>
      </c>
      <c r="J482" t="s">
        <v>1285</v>
      </c>
      <c r="K482">
        <v>43888</v>
      </c>
      <c r="L482">
        <v>0.08613264427217901</v>
      </c>
      <c r="M482">
        <v>-0.2260026034994236</v>
      </c>
      <c r="N482">
        <v>0.585</v>
      </c>
      <c r="O482">
        <v>0.2657455084674956</v>
      </c>
      <c r="P482" t="s">
        <v>523</v>
      </c>
      <c r="Q482" t="s">
        <v>317</v>
      </c>
      <c r="R482">
        <v>0</v>
      </c>
      <c r="S482">
        <v>4</v>
      </c>
      <c r="T482">
        <v>3.3</v>
      </c>
      <c r="U482">
        <v>3.600000000000001</v>
      </c>
      <c r="V482">
        <v>-9.4247</v>
      </c>
      <c r="W482">
        <v>0.25</v>
      </c>
      <c r="X482">
        <v>1</v>
      </c>
      <c r="Y482">
        <v>-0.6194689999999999</v>
      </c>
      <c r="Z482">
        <v>0.8071065989847717</v>
      </c>
      <c r="AA482">
        <v>0.07296849087893864</v>
      </c>
      <c r="AB482">
        <v>0.9983443708609272</v>
      </c>
      <c r="AC482">
        <v>0.009933774834437087</v>
      </c>
      <c r="AD482">
        <v>0.9470198675496688</v>
      </c>
    </row>
    <row r="483" spans="1:30">
      <c r="A483" s="1" t="s">
        <v>490</v>
      </c>
      <c r="B483">
        <f>HYPERLINK("https://www.suredividend.com/sure-analysis-ALARF/","Alaris Royalty Corp.")</f>
        <v>0</v>
      </c>
      <c r="C483">
        <v>6.66</v>
      </c>
      <c r="D483">
        <v>244.48194</v>
      </c>
      <c r="E483" t="s">
        <v>648</v>
      </c>
      <c r="F483" t="s">
        <v>613</v>
      </c>
      <c r="G483" t="s">
        <v>654</v>
      </c>
      <c r="H483" t="s">
        <v>684</v>
      </c>
      <c r="I483" t="s">
        <v>1163</v>
      </c>
      <c r="J483" t="s">
        <v>1277</v>
      </c>
      <c r="K483">
        <v>43900</v>
      </c>
      <c r="L483">
        <v>0.186162931587702</v>
      </c>
      <c r="M483">
        <v>0.1431252679700847</v>
      </c>
      <c r="N483">
        <v>0.02</v>
      </c>
      <c r="O483">
        <v>0.254969132705466</v>
      </c>
      <c r="P483" t="s">
        <v>523</v>
      </c>
      <c r="Q483" t="s">
        <v>618</v>
      </c>
      <c r="R483">
        <v>0</v>
      </c>
      <c r="S483">
        <v>0.8856036602672144</v>
      </c>
      <c r="T483">
        <v>13</v>
      </c>
      <c r="U483">
        <v>0.5123076923076924</v>
      </c>
      <c r="V483">
        <v>-0.3524</v>
      </c>
      <c r="W483">
        <v>1.4</v>
      </c>
      <c r="X483">
        <v>1.2398451243741</v>
      </c>
      <c r="Y483">
        <v>-0.515084</v>
      </c>
      <c r="Z483">
        <v>0.9560067681895092</v>
      </c>
      <c r="AA483">
        <v>0.1376451077943615</v>
      </c>
      <c r="AB483">
        <v>0.130794701986755</v>
      </c>
      <c r="AC483">
        <v>0.9172185430463575</v>
      </c>
      <c r="AD483">
        <v>0.9370860927152317</v>
      </c>
    </row>
    <row r="484" spans="1:30">
      <c r="A484" s="1" t="s">
        <v>491</v>
      </c>
      <c r="B484">
        <f>HYPERLINK("https://www.suredividend.com/sure-analysis-DHC/","Diversified Healthcare Trust")</f>
        <v>0</v>
      </c>
      <c r="C484">
        <v>2.805</v>
      </c>
      <c r="D484">
        <v>708.92412</v>
      </c>
      <c r="E484" t="s">
        <v>642</v>
      </c>
      <c r="F484" t="s">
        <v>614</v>
      </c>
      <c r="G484" t="s">
        <v>653</v>
      </c>
      <c r="H484" t="s">
        <v>683</v>
      </c>
      <c r="I484" t="s">
        <v>1164</v>
      </c>
      <c r="J484" t="s">
        <v>1282</v>
      </c>
      <c r="K484">
        <v>43922</v>
      </c>
      <c r="L484">
        <v>0.281879194630872</v>
      </c>
      <c r="M484">
        <v>0.1399667358698067</v>
      </c>
      <c r="N484">
        <v>-0.01</v>
      </c>
      <c r="O484">
        <v>0.2506688808324766</v>
      </c>
      <c r="P484" t="s">
        <v>523</v>
      </c>
      <c r="Q484" t="s">
        <v>618</v>
      </c>
      <c r="R484">
        <v>0</v>
      </c>
      <c r="S484">
        <v>0.9333333333333332</v>
      </c>
      <c r="T484">
        <v>5.4</v>
      </c>
      <c r="U484">
        <v>0.5194444444444445</v>
      </c>
      <c r="V484">
        <v>-0.3713</v>
      </c>
      <c r="W484">
        <v>0.9</v>
      </c>
      <c r="X484">
        <v>0.84</v>
      </c>
      <c r="Y484">
        <v>-0.620807</v>
      </c>
      <c r="Z484">
        <v>0.9813874788494078</v>
      </c>
      <c r="AA484">
        <v>0.07131011608623548</v>
      </c>
      <c r="AB484">
        <v>0.01241721854304636</v>
      </c>
      <c r="AC484">
        <v>0.9056291390728477</v>
      </c>
      <c r="AD484">
        <v>0.9337748344370861</v>
      </c>
    </row>
    <row r="485" spans="1:30">
      <c r="A485" s="1" t="s">
        <v>492</v>
      </c>
      <c r="B485">
        <f>HYPERLINK("https://www.suredividend.com/sure-analysis-LUV/","Southwest Airlines Co.")</f>
        <v>0</v>
      </c>
      <c r="C485">
        <v>25.45</v>
      </c>
      <c r="D485">
        <v>12686.52798</v>
      </c>
      <c r="E485" t="s">
        <v>644</v>
      </c>
      <c r="F485" t="s">
        <v>613</v>
      </c>
      <c r="G485" t="s">
        <v>653</v>
      </c>
      <c r="H485" t="s">
        <v>682</v>
      </c>
      <c r="I485" t="s">
        <v>1165</v>
      </c>
      <c r="J485" t="s">
        <v>1278</v>
      </c>
      <c r="K485">
        <v>43950</v>
      </c>
      <c r="L485">
        <v>0.028880866425992</v>
      </c>
      <c r="M485">
        <v>0.144607121143564</v>
      </c>
      <c r="N485">
        <v>0.08</v>
      </c>
      <c r="O485">
        <v>0.2423336175235418</v>
      </c>
      <c r="P485" t="s">
        <v>523</v>
      </c>
      <c r="Q485" t="s">
        <v>523</v>
      </c>
      <c r="R485">
        <v>8</v>
      </c>
      <c r="S485">
        <v>9.99</v>
      </c>
      <c r="T485">
        <v>50</v>
      </c>
      <c r="U485">
        <v>0.509</v>
      </c>
      <c r="V485">
        <v>3.4001</v>
      </c>
      <c r="W485">
        <v>-3</v>
      </c>
      <c r="X485">
        <v>0.72</v>
      </c>
      <c r="Y485">
        <v>-0.522505</v>
      </c>
      <c r="Z485">
        <v>0.3401015228426396</v>
      </c>
      <c r="AA485">
        <v>0.1310116086235489</v>
      </c>
      <c r="AB485">
        <v>0.8228476821192053</v>
      </c>
      <c r="AC485">
        <v>0.9238410596026491</v>
      </c>
      <c r="AD485">
        <v>0.9221854304635762</v>
      </c>
    </row>
    <row r="486" spans="1:30">
      <c r="A486" s="1" t="s">
        <v>493</v>
      </c>
      <c r="B486">
        <f>HYPERLINK("https://www.suredividend.com/sure-analysis-FUN/","Cedar Fair LP")</f>
        <v>0</v>
      </c>
      <c r="C486">
        <v>25.14</v>
      </c>
      <c r="D486">
        <v>1453.86492</v>
      </c>
      <c r="E486" t="s">
        <v>643</v>
      </c>
      <c r="F486" t="s">
        <v>613</v>
      </c>
      <c r="G486" t="s">
        <v>653</v>
      </c>
      <c r="H486" t="s">
        <v>682</v>
      </c>
      <c r="I486" t="s">
        <v>1166</v>
      </c>
      <c r="J486" t="s">
        <v>1280</v>
      </c>
      <c r="K486">
        <v>43877</v>
      </c>
      <c r="L486">
        <v>0.145085803432137</v>
      </c>
      <c r="M486">
        <v>0.1333042486962015</v>
      </c>
      <c r="N486">
        <v>0.027</v>
      </c>
      <c r="O486">
        <v>0.2408664899872108</v>
      </c>
      <c r="P486" t="s">
        <v>523</v>
      </c>
      <c r="Q486" t="s">
        <v>371</v>
      </c>
      <c r="R486">
        <v>9</v>
      </c>
      <c r="S486">
        <v>1.18849840255591</v>
      </c>
      <c r="T486">
        <v>47</v>
      </c>
      <c r="U486">
        <v>0.5348936170212766</v>
      </c>
      <c r="W486">
        <v>3.13</v>
      </c>
      <c r="X486">
        <v>3.72</v>
      </c>
      <c r="Y486">
        <v>-0.531347</v>
      </c>
      <c r="Z486">
        <v>0.9052453468697124</v>
      </c>
      <c r="AA486">
        <v>0.1243781094527363</v>
      </c>
      <c r="AB486">
        <v>0.1779801324503311</v>
      </c>
      <c r="AC486">
        <v>0.8990066225165563</v>
      </c>
      <c r="AD486">
        <v>0.9188741721854305</v>
      </c>
    </row>
    <row r="487" spans="1:30">
      <c r="A487" s="1" t="s">
        <v>494</v>
      </c>
      <c r="B487">
        <f>HYPERLINK("https://www.suredividend.com/sure-analysis-M/","Macy's, Inc.")</f>
        <v>0</v>
      </c>
      <c r="C487">
        <v>5.08</v>
      </c>
      <c r="D487">
        <v>1545.2533</v>
      </c>
      <c r="E487" t="s">
        <v>646</v>
      </c>
      <c r="F487" t="s">
        <v>613</v>
      </c>
      <c r="G487" t="s">
        <v>653</v>
      </c>
      <c r="H487" t="s">
        <v>682</v>
      </c>
      <c r="I487" t="s">
        <v>1167</v>
      </c>
      <c r="J487" t="s">
        <v>1280</v>
      </c>
      <c r="K487">
        <v>43903</v>
      </c>
      <c r="L487">
        <v>0.302605210420841</v>
      </c>
      <c r="M487">
        <v>0.1875817274087614</v>
      </c>
      <c r="N487">
        <v>-0.06</v>
      </c>
      <c r="O487">
        <v>0.2374981955230164</v>
      </c>
      <c r="P487" t="s">
        <v>523</v>
      </c>
      <c r="Q487" t="s">
        <v>618</v>
      </c>
      <c r="R487">
        <v>0</v>
      </c>
      <c r="S487">
        <v>0.755</v>
      </c>
      <c r="T487">
        <v>12</v>
      </c>
      <c r="U487">
        <v>0.4233333333333333</v>
      </c>
      <c r="V487">
        <v>1.8212</v>
      </c>
      <c r="W487">
        <v>2</v>
      </c>
      <c r="X487">
        <v>1.51</v>
      </c>
      <c r="Y487">
        <v>-0.781044</v>
      </c>
      <c r="Z487">
        <v>0.984771573604061</v>
      </c>
      <c r="AA487">
        <v>0.01160862354892206</v>
      </c>
      <c r="AB487">
        <v>0.004966887417218543</v>
      </c>
      <c r="AC487">
        <v>0.9569536423841059</v>
      </c>
      <c r="AD487">
        <v>0.912251655629139</v>
      </c>
    </row>
    <row r="488" spans="1:30">
      <c r="A488" s="1" t="s">
        <v>495</v>
      </c>
      <c r="B488">
        <f>HYPERLINK("https://www.suredividend.com/sure-analysis-HP/","Helmerich &amp; Payne, Inc.")</f>
        <v>0</v>
      </c>
      <c r="C488">
        <v>16.33</v>
      </c>
      <c r="D488">
        <v>1714.39128</v>
      </c>
      <c r="E488" t="s">
        <v>648</v>
      </c>
      <c r="F488" t="s">
        <v>613</v>
      </c>
      <c r="G488" t="s">
        <v>653</v>
      </c>
      <c r="H488" t="s">
        <v>682</v>
      </c>
      <c r="I488" t="s">
        <v>1168</v>
      </c>
      <c r="J488" t="s">
        <v>1285</v>
      </c>
      <c r="K488">
        <v>43865</v>
      </c>
      <c r="L488">
        <v>0.177944862155388</v>
      </c>
      <c r="M488">
        <v>-0.1123305674421696</v>
      </c>
      <c r="N488">
        <v>0.295</v>
      </c>
      <c r="O488">
        <v>0.2353297764965048</v>
      </c>
      <c r="P488" t="s">
        <v>523</v>
      </c>
      <c r="Q488" t="s">
        <v>371</v>
      </c>
      <c r="R488">
        <v>47</v>
      </c>
      <c r="S488">
        <v>5.163636363636363</v>
      </c>
      <c r="T488">
        <v>9</v>
      </c>
      <c r="U488">
        <v>1.814444444444444</v>
      </c>
      <c r="V488">
        <v>-4.66</v>
      </c>
      <c r="W488">
        <v>0.55</v>
      </c>
      <c r="X488">
        <v>2.84</v>
      </c>
      <c r="Y488">
        <v>-0.720637</v>
      </c>
      <c r="Z488">
        <v>0.9458544839255499</v>
      </c>
      <c r="AA488">
        <v>0.02819237147595357</v>
      </c>
      <c r="AB488">
        <v>0.9884105960264901</v>
      </c>
      <c r="AC488">
        <v>0.04635761589403973</v>
      </c>
      <c r="AD488">
        <v>0.9089403973509934</v>
      </c>
    </row>
    <row r="489" spans="1:30">
      <c r="A489" s="1" t="s">
        <v>496</v>
      </c>
      <c r="B489">
        <f>HYPERLINK("https://www.suredividend.com/sure-analysis-BA/","The Boeing Co.")</f>
        <v>0</v>
      </c>
      <c r="C489">
        <v>128.65</v>
      </c>
      <c r="D489">
        <v>68768.64449999999</v>
      </c>
      <c r="E489" t="s">
        <v>643</v>
      </c>
      <c r="F489" t="s">
        <v>613</v>
      </c>
      <c r="G489" t="s">
        <v>653</v>
      </c>
      <c r="H489" t="s">
        <v>682</v>
      </c>
      <c r="I489" t="s">
        <v>1169</v>
      </c>
      <c r="J489" t="s">
        <v>1278</v>
      </c>
      <c r="K489">
        <v>43867</v>
      </c>
      <c r="L489">
        <v>0.06745445593303701</v>
      </c>
      <c r="M489">
        <v>0.0352764334682607</v>
      </c>
      <c r="N489">
        <v>0.15</v>
      </c>
      <c r="O489">
        <v>0.2253721147115899</v>
      </c>
      <c r="P489" t="s">
        <v>523</v>
      </c>
      <c r="Q489" t="s">
        <v>317</v>
      </c>
      <c r="R489">
        <v>8</v>
      </c>
      <c r="S489">
        <v>0.8580375782881002</v>
      </c>
      <c r="T489">
        <v>153</v>
      </c>
      <c r="U489">
        <v>0.8408496732026144</v>
      </c>
      <c r="V489">
        <v>-6.0498</v>
      </c>
      <c r="W489">
        <v>9.58</v>
      </c>
      <c r="X489">
        <v>8.220000000000001</v>
      </c>
      <c r="Y489">
        <v>-0.658875</v>
      </c>
      <c r="Z489">
        <v>0.6971235194585448</v>
      </c>
      <c r="AA489">
        <v>0.05472636815920398</v>
      </c>
      <c r="AB489">
        <v>0.962748344370861</v>
      </c>
      <c r="AC489">
        <v>0.5943708609271523</v>
      </c>
      <c r="AD489">
        <v>0.8956953642384106</v>
      </c>
    </row>
    <row r="490" spans="1:30">
      <c r="A490" s="1" t="s">
        <v>497</v>
      </c>
      <c r="B490">
        <f>HYPERLINK("https://www.suredividend.com/sure-analysis-SCM/","Stellus Capital Investment Corp.")</f>
        <v>0</v>
      </c>
      <c r="C490">
        <v>7.26</v>
      </c>
      <c r="D490">
        <v>144.88656</v>
      </c>
      <c r="E490" t="s">
        <v>644</v>
      </c>
      <c r="F490" t="s">
        <v>613</v>
      </c>
      <c r="G490" t="s">
        <v>653</v>
      </c>
      <c r="H490" t="s">
        <v>682</v>
      </c>
      <c r="I490" t="s">
        <v>1170</v>
      </c>
      <c r="J490" t="s">
        <v>1277</v>
      </c>
      <c r="K490">
        <v>43898</v>
      </c>
      <c r="L490">
        <v>0.18274193548387</v>
      </c>
      <c r="M490">
        <v>0.1057295730319741</v>
      </c>
      <c r="N490">
        <v>0.02</v>
      </c>
      <c r="O490">
        <v>0.2252679892407468</v>
      </c>
      <c r="P490" t="s">
        <v>523</v>
      </c>
      <c r="Q490" t="s">
        <v>371</v>
      </c>
      <c r="R490">
        <v>0</v>
      </c>
      <c r="S490">
        <v>1.0621875</v>
      </c>
      <c r="T490">
        <v>12</v>
      </c>
      <c r="U490">
        <v>0.605</v>
      </c>
      <c r="V490">
        <v>1.4825</v>
      </c>
      <c r="W490">
        <v>1.28</v>
      </c>
      <c r="X490">
        <v>1.3596</v>
      </c>
      <c r="Y490">
        <v>-0.485477</v>
      </c>
      <c r="Z490">
        <v>0.9543147208121827</v>
      </c>
      <c r="AA490">
        <v>0.1691542288557214</v>
      </c>
      <c r="AB490">
        <v>0.130794701986755</v>
      </c>
      <c r="AC490">
        <v>0.8460264900662251</v>
      </c>
      <c r="AD490">
        <v>0.8940397350993378</v>
      </c>
    </row>
    <row r="491" spans="1:30">
      <c r="A491" s="1" t="s">
        <v>498</v>
      </c>
      <c r="B491">
        <f>HYPERLINK("https://www.suredividend.com/sure-analysis-MGM/","MGM Resorts International")</f>
        <v>0</v>
      </c>
      <c r="C491">
        <v>14.93</v>
      </c>
      <c r="D491">
        <v>6859.78605</v>
      </c>
      <c r="E491" t="s">
        <v>648</v>
      </c>
      <c r="F491" t="s">
        <v>613</v>
      </c>
      <c r="G491" t="s">
        <v>653</v>
      </c>
      <c r="H491" t="s">
        <v>682</v>
      </c>
      <c r="I491" t="s">
        <v>1171</v>
      </c>
      <c r="J491" t="s">
        <v>1280</v>
      </c>
      <c r="K491">
        <v>43875</v>
      </c>
      <c r="L491">
        <v>0.03882099209202</v>
      </c>
      <c r="M491">
        <v>-0.07702903641451808</v>
      </c>
      <c r="N491">
        <v>0.29</v>
      </c>
      <c r="O491">
        <v>0.214258405304071</v>
      </c>
      <c r="P491" t="s">
        <v>523</v>
      </c>
      <c r="Q491" t="s">
        <v>523</v>
      </c>
      <c r="R491">
        <v>3</v>
      </c>
      <c r="S491">
        <v>0.9000000000000001</v>
      </c>
      <c r="T491">
        <v>10</v>
      </c>
      <c r="U491">
        <v>1.493</v>
      </c>
      <c r="V491">
        <v>5.5895</v>
      </c>
      <c r="W491">
        <v>0.6</v>
      </c>
      <c r="X491">
        <v>0.54</v>
      </c>
      <c r="Y491">
        <v>-0.440692</v>
      </c>
      <c r="Z491">
        <v>0.4636209813874788</v>
      </c>
      <c r="AA491">
        <v>0.2155887230514096</v>
      </c>
      <c r="AB491">
        <v>0.9867549668874172</v>
      </c>
      <c r="AC491">
        <v>0.09437086092715231</v>
      </c>
      <c r="AD491">
        <v>0.8807947019867549</v>
      </c>
    </row>
    <row r="492" spans="1:30">
      <c r="A492" s="1" t="s">
        <v>499</v>
      </c>
      <c r="B492">
        <f>HYPERLINK("https://www.suredividend.com/sure-analysis-CPTA/","Capitala Finance Corp.")</f>
        <v>0</v>
      </c>
      <c r="C492">
        <v>2.5</v>
      </c>
      <c r="D492">
        <v>42.780895</v>
      </c>
      <c r="E492" t="s">
        <v>649</v>
      </c>
      <c r="F492" t="s">
        <v>613</v>
      </c>
      <c r="G492" t="s">
        <v>653</v>
      </c>
      <c r="H492" t="s">
        <v>683</v>
      </c>
      <c r="I492" t="s">
        <v>1172</v>
      </c>
      <c r="J492" t="s">
        <v>1277</v>
      </c>
      <c r="K492">
        <v>43916</v>
      </c>
      <c r="L492">
        <v>0.380076045627376</v>
      </c>
      <c r="M492">
        <v>-0.2483039842469874</v>
      </c>
      <c r="N492">
        <v>0.476</v>
      </c>
      <c r="O492">
        <v>0.2061655731035497</v>
      </c>
      <c r="P492" t="s">
        <v>523</v>
      </c>
      <c r="Q492" t="s">
        <v>371</v>
      </c>
      <c r="R492">
        <v>0</v>
      </c>
      <c r="S492">
        <v>9.996</v>
      </c>
      <c r="T492">
        <v>0.6</v>
      </c>
      <c r="U492">
        <v>4.166666666666667</v>
      </c>
      <c r="V492">
        <v>-4.3248</v>
      </c>
      <c r="W492">
        <v>0.1</v>
      </c>
      <c r="X492">
        <v>0.9996</v>
      </c>
      <c r="Y492">
        <v>-0.7028249999999999</v>
      </c>
      <c r="Z492">
        <v>0.9932318104906938</v>
      </c>
      <c r="AA492">
        <v>0.03814262023217247</v>
      </c>
      <c r="AB492">
        <v>0.9950331125827815</v>
      </c>
      <c r="AC492">
        <v>0.006622516556291392</v>
      </c>
      <c r="AD492">
        <v>0.8675496688741723</v>
      </c>
    </row>
    <row r="493" spans="1:30">
      <c r="A493" s="1" t="s">
        <v>500</v>
      </c>
      <c r="B493">
        <f>HYPERLINK("https://www.suredividend.com/sure-analysis-TWO/","Two Harbors Investment Corp.")</f>
        <v>0</v>
      </c>
      <c r="C493">
        <v>4.48</v>
      </c>
      <c r="D493">
        <v>1225.40544</v>
      </c>
      <c r="E493" t="s">
        <v>649</v>
      </c>
      <c r="F493" t="s">
        <v>614</v>
      </c>
      <c r="G493" t="s">
        <v>653</v>
      </c>
      <c r="H493" t="s">
        <v>682</v>
      </c>
      <c r="I493" t="s">
        <v>1173</v>
      </c>
      <c r="J493" t="s">
        <v>1282</v>
      </c>
      <c r="K493">
        <v>43913</v>
      </c>
      <c r="L493">
        <v>0.372767857142857</v>
      </c>
      <c r="M493">
        <v>0.1172833265253117</v>
      </c>
      <c r="N493">
        <v>0</v>
      </c>
      <c r="O493">
        <v>0.2050289550800821</v>
      </c>
      <c r="P493" t="s">
        <v>523</v>
      </c>
      <c r="Q493" t="s">
        <v>371</v>
      </c>
      <c r="R493">
        <v>0</v>
      </c>
      <c r="S493">
        <v>3.34</v>
      </c>
      <c r="T493">
        <v>7.8</v>
      </c>
      <c r="U493">
        <v>0.5743589743589744</v>
      </c>
      <c r="V493">
        <v>0.8959</v>
      </c>
      <c r="W493">
        <v>0.5</v>
      </c>
      <c r="X493">
        <v>1.67</v>
      </c>
      <c r="Y493">
        <v>-0.667902</v>
      </c>
      <c r="Z493">
        <v>0.9915397631133672</v>
      </c>
      <c r="AA493">
        <v>0.05140961857379768</v>
      </c>
      <c r="AB493">
        <v>0.02897350993377483</v>
      </c>
      <c r="AC493">
        <v>0.8791390728476821</v>
      </c>
      <c r="AD493">
        <v>0.8642384105960265</v>
      </c>
    </row>
    <row r="494" spans="1:30">
      <c r="A494" s="1" t="s">
        <v>501</v>
      </c>
      <c r="B494">
        <f>HYPERLINK("https://www.suredividend.com/sure-analysis-WSR/","Whitestone REIT")</f>
        <v>0</v>
      </c>
      <c r="C494">
        <v>6.18</v>
      </c>
      <c r="D494">
        <v>242.609459</v>
      </c>
      <c r="E494" t="s">
        <v>645</v>
      </c>
      <c r="F494" t="s">
        <v>614</v>
      </c>
      <c r="G494" t="s">
        <v>653</v>
      </c>
      <c r="H494" t="s">
        <v>682</v>
      </c>
      <c r="I494" t="s">
        <v>1174</v>
      </c>
      <c r="J494" t="s">
        <v>1282</v>
      </c>
      <c r="K494">
        <v>43896</v>
      </c>
      <c r="L494">
        <v>0.197573656845753</v>
      </c>
      <c r="M494">
        <v>0.1222273325586438</v>
      </c>
      <c r="N494">
        <v>0</v>
      </c>
      <c r="O494">
        <v>0.2039400573026215</v>
      </c>
      <c r="P494" t="s">
        <v>523</v>
      </c>
      <c r="Q494" t="s">
        <v>371</v>
      </c>
      <c r="R494">
        <v>1</v>
      </c>
      <c r="S494">
        <v>1.280898876404494</v>
      </c>
      <c r="T494">
        <v>11</v>
      </c>
      <c r="U494">
        <v>0.5618181818181818</v>
      </c>
      <c r="V494">
        <v>0.5857</v>
      </c>
      <c r="W494">
        <v>0.89</v>
      </c>
      <c r="X494">
        <v>1.14</v>
      </c>
      <c r="Y494">
        <v>-0.542789</v>
      </c>
      <c r="Z494">
        <v>0.961082910321489</v>
      </c>
      <c r="AA494">
        <v>0.1144278606965174</v>
      </c>
      <c r="AB494">
        <v>0.02897350993377483</v>
      </c>
      <c r="AC494">
        <v>0.8907284768211921</v>
      </c>
      <c r="AD494">
        <v>0.8625827814569537</v>
      </c>
    </row>
    <row r="495" spans="1:30">
      <c r="A495" s="1" t="s">
        <v>502</v>
      </c>
      <c r="B495">
        <f>HYPERLINK("https://www.suredividend.com/sure-analysis-SSREY/","Swiss Re AG")</f>
        <v>0</v>
      </c>
      <c r="C495">
        <v>16.67</v>
      </c>
      <c r="D495">
        <v>18720.75927</v>
      </c>
      <c r="E495" t="s">
        <v>644</v>
      </c>
      <c r="F495" t="s">
        <v>613</v>
      </c>
      <c r="G495" t="s">
        <v>656</v>
      </c>
      <c r="H495" t="s">
        <v>684</v>
      </c>
      <c r="I495" t="s">
        <v>1175</v>
      </c>
      <c r="J495" t="s">
        <v>1277</v>
      </c>
      <c r="K495">
        <v>43890</v>
      </c>
      <c r="L495">
        <v>0.09061187762447501</v>
      </c>
      <c r="M495">
        <v>0.06649407550659414</v>
      </c>
      <c r="N495">
        <v>0.08</v>
      </c>
      <c r="O495">
        <v>0.2011028879300032</v>
      </c>
      <c r="P495" t="s">
        <v>523</v>
      </c>
      <c r="Q495" t="s">
        <v>371</v>
      </c>
      <c r="R495">
        <v>4</v>
      </c>
      <c r="S495">
        <v>1.007</v>
      </c>
      <c r="T495">
        <v>23</v>
      </c>
      <c r="U495">
        <v>0.7247826086956523</v>
      </c>
      <c r="V495">
        <v>0.5989</v>
      </c>
      <c r="W495">
        <v>1.5</v>
      </c>
      <c r="X495">
        <v>1.5105</v>
      </c>
      <c r="Y495">
        <v>-0.250787</v>
      </c>
      <c r="Z495">
        <v>0.8240270727580372</v>
      </c>
      <c r="AA495">
        <v>0.4444444444444444</v>
      </c>
      <c r="AB495">
        <v>0.8228476821192053</v>
      </c>
      <c r="AC495">
        <v>0.7317880794701986</v>
      </c>
      <c r="AD495">
        <v>0.8609271523178808</v>
      </c>
    </row>
    <row r="496" spans="1:30">
      <c r="A496" s="1" t="s">
        <v>503</v>
      </c>
      <c r="B496">
        <f>HYPERLINK("https://www.suredividend.com/sure-analysis-WFC/","Wells Fargo &amp; Co.")</f>
        <v>0</v>
      </c>
      <c r="C496">
        <v>25.23</v>
      </c>
      <c r="D496">
        <v>104729.534</v>
      </c>
      <c r="E496" t="s">
        <v>644</v>
      </c>
      <c r="F496" t="s">
        <v>613</v>
      </c>
      <c r="G496" t="s">
        <v>653</v>
      </c>
      <c r="H496" t="s">
        <v>682</v>
      </c>
      <c r="I496" t="s">
        <v>1176</v>
      </c>
      <c r="J496" t="s">
        <v>1277</v>
      </c>
      <c r="K496">
        <v>43939</v>
      </c>
      <c r="L496">
        <v>0.07731354939476701</v>
      </c>
      <c r="M496">
        <v>0.1176532496473728</v>
      </c>
      <c r="N496">
        <v>0.03</v>
      </c>
      <c r="O496">
        <v>0.1975784127885913</v>
      </c>
      <c r="P496" t="s">
        <v>523</v>
      </c>
      <c r="Q496" t="s">
        <v>317</v>
      </c>
      <c r="R496">
        <v>9</v>
      </c>
      <c r="S496">
        <v>1.36551724137931</v>
      </c>
      <c r="T496">
        <v>44</v>
      </c>
      <c r="U496">
        <v>0.5734090909090909</v>
      </c>
      <c r="V496">
        <v>2.8515</v>
      </c>
      <c r="W496">
        <v>1.45</v>
      </c>
      <c r="X496">
        <v>1.98</v>
      </c>
      <c r="Y496">
        <v>-0.45707</v>
      </c>
      <c r="Z496">
        <v>0.7698815566835872</v>
      </c>
      <c r="AA496">
        <v>0.1956882255389718</v>
      </c>
      <c r="AB496">
        <v>0.2185430463576159</v>
      </c>
      <c r="AC496">
        <v>0.8807947019867549</v>
      </c>
      <c r="AD496">
        <v>0.8543046357615894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8.029999999999999</v>
      </c>
      <c r="D497">
        <v>920.596568</v>
      </c>
      <c r="E497" t="s">
        <v>650</v>
      </c>
      <c r="F497" t="s">
        <v>614</v>
      </c>
      <c r="G497" t="s">
        <v>653</v>
      </c>
      <c r="H497" t="s">
        <v>682</v>
      </c>
      <c r="I497" t="s">
        <v>1177</v>
      </c>
      <c r="J497" t="s">
        <v>1282</v>
      </c>
      <c r="K497">
        <v>43922</v>
      </c>
      <c r="L497">
        <v>0.178010471204188</v>
      </c>
      <c r="M497">
        <v>0.06496522811163508</v>
      </c>
      <c r="N497">
        <v>0.02</v>
      </c>
      <c r="O497">
        <v>0.1924365582400001</v>
      </c>
      <c r="P497" t="s">
        <v>523</v>
      </c>
      <c r="Q497" t="s">
        <v>371</v>
      </c>
      <c r="R497">
        <v>0</v>
      </c>
      <c r="S497">
        <v>0.9999999999999999</v>
      </c>
      <c r="T497">
        <v>11</v>
      </c>
      <c r="U497">
        <v>0.73</v>
      </c>
      <c r="V497">
        <v>0.7959000000000001</v>
      </c>
      <c r="W497">
        <v>1.36</v>
      </c>
      <c r="X497">
        <v>1.36</v>
      </c>
      <c r="Y497">
        <v>-0.559908</v>
      </c>
      <c r="Z497">
        <v>0.9475465313028765</v>
      </c>
      <c r="AA497">
        <v>0.1044776119402985</v>
      </c>
      <c r="AB497">
        <v>0.130794701986755</v>
      </c>
      <c r="AC497">
        <v>0.7235099337748345</v>
      </c>
      <c r="AD497">
        <v>0.8443708609271523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11.35</v>
      </c>
      <c r="D498">
        <v>1695.31974</v>
      </c>
      <c r="E498" t="s">
        <v>650</v>
      </c>
      <c r="F498" t="s">
        <v>613</v>
      </c>
      <c r="G498" t="s">
        <v>653</v>
      </c>
      <c r="H498" t="s">
        <v>682</v>
      </c>
      <c r="I498" t="s">
        <v>1178</v>
      </c>
      <c r="J498" t="s">
        <v>1281</v>
      </c>
      <c r="K498">
        <v>43878</v>
      </c>
      <c r="L498">
        <v>0.074487895716946</v>
      </c>
      <c r="M498">
        <v>0.1309533377407337</v>
      </c>
      <c r="N498">
        <v>0.02</v>
      </c>
      <c r="O498">
        <v>0.1908825228697546</v>
      </c>
      <c r="P498" t="s">
        <v>523</v>
      </c>
      <c r="Q498" t="s">
        <v>317</v>
      </c>
      <c r="R498">
        <v>0</v>
      </c>
      <c r="S498">
        <v>9.99</v>
      </c>
      <c r="T498">
        <v>21</v>
      </c>
      <c r="U498">
        <v>0.5404761904761904</v>
      </c>
      <c r="V498">
        <v>-0.8435</v>
      </c>
      <c r="W498">
        <v>-0.2</v>
      </c>
      <c r="X498">
        <v>0.8</v>
      </c>
      <c r="Y498">
        <v>-0.488571</v>
      </c>
      <c r="Z498">
        <v>0.7495769881556683</v>
      </c>
      <c r="AA498">
        <v>0.1666666666666667</v>
      </c>
      <c r="AB498">
        <v>0.130794701986755</v>
      </c>
      <c r="AC498">
        <v>0.8940397350993378</v>
      </c>
      <c r="AD498">
        <v>0.8427152317880795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17.75</v>
      </c>
      <c r="D499">
        <v>2076.51837</v>
      </c>
      <c r="E499" t="s">
        <v>644</v>
      </c>
      <c r="F499" t="s">
        <v>613</v>
      </c>
      <c r="G499" t="s">
        <v>653</v>
      </c>
      <c r="H499" t="s">
        <v>683</v>
      </c>
      <c r="I499" t="s">
        <v>1179</v>
      </c>
      <c r="J499" t="s">
        <v>1277</v>
      </c>
      <c r="K499">
        <v>43947</v>
      </c>
      <c r="L499">
        <v>0.136286201022146</v>
      </c>
      <c r="M499">
        <v>0.110668818598368</v>
      </c>
      <c r="N499">
        <v>0</v>
      </c>
      <c r="O499">
        <v>0.1899993297070894</v>
      </c>
      <c r="P499" t="s">
        <v>523</v>
      </c>
      <c r="Q499" t="s">
        <v>371</v>
      </c>
      <c r="R499">
        <v>2</v>
      </c>
      <c r="S499">
        <v>1.090909090909091</v>
      </c>
      <c r="T499">
        <v>30</v>
      </c>
      <c r="U499">
        <v>0.5916666666666667</v>
      </c>
      <c r="V499">
        <v>-9.253299999999999</v>
      </c>
      <c r="W499">
        <v>2.2</v>
      </c>
      <c r="X499">
        <v>2.4</v>
      </c>
      <c r="Y499">
        <v>-0.557982</v>
      </c>
      <c r="Z499">
        <v>0.8950930626057531</v>
      </c>
      <c r="AA499">
        <v>0.1077943615257048</v>
      </c>
      <c r="AB499">
        <v>0.02897350993377483</v>
      </c>
      <c r="AC499">
        <v>0.8559602649006622</v>
      </c>
      <c r="AD499">
        <v>0.8394039735099338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18.99</v>
      </c>
      <c r="D500">
        <v>1609.890365</v>
      </c>
      <c r="E500" t="s">
        <v>648</v>
      </c>
      <c r="F500" t="s">
        <v>613</v>
      </c>
      <c r="G500" t="s">
        <v>653</v>
      </c>
      <c r="H500" t="s">
        <v>682</v>
      </c>
      <c r="I500" t="s">
        <v>1180</v>
      </c>
      <c r="J500" t="s">
        <v>1280</v>
      </c>
      <c r="K500">
        <v>43886</v>
      </c>
      <c r="L500">
        <v>0.14308258811152</v>
      </c>
      <c r="M500">
        <v>0.1029792590089009</v>
      </c>
      <c r="N500">
        <v>0.05</v>
      </c>
      <c r="O500">
        <v>0.1891231899536701</v>
      </c>
      <c r="P500" t="s">
        <v>523</v>
      </c>
      <c r="Q500" t="s">
        <v>371</v>
      </c>
      <c r="R500">
        <v>0</v>
      </c>
      <c r="S500">
        <v>1.6</v>
      </c>
      <c r="T500">
        <v>31</v>
      </c>
      <c r="U500">
        <v>0.6125806451612903</v>
      </c>
      <c r="V500">
        <v>1.9432</v>
      </c>
      <c r="W500">
        <v>1.7</v>
      </c>
      <c r="X500">
        <v>2.72</v>
      </c>
      <c r="Y500">
        <v>-0.649972</v>
      </c>
      <c r="Z500">
        <v>0.9018612521150593</v>
      </c>
      <c r="AA500">
        <v>0.05970149253731344</v>
      </c>
      <c r="AB500">
        <v>0.5033112582781457</v>
      </c>
      <c r="AC500">
        <v>0.8410596026490066</v>
      </c>
      <c r="AD500">
        <v>0.8327814569536425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28.13</v>
      </c>
      <c r="D501">
        <v>2363.722225</v>
      </c>
      <c r="E501" t="s">
        <v>646</v>
      </c>
      <c r="F501" t="s">
        <v>613</v>
      </c>
      <c r="G501" t="s">
        <v>653</v>
      </c>
      <c r="H501" t="s">
        <v>682</v>
      </c>
      <c r="I501" t="s">
        <v>1181</v>
      </c>
      <c r="J501" t="s">
        <v>1278</v>
      </c>
      <c r="K501">
        <v>43892</v>
      </c>
      <c r="L501">
        <v>0.146788990825688</v>
      </c>
      <c r="M501">
        <v>0.08346755742078837</v>
      </c>
      <c r="N501">
        <v>0.02</v>
      </c>
      <c r="O501">
        <v>0.1873048478629267</v>
      </c>
      <c r="P501" t="s">
        <v>523</v>
      </c>
      <c r="Q501" t="s">
        <v>618</v>
      </c>
      <c r="R501">
        <v>0</v>
      </c>
      <c r="S501">
        <v>0.7547169811320755</v>
      </c>
      <c r="T501">
        <v>42</v>
      </c>
      <c r="U501">
        <v>0.6697619047619048</v>
      </c>
      <c r="V501">
        <v>1.1236</v>
      </c>
      <c r="W501">
        <v>5.3</v>
      </c>
      <c r="X501">
        <v>4</v>
      </c>
      <c r="Y501">
        <v>-0.354571</v>
      </c>
      <c r="Z501">
        <v>0.9086294416243654</v>
      </c>
      <c r="AA501">
        <v>0.3117744610281923</v>
      </c>
      <c r="AB501">
        <v>0.130794701986755</v>
      </c>
      <c r="AC501">
        <v>0.7880794701986755</v>
      </c>
      <c r="AD501">
        <v>0.8294701986754967</v>
      </c>
    </row>
    <row r="502" spans="1:30">
      <c r="A502" s="1" t="s">
        <v>509</v>
      </c>
      <c r="B502">
        <f>HYPERLINK("https://www.suredividend.com/sure-analysis-WELL/","Welltower, Inc.")</f>
        <v>0</v>
      </c>
      <c r="C502">
        <v>42</v>
      </c>
      <c r="D502">
        <v>18606.39792</v>
      </c>
      <c r="E502" t="s">
        <v>645</v>
      </c>
      <c r="F502" t="s">
        <v>614</v>
      </c>
      <c r="G502" t="s">
        <v>653</v>
      </c>
      <c r="H502" t="s">
        <v>682</v>
      </c>
      <c r="I502" t="s">
        <v>1182</v>
      </c>
      <c r="J502" t="s">
        <v>1282</v>
      </c>
      <c r="K502">
        <v>43875</v>
      </c>
      <c r="L502">
        <v>0.076787290379523</v>
      </c>
      <c r="M502">
        <v>0.1011637965442984</v>
      </c>
      <c r="N502">
        <v>0.03</v>
      </c>
      <c r="O502">
        <v>0.1829586204946139</v>
      </c>
      <c r="P502" t="s">
        <v>523</v>
      </c>
      <c r="Q502" t="s">
        <v>371</v>
      </c>
      <c r="R502">
        <v>0</v>
      </c>
      <c r="S502">
        <v>0.8188235294117647</v>
      </c>
      <c r="T502">
        <v>68</v>
      </c>
      <c r="U502">
        <v>0.6176470588235294</v>
      </c>
      <c r="V502">
        <v>1.2048</v>
      </c>
      <c r="W502">
        <v>4.25</v>
      </c>
      <c r="X502">
        <v>3.48</v>
      </c>
      <c r="Y502">
        <v>-0.39878</v>
      </c>
      <c r="Z502">
        <v>0.766497461928934</v>
      </c>
      <c r="AA502">
        <v>0.2587064676616915</v>
      </c>
      <c r="AB502">
        <v>0.2185430463576159</v>
      </c>
      <c r="AC502">
        <v>0.8327814569536425</v>
      </c>
      <c r="AD502">
        <v>0.8261589403973509</v>
      </c>
    </row>
    <row r="503" spans="1:30">
      <c r="A503" s="1" t="s">
        <v>510</v>
      </c>
      <c r="B503">
        <f>HYPERLINK("https://www.suredividend.com/sure-analysis-KEY/","KeyCorp")</f>
        <v>0</v>
      </c>
      <c r="C503">
        <v>10.76</v>
      </c>
      <c r="D503">
        <v>10105.20616</v>
      </c>
      <c r="E503" t="s">
        <v>641</v>
      </c>
      <c r="F503" t="s">
        <v>613</v>
      </c>
      <c r="G503" t="s">
        <v>653</v>
      </c>
      <c r="H503" t="s">
        <v>682</v>
      </c>
      <c r="I503" t="s">
        <v>1183</v>
      </c>
      <c r="J503" t="s">
        <v>1277</v>
      </c>
      <c r="K503">
        <v>43937</v>
      </c>
      <c r="L503">
        <v>0.06998069498069401</v>
      </c>
      <c r="M503">
        <v>0.09578999291774681</v>
      </c>
      <c r="N503">
        <v>0.04</v>
      </c>
      <c r="O503">
        <v>0.1822378287716131</v>
      </c>
      <c r="P503" t="s">
        <v>523</v>
      </c>
      <c r="Q503" t="s">
        <v>317</v>
      </c>
      <c r="R503">
        <v>9</v>
      </c>
      <c r="S503">
        <v>1.208333333333333</v>
      </c>
      <c r="T503">
        <v>17</v>
      </c>
      <c r="U503">
        <v>0.6329411764705882</v>
      </c>
      <c r="V503">
        <v>1.3724</v>
      </c>
      <c r="W503">
        <v>0.6</v>
      </c>
      <c r="X503">
        <v>0.725</v>
      </c>
      <c r="Y503">
        <v>-0.402882</v>
      </c>
      <c r="Z503">
        <v>0.7157360406091371</v>
      </c>
      <c r="AA503">
        <v>0.2520729684908789</v>
      </c>
      <c r="AB503">
        <v>0.3501655629139073</v>
      </c>
      <c r="AC503">
        <v>0.8178807947019868</v>
      </c>
      <c r="AD503">
        <v>0.8211920529801324</v>
      </c>
    </row>
    <row r="504" spans="1:30">
      <c r="A504" s="1" t="s">
        <v>511</v>
      </c>
      <c r="B504">
        <f>HYPERLINK("https://www.suredividend.com/sure-analysis-HEP/","Holly Energy Partners LP")</f>
        <v>0</v>
      </c>
      <c r="C504">
        <v>14.06</v>
      </c>
      <c r="D504">
        <v>1512.0096</v>
      </c>
      <c r="E504" t="s">
        <v>648</v>
      </c>
      <c r="F504" t="s">
        <v>615</v>
      </c>
      <c r="G504" t="s">
        <v>653</v>
      </c>
      <c r="H504" t="s">
        <v>682</v>
      </c>
      <c r="I504" t="s">
        <v>1081</v>
      </c>
      <c r="J504" t="s">
        <v>1285</v>
      </c>
      <c r="K504">
        <v>43958</v>
      </c>
      <c r="L504">
        <v>0.187064156206415</v>
      </c>
      <c r="M504">
        <v>0.06207125806326297</v>
      </c>
      <c r="N504">
        <v>0.04</v>
      </c>
      <c r="O504">
        <v>0.1782295244070944</v>
      </c>
      <c r="P504" t="s">
        <v>523</v>
      </c>
      <c r="Q504" t="s">
        <v>618</v>
      </c>
      <c r="R504">
        <v>0</v>
      </c>
      <c r="S504">
        <v>1.277380952380952</v>
      </c>
      <c r="T504">
        <v>19</v>
      </c>
      <c r="U504">
        <v>0.74</v>
      </c>
      <c r="V504">
        <v>2.1328</v>
      </c>
      <c r="W504">
        <v>2.1</v>
      </c>
      <c r="X504">
        <v>2.6825</v>
      </c>
      <c r="Y504">
        <v>-0.468101</v>
      </c>
      <c r="Z504">
        <v>0.9576988155668359</v>
      </c>
      <c r="AA504">
        <v>0.1824212271973466</v>
      </c>
      <c r="AB504">
        <v>0.3501655629139073</v>
      </c>
      <c r="AC504">
        <v>0.7152317880794702</v>
      </c>
      <c r="AD504">
        <v>0.8129139072847683</v>
      </c>
    </row>
    <row r="505" spans="1:30">
      <c r="A505" s="1" t="s">
        <v>512</v>
      </c>
      <c r="B505">
        <f>HYPERLINK("https://www.suredividend.com/sure-analysis-SFL/","SFL Corp. Ltd.")</f>
        <v>0</v>
      </c>
      <c r="C505">
        <v>10.14</v>
      </c>
      <c r="D505">
        <v>1176.00135</v>
      </c>
      <c r="E505" t="s">
        <v>649</v>
      </c>
      <c r="F505" t="s">
        <v>613</v>
      </c>
      <c r="G505" t="s">
        <v>661</v>
      </c>
      <c r="H505" t="s">
        <v>682</v>
      </c>
      <c r="I505" t="s">
        <v>1184</v>
      </c>
      <c r="J505" t="s">
        <v>1278</v>
      </c>
      <c r="K505">
        <v>43920</v>
      </c>
      <c r="L505">
        <v>0.142131979695431</v>
      </c>
      <c r="M505">
        <v>0.0509476404473832</v>
      </c>
      <c r="N505">
        <v>0.036</v>
      </c>
      <c r="O505">
        <v>0.176047016936961</v>
      </c>
      <c r="P505" t="s">
        <v>523</v>
      </c>
      <c r="Q505" t="s">
        <v>371</v>
      </c>
      <c r="R505">
        <v>1</v>
      </c>
      <c r="S505">
        <v>1.076923076923077</v>
      </c>
      <c r="T505">
        <v>13</v>
      </c>
      <c r="U505">
        <v>0.78</v>
      </c>
      <c r="V505">
        <v>0.7813</v>
      </c>
      <c r="W505">
        <v>1.3</v>
      </c>
      <c r="X505">
        <v>1.4</v>
      </c>
      <c r="Y505">
        <v>-0.229867</v>
      </c>
      <c r="Z505">
        <v>0.9001692047377327</v>
      </c>
      <c r="AA505">
        <v>0.4742951907131012</v>
      </c>
      <c r="AB505">
        <v>0.2806291390728477</v>
      </c>
      <c r="AC505">
        <v>0.6605960264900662</v>
      </c>
      <c r="AD505">
        <v>0.8062913907284768</v>
      </c>
    </row>
    <row r="506" spans="1:30">
      <c r="A506" s="1" t="s">
        <v>513</v>
      </c>
      <c r="B506">
        <f>HYPERLINK("https://www.suredividend.com/sure-analysis-HSBC/","HSBC Holdings Plc")</f>
        <v>0</v>
      </c>
      <c r="C506">
        <v>25.21</v>
      </c>
      <c r="D506">
        <v>101091.86</v>
      </c>
      <c r="E506" t="s">
        <v>647</v>
      </c>
      <c r="F506" t="s">
        <v>613</v>
      </c>
      <c r="G506" t="s">
        <v>655</v>
      </c>
      <c r="H506" t="s">
        <v>682</v>
      </c>
      <c r="I506" t="s">
        <v>1185</v>
      </c>
      <c r="J506" t="s">
        <v>1277</v>
      </c>
      <c r="K506">
        <v>43901</v>
      </c>
      <c r="L506">
        <v>0.102336825141015</v>
      </c>
      <c r="M506">
        <v>0.09118491194977141</v>
      </c>
      <c r="N506">
        <v>0.02</v>
      </c>
      <c r="O506">
        <v>0.1722669325794055</v>
      </c>
      <c r="P506" t="s">
        <v>523</v>
      </c>
      <c r="Q506" t="s">
        <v>371</v>
      </c>
      <c r="R506">
        <v>0</v>
      </c>
      <c r="S506">
        <v>0.7815384615384615</v>
      </c>
      <c r="T506">
        <v>39</v>
      </c>
      <c r="U506">
        <v>0.6464102564102564</v>
      </c>
      <c r="V506">
        <v>1.4927</v>
      </c>
      <c r="W506">
        <v>3.25</v>
      </c>
      <c r="X506">
        <v>2.54</v>
      </c>
      <c r="Y506">
        <v>-0.424797</v>
      </c>
      <c r="Z506">
        <v>0.8477157360406092</v>
      </c>
      <c r="AA506">
        <v>0.230514096185738</v>
      </c>
      <c r="AB506">
        <v>0.130794701986755</v>
      </c>
      <c r="AC506">
        <v>0.8112582781456953</v>
      </c>
      <c r="AD506">
        <v>0.7996688741721855</v>
      </c>
    </row>
    <row r="507" spans="1:30">
      <c r="A507" s="1" t="s">
        <v>514</v>
      </c>
      <c r="B507">
        <f>HYPERLINK("https://www.suredividend.com/sure-analysis-CAKE/","Cheesecake Factory, Inc.")</f>
        <v>0</v>
      </c>
      <c r="C507">
        <v>20.6</v>
      </c>
      <c r="D507">
        <v>896.042223</v>
      </c>
      <c r="E507" t="s">
        <v>643</v>
      </c>
      <c r="F507" t="s">
        <v>613</v>
      </c>
      <c r="G507" t="s">
        <v>653</v>
      </c>
      <c r="H507" t="s">
        <v>683</v>
      </c>
      <c r="I507" t="s">
        <v>1186</v>
      </c>
      <c r="J507" t="s">
        <v>1280</v>
      </c>
      <c r="K507">
        <v>43930</v>
      </c>
      <c r="L507">
        <v>0.071537290715372</v>
      </c>
      <c r="M507">
        <v>-0.06147724296022594</v>
      </c>
      <c r="N507">
        <v>0.198</v>
      </c>
      <c r="O507">
        <v>0.1685807725690982</v>
      </c>
      <c r="P507" t="s">
        <v>523</v>
      </c>
      <c r="Q507" t="s">
        <v>317</v>
      </c>
      <c r="R507">
        <v>9</v>
      </c>
      <c r="S507">
        <v>1.549450549450549</v>
      </c>
      <c r="T507">
        <v>15</v>
      </c>
      <c r="U507">
        <v>1.373333333333334</v>
      </c>
      <c r="V507">
        <v>2.1973</v>
      </c>
      <c r="W507">
        <v>0.91</v>
      </c>
      <c r="X507">
        <v>1.41</v>
      </c>
      <c r="Y507">
        <v>-0.590569</v>
      </c>
      <c r="Z507">
        <v>0.7225042301184433</v>
      </c>
      <c r="AA507">
        <v>0.08623548922056384</v>
      </c>
      <c r="AB507">
        <v>0.9735099337748345</v>
      </c>
      <c r="AC507">
        <v>0.1490066225165563</v>
      </c>
      <c r="AD507">
        <v>0.7913907284768211</v>
      </c>
    </row>
    <row r="508" spans="1:30">
      <c r="A508" s="1" t="s">
        <v>515</v>
      </c>
      <c r="B508">
        <f>HYPERLINK("https://www.suredividend.com/sure-analysis-OZK/","Bank OZK")</f>
        <v>0</v>
      </c>
      <c r="C508">
        <v>20.5</v>
      </c>
      <c r="D508">
        <v>2626.03242</v>
      </c>
      <c r="E508" t="s">
        <v>641</v>
      </c>
      <c r="F508" t="s">
        <v>613</v>
      </c>
      <c r="G508" t="s">
        <v>653</v>
      </c>
      <c r="H508" t="s">
        <v>683</v>
      </c>
      <c r="I508" t="s">
        <v>1187</v>
      </c>
      <c r="J508" t="s">
        <v>1277</v>
      </c>
      <c r="K508">
        <v>43951</v>
      </c>
      <c r="L508">
        <v>0.047992164544564</v>
      </c>
      <c r="M508">
        <v>0.07912928578583145</v>
      </c>
      <c r="N508">
        <v>0.05</v>
      </c>
      <c r="O508">
        <v>0.1679827731205175</v>
      </c>
      <c r="P508" t="s">
        <v>523</v>
      </c>
      <c r="Q508" t="s">
        <v>523</v>
      </c>
      <c r="R508">
        <v>24</v>
      </c>
      <c r="S508">
        <v>1.96</v>
      </c>
      <c r="T508">
        <v>30</v>
      </c>
      <c r="U508">
        <v>0.6833333333333333</v>
      </c>
      <c r="V508">
        <v>2.5344</v>
      </c>
      <c r="W508">
        <v>0.5</v>
      </c>
      <c r="X508">
        <v>0.98</v>
      </c>
      <c r="Y508">
        <v>-0.394963</v>
      </c>
      <c r="Z508">
        <v>0.571912013536379</v>
      </c>
      <c r="AA508">
        <v>0.2653399668325042</v>
      </c>
      <c r="AB508">
        <v>0.5033112582781457</v>
      </c>
      <c r="AC508">
        <v>0.7764900662251655</v>
      </c>
      <c r="AD508">
        <v>0.7880794701986755</v>
      </c>
    </row>
    <row r="509" spans="1:30">
      <c r="A509" s="1" t="s">
        <v>516</v>
      </c>
      <c r="B509">
        <f>HYPERLINK("https://www.suredividend.com/sure-analysis-PSEC/","Prospect Capital Corp.")</f>
        <v>0</v>
      </c>
      <c r="C509">
        <v>4.035</v>
      </c>
      <c r="D509">
        <v>1471.272</v>
      </c>
      <c r="E509" t="s">
        <v>644</v>
      </c>
      <c r="F509" t="s">
        <v>616</v>
      </c>
      <c r="G509" t="s">
        <v>653</v>
      </c>
      <c r="H509" t="s">
        <v>683</v>
      </c>
      <c r="I509" t="s">
        <v>1188</v>
      </c>
      <c r="J509" t="s">
        <v>1277</v>
      </c>
      <c r="K509">
        <v>43880</v>
      </c>
      <c r="L509">
        <v>0.18</v>
      </c>
      <c r="M509">
        <v>0.04381922897226698</v>
      </c>
      <c r="N509">
        <v>0</v>
      </c>
      <c r="O509">
        <v>0.1634051513290324</v>
      </c>
      <c r="P509" t="s">
        <v>523</v>
      </c>
      <c r="Q509" t="s">
        <v>371</v>
      </c>
      <c r="R509">
        <v>0</v>
      </c>
      <c r="S509">
        <v>1</v>
      </c>
      <c r="T509">
        <v>5</v>
      </c>
      <c r="U509">
        <v>0.8070000000000001</v>
      </c>
      <c r="V509">
        <v>0.3679</v>
      </c>
      <c r="W509">
        <v>0.72</v>
      </c>
      <c r="X509">
        <v>0.72</v>
      </c>
      <c r="Y509">
        <v>-0.410029</v>
      </c>
      <c r="Z509">
        <v>0.9492385786802031</v>
      </c>
      <c r="AA509">
        <v>0.2437810945273632</v>
      </c>
      <c r="AB509">
        <v>0.02897350993377483</v>
      </c>
      <c r="AC509">
        <v>0.6291390728476821</v>
      </c>
      <c r="AD509">
        <v>0.7731788079470199</v>
      </c>
    </row>
    <row r="510" spans="1:30">
      <c r="A510" s="1" t="s">
        <v>517</v>
      </c>
      <c r="B510">
        <f>HYPERLINK("https://www.suredividend.com/sure-analysis-SNP/","China Petroleum &amp; Chemical Corp.")</f>
        <v>0</v>
      </c>
      <c r="C510">
        <v>47.08</v>
      </c>
      <c r="D510">
        <v>11958.13058</v>
      </c>
      <c r="E510" t="s">
        <v>648</v>
      </c>
      <c r="F510" t="s">
        <v>613</v>
      </c>
      <c r="G510" t="s">
        <v>657</v>
      </c>
      <c r="H510" t="s">
        <v>682</v>
      </c>
      <c r="I510" t="s">
        <v>1189</v>
      </c>
      <c r="J510" t="s">
        <v>1285</v>
      </c>
      <c r="K510">
        <v>43921</v>
      </c>
      <c r="L510">
        <v>0.106397909110305</v>
      </c>
      <c r="M510">
        <v>-0.0743161116770803</v>
      </c>
      <c r="N510">
        <v>0.2</v>
      </c>
      <c r="O510">
        <v>0.1616549751180358</v>
      </c>
      <c r="P510" t="s">
        <v>523</v>
      </c>
      <c r="Q510" t="s">
        <v>371</v>
      </c>
      <c r="R510">
        <v>0</v>
      </c>
      <c r="S510">
        <v>1.66229</v>
      </c>
      <c r="T510">
        <v>32</v>
      </c>
      <c r="U510">
        <v>1.47125</v>
      </c>
      <c r="V510">
        <v>5.5909</v>
      </c>
      <c r="W510">
        <v>3</v>
      </c>
      <c r="X510">
        <v>4.98687</v>
      </c>
      <c r="Y510">
        <v>-0.365679</v>
      </c>
      <c r="Z510">
        <v>0.8544839255499155</v>
      </c>
      <c r="AA510">
        <v>0.2985074626865672</v>
      </c>
      <c r="AB510">
        <v>0.9768211920529801</v>
      </c>
      <c r="AC510">
        <v>0.1076158940397351</v>
      </c>
      <c r="AD510">
        <v>0.7665562913907285</v>
      </c>
    </row>
    <row r="511" spans="1:30">
      <c r="A511" s="1" t="s">
        <v>518</v>
      </c>
      <c r="B511">
        <f>HYPERLINK("https://www.suredividend.com/sure-analysis-GLAD/","Gladstone Capital Corp.")</f>
        <v>0</v>
      </c>
      <c r="C511">
        <v>6.14</v>
      </c>
      <c r="D511">
        <v>190.898712</v>
      </c>
      <c r="E511" t="s">
        <v>644</v>
      </c>
      <c r="F511" t="s">
        <v>613</v>
      </c>
      <c r="G511" t="s">
        <v>653</v>
      </c>
      <c r="H511" t="s">
        <v>683</v>
      </c>
      <c r="I511" t="s">
        <v>1145</v>
      </c>
      <c r="J511" t="s">
        <v>1277</v>
      </c>
      <c r="K511">
        <v>43880</v>
      </c>
      <c r="L511">
        <v>0.136437908496732</v>
      </c>
      <c r="M511">
        <v>0.0672105526199227</v>
      </c>
      <c r="N511">
        <v>0</v>
      </c>
      <c r="O511">
        <v>0.1564505578736128</v>
      </c>
      <c r="P511" t="s">
        <v>523</v>
      </c>
      <c r="Q511" t="s">
        <v>371</v>
      </c>
      <c r="R511">
        <v>0</v>
      </c>
      <c r="S511">
        <v>0.9823529411764705</v>
      </c>
      <c r="T511">
        <v>8.5</v>
      </c>
      <c r="U511">
        <v>0.7223529411764705</v>
      </c>
      <c r="V511">
        <v>-0.391</v>
      </c>
      <c r="W511">
        <v>0.85</v>
      </c>
      <c r="X511">
        <v>0.835</v>
      </c>
      <c r="Y511">
        <v>-0.352381</v>
      </c>
      <c r="Z511">
        <v>0.8967851099830796</v>
      </c>
      <c r="AA511">
        <v>0.318407960199005</v>
      </c>
      <c r="AB511">
        <v>0.02897350993377483</v>
      </c>
      <c r="AC511">
        <v>0.7367549668874172</v>
      </c>
      <c r="AD511">
        <v>0.7466887417218543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24.06</v>
      </c>
      <c r="D512">
        <v>79002.30231</v>
      </c>
      <c r="E512" t="s">
        <v>648</v>
      </c>
      <c r="F512" t="s">
        <v>613</v>
      </c>
      <c r="G512" t="s">
        <v>655</v>
      </c>
      <c r="H512" t="s">
        <v>682</v>
      </c>
      <c r="I512" t="s">
        <v>1190</v>
      </c>
      <c r="J512" t="s">
        <v>1285</v>
      </c>
      <c r="K512">
        <v>43956</v>
      </c>
      <c r="L512">
        <v>0.104113655640373</v>
      </c>
      <c r="M512">
        <v>-0.0004992513722557046</v>
      </c>
      <c r="N512">
        <v>0.09</v>
      </c>
      <c r="O512">
        <v>0.155338473492491</v>
      </c>
      <c r="P512" t="s">
        <v>523</v>
      </c>
      <c r="Q512" t="s">
        <v>317</v>
      </c>
      <c r="R512">
        <v>3</v>
      </c>
      <c r="S512">
        <v>6.1375</v>
      </c>
      <c r="T512">
        <v>24</v>
      </c>
      <c r="U512">
        <v>1.0025</v>
      </c>
      <c r="V512">
        <v>1.2029</v>
      </c>
      <c r="W512">
        <v>0.4</v>
      </c>
      <c r="X512">
        <v>2.455</v>
      </c>
      <c r="Y512">
        <v>-0.441497</v>
      </c>
      <c r="Z512">
        <v>0.8510998307952623</v>
      </c>
      <c r="AA512">
        <v>0.2122719734660033</v>
      </c>
      <c r="AB512">
        <v>0.8766556291390728</v>
      </c>
      <c r="AC512">
        <v>0.4172185430463576</v>
      </c>
      <c r="AD512">
        <v>0.7384105960264901</v>
      </c>
    </row>
    <row r="513" spans="1:30">
      <c r="A513" s="1" t="s">
        <v>520</v>
      </c>
      <c r="B513">
        <f>HYPERLINK("https://www.suredividend.com/sure-analysis-HAL/","Halliburton Co.")</f>
        <v>0</v>
      </c>
      <c r="C513">
        <v>10.01</v>
      </c>
      <c r="D513">
        <v>8386.777679999999</v>
      </c>
      <c r="E513" t="s">
        <v>648</v>
      </c>
      <c r="F513" t="s">
        <v>613</v>
      </c>
      <c r="G513" t="s">
        <v>653</v>
      </c>
      <c r="H513" t="s">
        <v>682</v>
      </c>
      <c r="I513" t="s">
        <v>1191</v>
      </c>
      <c r="J513" t="s">
        <v>1285</v>
      </c>
      <c r="K513">
        <v>43942</v>
      </c>
      <c r="L513">
        <v>0.07531380753138001</v>
      </c>
      <c r="M513">
        <v>-0.03446273134955202</v>
      </c>
      <c r="N513">
        <v>0.149</v>
      </c>
      <c r="O513">
        <v>0.1532756845932075</v>
      </c>
      <c r="P513" t="s">
        <v>523</v>
      </c>
      <c r="Q513" t="s">
        <v>317</v>
      </c>
      <c r="R513">
        <v>0</v>
      </c>
      <c r="S513">
        <v>9.99</v>
      </c>
      <c r="T513">
        <v>8.4</v>
      </c>
      <c r="U513">
        <v>1.191666666666667</v>
      </c>
      <c r="V513">
        <v>-2.6184</v>
      </c>
      <c r="W513">
        <v>-0.1</v>
      </c>
      <c r="X513">
        <v>0.72</v>
      </c>
      <c r="Y513">
        <v>-0.645137</v>
      </c>
      <c r="Z513">
        <v>0.7580372250423012</v>
      </c>
      <c r="AA513">
        <v>0.06135986733001658</v>
      </c>
      <c r="AB513">
        <v>0.9552980132450331</v>
      </c>
      <c r="AC513">
        <v>0.2533112582781457</v>
      </c>
      <c r="AD513">
        <v>0.7235099337748345</v>
      </c>
    </row>
    <row r="514" spans="1:30">
      <c r="A514" s="1" t="s">
        <v>521</v>
      </c>
      <c r="B514">
        <f>HYPERLINK("https://www.suredividend.com/sure-analysis-HBAN/","Huntington Bancshares, Inc.")</f>
        <v>0</v>
      </c>
      <c r="C514">
        <v>8.244999999999999</v>
      </c>
      <c r="D514">
        <v>8347.0306</v>
      </c>
      <c r="E514" t="s">
        <v>641</v>
      </c>
      <c r="F514" t="s">
        <v>613</v>
      </c>
      <c r="G514" t="s">
        <v>653</v>
      </c>
      <c r="H514" t="s">
        <v>683</v>
      </c>
      <c r="I514" t="s">
        <v>1192</v>
      </c>
      <c r="J514" t="s">
        <v>1277</v>
      </c>
      <c r="K514">
        <v>43944</v>
      </c>
      <c r="L514">
        <v>0.07168894289185901</v>
      </c>
      <c r="M514">
        <v>0.05935227852573655</v>
      </c>
      <c r="N514">
        <v>0.04</v>
      </c>
      <c r="O514">
        <v>0.1532568916645871</v>
      </c>
      <c r="P514" t="s">
        <v>523</v>
      </c>
      <c r="Q514" t="s">
        <v>317</v>
      </c>
      <c r="R514">
        <v>10</v>
      </c>
      <c r="S514">
        <v>2.36</v>
      </c>
      <c r="T514">
        <v>11</v>
      </c>
      <c r="U514">
        <v>0.7495454545454545</v>
      </c>
      <c r="V514">
        <v>0.9924000000000001</v>
      </c>
      <c r="W514">
        <v>0.25</v>
      </c>
      <c r="X514">
        <v>0.59</v>
      </c>
      <c r="Y514">
        <v>-0.39707</v>
      </c>
      <c r="Z514">
        <v>0.727580372250423</v>
      </c>
      <c r="AA514">
        <v>0.2620232172470978</v>
      </c>
      <c r="AB514">
        <v>0.3501655629139073</v>
      </c>
      <c r="AC514">
        <v>0.7003311258278145</v>
      </c>
      <c r="AD514">
        <v>0.7218543046357615</v>
      </c>
    </row>
    <row r="515" spans="1:30">
      <c r="A515" s="1" t="s">
        <v>522</v>
      </c>
      <c r="B515">
        <f>HYPERLINK("https://www.suredividend.com/sure-analysis-FTI/","TechnipFMC Plc")</f>
        <v>0</v>
      </c>
      <c r="C515">
        <v>7.57</v>
      </c>
      <c r="D515">
        <v>3333.48015</v>
      </c>
      <c r="E515" t="s">
        <v>648</v>
      </c>
      <c r="F515" t="s">
        <v>613</v>
      </c>
      <c r="G515" t="s">
        <v>655</v>
      </c>
      <c r="H515" t="s">
        <v>682</v>
      </c>
      <c r="I515" t="s">
        <v>1193</v>
      </c>
      <c r="J515" t="s">
        <v>1285</v>
      </c>
      <c r="K515">
        <v>43945</v>
      </c>
      <c r="L515">
        <v>0.06979865771812001</v>
      </c>
      <c r="M515">
        <v>0.05725762040896742</v>
      </c>
      <c r="N515">
        <v>0.09</v>
      </c>
      <c r="O515">
        <v>0.1524108062457745</v>
      </c>
      <c r="P515" t="s">
        <v>523</v>
      </c>
      <c r="Q515" t="s">
        <v>317</v>
      </c>
      <c r="R515">
        <v>0</v>
      </c>
      <c r="S515">
        <v>2.6</v>
      </c>
      <c r="T515">
        <v>10</v>
      </c>
      <c r="U515">
        <v>0.757</v>
      </c>
      <c r="V515">
        <v>-12.7252</v>
      </c>
      <c r="W515">
        <v>0.2</v>
      </c>
      <c r="X515">
        <v>0.52</v>
      </c>
      <c r="Y515">
        <v>-0.673389</v>
      </c>
      <c r="Z515">
        <v>0.7140439932318106</v>
      </c>
      <c r="AA515">
        <v>0.04809286898839137</v>
      </c>
      <c r="AB515">
        <v>0.8766556291390728</v>
      </c>
      <c r="AC515">
        <v>0.6920529801324503</v>
      </c>
      <c r="AD515">
        <v>0.7152317880794702</v>
      </c>
    </row>
    <row r="516" spans="1:30">
      <c r="A516" s="1" t="s">
        <v>523</v>
      </c>
      <c r="B516">
        <f>HYPERLINK("https://www.suredividend.com/sure-analysis-F/","Ford Motor Co.")</f>
        <v>0</v>
      </c>
      <c r="C516">
        <v>4.87</v>
      </c>
      <c r="D516">
        <v>19368.9153</v>
      </c>
      <c r="E516" t="s">
        <v>644</v>
      </c>
      <c r="F516" t="s">
        <v>613</v>
      </c>
      <c r="G516" t="s">
        <v>653</v>
      </c>
      <c r="H516" t="s">
        <v>682</v>
      </c>
      <c r="I516" t="s">
        <v>1194</v>
      </c>
      <c r="J516" t="s">
        <v>1280</v>
      </c>
      <c r="K516">
        <v>43950</v>
      </c>
      <c r="L516">
        <v>0.123203285420944</v>
      </c>
      <c r="M516">
        <v>0.09595406741314383</v>
      </c>
      <c r="N516">
        <v>0.02</v>
      </c>
      <c r="O516">
        <v>0.1513145521571866</v>
      </c>
      <c r="P516" t="s">
        <v>523</v>
      </c>
      <c r="Q516" t="s">
        <v>317</v>
      </c>
      <c r="R516">
        <v>0</v>
      </c>
      <c r="S516">
        <v>9.99</v>
      </c>
      <c r="T516">
        <v>7.7</v>
      </c>
      <c r="U516">
        <v>0.6324675324675325</v>
      </c>
      <c r="V516">
        <v>-0.7636000000000001</v>
      </c>
      <c r="W516">
        <v>-0.5</v>
      </c>
      <c r="X516">
        <v>0.6000000000000001</v>
      </c>
      <c r="Y516">
        <v>-0.530829</v>
      </c>
      <c r="Z516">
        <v>0.8815566835871403</v>
      </c>
      <c r="AA516">
        <v>0.1276948590381426</v>
      </c>
      <c r="AB516">
        <v>0.130794701986755</v>
      </c>
      <c r="AC516">
        <v>0.8195364238410596</v>
      </c>
      <c r="AD516">
        <v>0.7119205298013245</v>
      </c>
    </row>
    <row r="517" spans="1:30">
      <c r="A517" s="1" t="s">
        <v>524</v>
      </c>
      <c r="B517">
        <f>HYPERLINK("https://www.suredividend.com/sure-analysis-LTC/","LTC Properties, Inc.")</f>
        <v>0</v>
      </c>
      <c r="C517">
        <v>33.39</v>
      </c>
      <c r="D517">
        <v>1317.71808</v>
      </c>
      <c r="E517" t="s">
        <v>648</v>
      </c>
      <c r="F517" t="s">
        <v>614</v>
      </c>
      <c r="G517" t="s">
        <v>653</v>
      </c>
      <c r="H517" t="s">
        <v>682</v>
      </c>
      <c r="I517" t="s">
        <v>1195</v>
      </c>
      <c r="J517" t="s">
        <v>1282</v>
      </c>
      <c r="K517">
        <v>43886</v>
      </c>
      <c r="L517">
        <v>0.06785714285714201</v>
      </c>
      <c r="M517">
        <v>0.06617447878286553</v>
      </c>
      <c r="N517">
        <v>0.03</v>
      </c>
      <c r="O517">
        <v>0.1438358654360838</v>
      </c>
      <c r="P517" t="s">
        <v>523</v>
      </c>
      <c r="Q517" t="s">
        <v>317</v>
      </c>
      <c r="R517">
        <v>0</v>
      </c>
      <c r="S517">
        <v>0.7475409836065575</v>
      </c>
      <c r="T517">
        <v>46</v>
      </c>
      <c r="U517">
        <v>0.7258695652173913</v>
      </c>
      <c r="V517">
        <v>3.1155</v>
      </c>
      <c r="W517">
        <v>3.05</v>
      </c>
      <c r="X517">
        <v>2.28</v>
      </c>
      <c r="Y517">
        <v>-0.256473</v>
      </c>
      <c r="Z517">
        <v>0.700507614213198</v>
      </c>
      <c r="AA517">
        <v>0.4344941956882256</v>
      </c>
      <c r="AB517">
        <v>0.2185430463576159</v>
      </c>
      <c r="AC517">
        <v>0.7301324503311258</v>
      </c>
      <c r="AD517">
        <v>0.6821192052980132</v>
      </c>
    </row>
    <row r="518" spans="1:30">
      <c r="A518" s="1" t="s">
        <v>525</v>
      </c>
      <c r="B518">
        <f>HYPERLINK("https://www.suredividend.com/sure-analysis-R/","Ryder System, Inc.")</f>
        <v>0</v>
      </c>
      <c r="C518">
        <v>33.15</v>
      </c>
      <c r="D518">
        <v>1738.3596</v>
      </c>
      <c r="E518" t="s">
        <v>641</v>
      </c>
      <c r="F518" t="s">
        <v>613</v>
      </c>
      <c r="G518" t="s">
        <v>653</v>
      </c>
      <c r="H518" t="s">
        <v>682</v>
      </c>
      <c r="I518" t="s">
        <v>1196</v>
      </c>
      <c r="J518" t="s">
        <v>1278</v>
      </c>
      <c r="K518">
        <v>43879</v>
      </c>
      <c r="L518">
        <v>0.068624420401854</v>
      </c>
      <c r="M518">
        <v>-0.1707376197682228</v>
      </c>
      <c r="N518">
        <v>0.325</v>
      </c>
      <c r="O518">
        <v>0.1437505880083425</v>
      </c>
      <c r="P518" t="s">
        <v>523</v>
      </c>
      <c r="Q518" t="s">
        <v>317</v>
      </c>
      <c r="R518">
        <v>15</v>
      </c>
      <c r="S518">
        <v>1.707692307692308</v>
      </c>
      <c r="T518">
        <v>13</v>
      </c>
      <c r="U518">
        <v>2.55</v>
      </c>
      <c r="V518">
        <v>-3.4422</v>
      </c>
      <c r="W518">
        <v>1.3</v>
      </c>
      <c r="X518">
        <v>2.22</v>
      </c>
      <c r="Y518">
        <v>-0.481986</v>
      </c>
      <c r="Z518">
        <v>0.7089678510998308</v>
      </c>
      <c r="AA518">
        <v>0.1724709784411277</v>
      </c>
      <c r="AB518">
        <v>0.9900662251655629</v>
      </c>
      <c r="AC518">
        <v>0.01986754966887417</v>
      </c>
      <c r="AD518">
        <v>0.6804635761589404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5.27</v>
      </c>
      <c r="D519">
        <v>5507.4558</v>
      </c>
      <c r="E519" t="s">
        <v>649</v>
      </c>
      <c r="F519" t="s">
        <v>613</v>
      </c>
      <c r="G519" t="s">
        <v>653</v>
      </c>
      <c r="H519" t="s">
        <v>682</v>
      </c>
      <c r="I519" t="s">
        <v>1197</v>
      </c>
      <c r="J519" t="s">
        <v>1282</v>
      </c>
      <c r="K519">
        <v>43913</v>
      </c>
      <c r="L519">
        <v>0.107632093933463</v>
      </c>
      <c r="M519">
        <v>0.04603607889133943</v>
      </c>
      <c r="N519">
        <v>0.021</v>
      </c>
      <c r="O519">
        <v>0.1383275869498737</v>
      </c>
      <c r="P519" t="s">
        <v>523</v>
      </c>
      <c r="Q519" t="s">
        <v>371</v>
      </c>
      <c r="R519">
        <v>0</v>
      </c>
      <c r="S519">
        <v>1</v>
      </c>
      <c r="T519">
        <v>6.6</v>
      </c>
      <c r="U519">
        <v>0.7984848484848485</v>
      </c>
      <c r="V519">
        <v>-0.3795</v>
      </c>
      <c r="W519">
        <v>0.55</v>
      </c>
      <c r="X519">
        <v>0.55</v>
      </c>
      <c r="Y519">
        <v>-0.376068</v>
      </c>
      <c r="Z519">
        <v>0.8578680203045685</v>
      </c>
      <c r="AA519">
        <v>0.2769485903814262</v>
      </c>
      <c r="AB519">
        <v>0.1705298013245033</v>
      </c>
      <c r="AC519">
        <v>0.6390728476821192</v>
      </c>
      <c r="AD519">
        <v>0.6605960264900662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109.28</v>
      </c>
      <c r="D520">
        <v>48625.59225</v>
      </c>
      <c r="E520" t="s">
        <v>648</v>
      </c>
      <c r="F520" t="s">
        <v>613</v>
      </c>
      <c r="G520" t="s">
        <v>674</v>
      </c>
      <c r="H520" t="s">
        <v>682</v>
      </c>
      <c r="I520" t="s">
        <v>1198</v>
      </c>
      <c r="J520" t="s">
        <v>1285</v>
      </c>
      <c r="K520">
        <v>43917</v>
      </c>
      <c r="L520">
        <v>0.08235212560830001</v>
      </c>
      <c r="M520">
        <v>-0.1314984163328076</v>
      </c>
      <c r="N520">
        <v>0.25</v>
      </c>
      <c r="O520">
        <v>0.137260340705242</v>
      </c>
      <c r="P520" t="s">
        <v>523</v>
      </c>
      <c r="Q520" t="s">
        <v>317</v>
      </c>
      <c r="R520">
        <v>3</v>
      </c>
      <c r="S520">
        <v>1.494828333333333</v>
      </c>
      <c r="T520">
        <v>54</v>
      </c>
      <c r="U520">
        <v>2.023703703703704</v>
      </c>
      <c r="V520">
        <v>19.7958</v>
      </c>
      <c r="W520">
        <v>6</v>
      </c>
      <c r="X520">
        <v>8.968970000000001</v>
      </c>
      <c r="Y520">
        <v>-0.37426</v>
      </c>
      <c r="Z520">
        <v>0.793570219966159</v>
      </c>
      <c r="AA520">
        <v>0.2786069651741294</v>
      </c>
      <c r="AB520">
        <v>0.9834437086092715</v>
      </c>
      <c r="AC520">
        <v>0.03476821192052981</v>
      </c>
      <c r="AD520">
        <v>0.6539735099337749</v>
      </c>
    </row>
    <row r="521" spans="1:30">
      <c r="A521" s="1" t="s">
        <v>528</v>
      </c>
      <c r="B521">
        <f>HYPERLINK("https://www.suredividend.com/sure-analysis-NTR/","Nutrien Ltd.")</f>
        <v>0</v>
      </c>
      <c r="C521">
        <v>34.44</v>
      </c>
      <c r="D521">
        <v>20164.6302</v>
      </c>
      <c r="E521" t="s">
        <v>647</v>
      </c>
      <c r="F521" t="s">
        <v>613</v>
      </c>
      <c r="G521" t="s">
        <v>654</v>
      </c>
      <c r="H521" t="s">
        <v>682</v>
      </c>
      <c r="I521" t="s">
        <v>1199</v>
      </c>
      <c r="J521" t="s">
        <v>1281</v>
      </c>
      <c r="K521">
        <v>43886</v>
      </c>
      <c r="L521">
        <v>0.049446354097237</v>
      </c>
      <c r="M521">
        <v>0.05494513627200859</v>
      </c>
      <c r="N521">
        <v>0.04</v>
      </c>
      <c r="O521">
        <v>0.1361546046109123</v>
      </c>
      <c r="P521" t="s">
        <v>523</v>
      </c>
      <c r="Q521" t="s">
        <v>317</v>
      </c>
      <c r="R521">
        <v>1</v>
      </c>
      <c r="S521">
        <v>0.77861525585116</v>
      </c>
      <c r="T521">
        <v>45</v>
      </c>
      <c r="U521">
        <v>0.7653333333333333</v>
      </c>
      <c r="V521">
        <v>1.7061</v>
      </c>
      <c r="W521">
        <v>2.25</v>
      </c>
      <c r="X521">
        <v>1.75188432566511</v>
      </c>
      <c r="Y521">
        <v>-0.309895</v>
      </c>
      <c r="Z521">
        <v>0.5939086294416244</v>
      </c>
      <c r="AA521">
        <v>0.3681592039800995</v>
      </c>
      <c r="AB521">
        <v>0.3501655629139073</v>
      </c>
      <c r="AC521">
        <v>0.6771523178807947</v>
      </c>
      <c r="AD521">
        <v>0.6473509933774834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6.56</v>
      </c>
      <c r="D522">
        <v>224.90244</v>
      </c>
      <c r="E522" t="s">
        <v>648</v>
      </c>
      <c r="F522" t="s">
        <v>613</v>
      </c>
      <c r="G522" t="s">
        <v>653</v>
      </c>
      <c r="H522" t="s">
        <v>683</v>
      </c>
      <c r="I522" t="s">
        <v>1200</v>
      </c>
      <c r="J522" t="s">
        <v>1287</v>
      </c>
      <c r="K522">
        <v>43896</v>
      </c>
      <c r="L522">
        <v>0.113458528951486</v>
      </c>
      <c r="M522">
        <v>-0.1392211829241229</v>
      </c>
      <c r="N522">
        <v>0.229</v>
      </c>
      <c r="O522">
        <v>0.1347404500363432</v>
      </c>
      <c r="P522" t="s">
        <v>523</v>
      </c>
      <c r="Q522" t="s">
        <v>317</v>
      </c>
      <c r="R522">
        <v>0</v>
      </c>
      <c r="S522">
        <v>2.9</v>
      </c>
      <c r="T522">
        <v>3.1</v>
      </c>
      <c r="U522">
        <v>2.116129032258065</v>
      </c>
      <c r="V522">
        <v>0.3127</v>
      </c>
      <c r="W522">
        <v>0.25</v>
      </c>
      <c r="X522">
        <v>0.725</v>
      </c>
      <c r="Y522">
        <v>-0.32381</v>
      </c>
      <c r="Z522">
        <v>0.8697123519458545</v>
      </c>
      <c r="AA522">
        <v>0.3499170812603649</v>
      </c>
      <c r="AB522">
        <v>0.9817880794701986</v>
      </c>
      <c r="AC522">
        <v>0.03145695364238411</v>
      </c>
      <c r="AD522">
        <v>0.6407284768211921</v>
      </c>
    </row>
    <row r="523" spans="1:30">
      <c r="A523" s="1" t="s">
        <v>530</v>
      </c>
      <c r="B523">
        <f>HYPERLINK("https://www.suredividend.com/sure-analysis-AM/","Antero Midstream Corp.")</f>
        <v>0</v>
      </c>
      <c r="C523">
        <v>3.99</v>
      </c>
      <c r="D523">
        <v>1953.6336</v>
      </c>
      <c r="E523" t="s">
        <v>649</v>
      </c>
      <c r="F523" t="s">
        <v>613</v>
      </c>
      <c r="G523" t="s">
        <v>653</v>
      </c>
      <c r="H523" t="s">
        <v>682</v>
      </c>
      <c r="I523" t="s">
        <v>1201</v>
      </c>
      <c r="J523" t="s">
        <v>1285</v>
      </c>
      <c r="K523">
        <v>43915</v>
      </c>
      <c r="L523">
        <v>0.3</v>
      </c>
      <c r="M523">
        <v>-0.04019702207578146</v>
      </c>
      <c r="N523">
        <v>0.067</v>
      </c>
      <c r="O523">
        <v>0.1343755076496078</v>
      </c>
      <c r="P523" t="s">
        <v>523</v>
      </c>
      <c r="Q523" t="s">
        <v>371</v>
      </c>
      <c r="R523">
        <v>3</v>
      </c>
      <c r="S523">
        <v>1.892307692307692</v>
      </c>
      <c r="T523">
        <v>3.25</v>
      </c>
      <c r="U523">
        <v>1.227692307692308</v>
      </c>
      <c r="V523">
        <v>-1.5385</v>
      </c>
      <c r="W523">
        <v>0.65</v>
      </c>
      <c r="X523">
        <v>1.23</v>
      </c>
      <c r="Y523">
        <v>-0.667478</v>
      </c>
      <c r="Z523">
        <v>0.9830795262267344</v>
      </c>
      <c r="AA523">
        <v>0.05306799336650083</v>
      </c>
      <c r="AB523">
        <v>0.7102649006622517</v>
      </c>
      <c r="AC523">
        <v>0.2251655629139073</v>
      </c>
      <c r="AD523">
        <v>0.6390728476821192</v>
      </c>
    </row>
    <row r="524" spans="1:30">
      <c r="A524" s="1" t="s">
        <v>531</v>
      </c>
      <c r="B524">
        <f>HYPERLINK("https://www.suredividend.com/sure-analysis-XOM/","Exxon Mobil Corp.")</f>
        <v>0</v>
      </c>
      <c r="C524">
        <v>44.24</v>
      </c>
      <c r="D524">
        <v>185989.72</v>
      </c>
      <c r="E524" t="s">
        <v>648</v>
      </c>
      <c r="F524" t="s">
        <v>613</v>
      </c>
      <c r="G524" t="s">
        <v>653</v>
      </c>
      <c r="H524" t="s">
        <v>682</v>
      </c>
      <c r="I524" t="s">
        <v>1202</v>
      </c>
      <c r="J524" t="s">
        <v>1285</v>
      </c>
      <c r="K524">
        <v>43958</v>
      </c>
      <c r="L524">
        <v>0.079108888383723</v>
      </c>
      <c r="M524">
        <v>-0.01033813805402894</v>
      </c>
      <c r="N524">
        <v>0.09</v>
      </c>
      <c r="O524">
        <v>0.132894358776912</v>
      </c>
      <c r="P524" t="s">
        <v>523</v>
      </c>
      <c r="Q524" t="s">
        <v>317</v>
      </c>
      <c r="R524">
        <v>37</v>
      </c>
      <c r="S524">
        <v>9.99</v>
      </c>
      <c r="T524">
        <v>42</v>
      </c>
      <c r="U524">
        <v>1.053333333333333</v>
      </c>
      <c r="V524">
        <v>2.6651</v>
      </c>
      <c r="W524">
        <v>-0.4</v>
      </c>
      <c r="X524">
        <v>3.48</v>
      </c>
      <c r="Y524">
        <v>-0.426616</v>
      </c>
      <c r="Z524">
        <v>0.7800338409475465</v>
      </c>
      <c r="AA524">
        <v>0.2271973466003317</v>
      </c>
      <c r="AB524">
        <v>0.8766556291390728</v>
      </c>
      <c r="AC524">
        <v>0.3841059602649007</v>
      </c>
      <c r="AD524">
        <v>0.6307947019867549</v>
      </c>
    </row>
    <row r="525" spans="1:30">
      <c r="A525" s="1" t="s">
        <v>532</v>
      </c>
      <c r="B525">
        <f>HYPERLINK("https://www.suredividend.com/sure-analysis-WMB/","The Williams Cos., Inc.")</f>
        <v>0</v>
      </c>
      <c r="C525">
        <v>19.21</v>
      </c>
      <c r="D525">
        <v>22577.652</v>
      </c>
      <c r="E525" t="s">
        <v>648</v>
      </c>
      <c r="F525" t="s">
        <v>613</v>
      </c>
      <c r="G525" t="s">
        <v>653</v>
      </c>
      <c r="H525" t="s">
        <v>682</v>
      </c>
      <c r="I525" t="s">
        <v>1203</v>
      </c>
      <c r="J525" t="s">
        <v>1285</v>
      </c>
      <c r="K525">
        <v>43886</v>
      </c>
      <c r="L525">
        <v>0.082751209027404</v>
      </c>
      <c r="M525">
        <v>0.01797798503139325</v>
      </c>
      <c r="N525">
        <v>0.05</v>
      </c>
      <c r="O525">
        <v>0.1299956108919531</v>
      </c>
      <c r="P525" t="s">
        <v>523</v>
      </c>
      <c r="Q525" t="s">
        <v>317</v>
      </c>
      <c r="R525">
        <v>3</v>
      </c>
      <c r="S525">
        <v>1.4</v>
      </c>
      <c r="T525">
        <v>21</v>
      </c>
      <c r="U525">
        <v>0.9147619047619048</v>
      </c>
      <c r="V525">
        <v>0.1117</v>
      </c>
      <c r="W525">
        <v>1.1</v>
      </c>
      <c r="X525">
        <v>1.54</v>
      </c>
      <c r="Y525">
        <v>-0.323765</v>
      </c>
      <c r="Z525">
        <v>0.7952622673434856</v>
      </c>
      <c r="AA525">
        <v>0.351575456053068</v>
      </c>
      <c r="AB525">
        <v>0.5033112582781457</v>
      </c>
      <c r="AC525">
        <v>0.5165562913907285</v>
      </c>
      <c r="AD525">
        <v>0.6258278145695364</v>
      </c>
    </row>
    <row r="526" spans="1:30">
      <c r="A526" s="1" t="s">
        <v>533</v>
      </c>
      <c r="B526">
        <f>HYPERLINK("https://www.suredividend.com/sure-analysis-LMRK/","Landmark Infrastructure Partners LP")</f>
        <v>0</v>
      </c>
      <c r="C526">
        <v>9.470000000000001</v>
      </c>
      <c r="D526">
        <v>245.2761</v>
      </c>
      <c r="E526" t="s">
        <v>649</v>
      </c>
      <c r="F526" t="s">
        <v>615</v>
      </c>
      <c r="G526" t="s">
        <v>653</v>
      </c>
      <c r="H526" t="s">
        <v>683</v>
      </c>
      <c r="I526" t="s">
        <v>1204</v>
      </c>
      <c r="J526" t="s">
        <v>1282</v>
      </c>
      <c r="K526">
        <v>43922</v>
      </c>
      <c r="L526">
        <v>0.152647975077881</v>
      </c>
      <c r="M526">
        <v>0.03040638515317284</v>
      </c>
      <c r="N526">
        <v>0.025</v>
      </c>
      <c r="O526">
        <v>0.1299692895699369</v>
      </c>
      <c r="P526" t="s">
        <v>523</v>
      </c>
      <c r="Q526" t="s">
        <v>371</v>
      </c>
      <c r="R526">
        <v>0</v>
      </c>
      <c r="S526">
        <v>1.47</v>
      </c>
      <c r="T526">
        <v>11</v>
      </c>
      <c r="U526">
        <v>0.860909090909091</v>
      </c>
      <c r="V526">
        <v>0.3262</v>
      </c>
      <c r="W526">
        <v>1</v>
      </c>
      <c r="X526">
        <v>1.47</v>
      </c>
      <c r="Y526">
        <v>-0.373862</v>
      </c>
      <c r="Z526">
        <v>0.9170896785109983</v>
      </c>
      <c r="AA526">
        <v>0.2835820895522388</v>
      </c>
      <c r="AB526">
        <v>0.1730132450331126</v>
      </c>
      <c r="AC526">
        <v>0.5728476821192053</v>
      </c>
      <c r="AD526">
        <v>0.6241721854304636</v>
      </c>
    </row>
    <row r="527" spans="1:30">
      <c r="A527" s="1" t="s">
        <v>534</v>
      </c>
      <c r="B527">
        <f>HYPERLINK("https://www.suredividend.com/sure-analysis-BMWYY/","Bayerische Motoren Werke AG")</f>
        <v>0</v>
      </c>
      <c r="C527">
        <v>18.09</v>
      </c>
      <c r="D527">
        <v>33000.271364</v>
      </c>
      <c r="E527" t="s">
        <v>648</v>
      </c>
      <c r="F527" t="s">
        <v>613</v>
      </c>
      <c r="G527" t="s">
        <v>659</v>
      </c>
      <c r="H527" t="s">
        <v>684</v>
      </c>
      <c r="I527" t="s">
        <v>1205</v>
      </c>
      <c r="J527" t="s">
        <v>1280</v>
      </c>
      <c r="K527">
        <v>43916</v>
      </c>
      <c r="L527">
        <v>0.07190160309563201</v>
      </c>
      <c r="M527">
        <v>-0.1505647410500791</v>
      </c>
      <c r="N527">
        <v>0.285</v>
      </c>
      <c r="O527">
        <v>0.1288201379078413</v>
      </c>
      <c r="P527" t="s">
        <v>523</v>
      </c>
      <c r="Q527" t="s">
        <v>317</v>
      </c>
      <c r="R527">
        <v>0</v>
      </c>
      <c r="S527">
        <v>1.3007</v>
      </c>
      <c r="T527">
        <v>8</v>
      </c>
      <c r="U527">
        <v>2.26125</v>
      </c>
      <c r="V527">
        <v>2.7513</v>
      </c>
      <c r="W527">
        <v>1</v>
      </c>
      <c r="X527">
        <v>1.3007</v>
      </c>
      <c r="Y527">
        <v>-0.322726</v>
      </c>
      <c r="Z527">
        <v>0.7292724196277496</v>
      </c>
      <c r="AA527">
        <v>0.3532338308457711</v>
      </c>
      <c r="AB527">
        <v>0.9850993377483444</v>
      </c>
      <c r="AC527">
        <v>0.02317880794701986</v>
      </c>
      <c r="AD527">
        <v>0.6175496688741722</v>
      </c>
    </row>
    <row r="528" spans="1:30">
      <c r="A528" s="1" t="s">
        <v>535</v>
      </c>
      <c r="B528">
        <f>HYPERLINK("https://www.suredividend.com/sure-analysis-DOW/","Dow, Inc.")</f>
        <v>0</v>
      </c>
      <c r="C528">
        <v>32.85</v>
      </c>
      <c r="D528">
        <v>23673.76276</v>
      </c>
      <c r="E528" t="s">
        <v>644</v>
      </c>
      <c r="F528" t="s">
        <v>613</v>
      </c>
      <c r="G528" t="s">
        <v>653</v>
      </c>
      <c r="H528" t="s">
        <v>682</v>
      </c>
      <c r="I528" t="s">
        <v>1206</v>
      </c>
      <c r="J528" t="s">
        <v>1281</v>
      </c>
      <c r="K528">
        <v>43953</v>
      </c>
      <c r="L528">
        <v>0.087609511889862</v>
      </c>
      <c r="M528">
        <v>0.03491777616199987</v>
      </c>
      <c r="N528">
        <v>0.03</v>
      </c>
      <c r="O528">
        <v>0.1283006176041412</v>
      </c>
      <c r="P528" t="s">
        <v>523</v>
      </c>
      <c r="Q528" t="s">
        <v>317</v>
      </c>
      <c r="R528">
        <v>0</v>
      </c>
      <c r="S528">
        <v>1.931034482758621</v>
      </c>
      <c r="T528">
        <v>39</v>
      </c>
      <c r="U528">
        <v>0.8423076923076923</v>
      </c>
      <c r="V528">
        <v>-2.2752</v>
      </c>
      <c r="W528">
        <v>1.45</v>
      </c>
      <c r="X528">
        <v>2.8</v>
      </c>
      <c r="Y528">
        <v>-0.396412</v>
      </c>
      <c r="Z528">
        <v>0.8155668358714044</v>
      </c>
      <c r="AA528">
        <v>0.263681592039801</v>
      </c>
      <c r="AB528">
        <v>0.2185430463576159</v>
      </c>
      <c r="AC528">
        <v>0.5927152317880795</v>
      </c>
      <c r="AD528">
        <v>0.6142384105960265</v>
      </c>
    </row>
    <row r="529" spans="1:30">
      <c r="A529" s="1" t="s">
        <v>536</v>
      </c>
      <c r="B529">
        <f>HYPERLINK("https://www.suredividend.com/sure-analysis-APLE/","Apple Hospitality REIT, Inc.")</f>
        <v>0</v>
      </c>
      <c r="C529">
        <v>8.68</v>
      </c>
      <c r="D529">
        <v>1860.23061</v>
      </c>
      <c r="E529" t="s">
        <v>649</v>
      </c>
      <c r="F529" t="s">
        <v>614</v>
      </c>
      <c r="G529" t="s">
        <v>653</v>
      </c>
      <c r="H529" t="s">
        <v>682</v>
      </c>
      <c r="I529" t="s">
        <v>1207</v>
      </c>
      <c r="J529" t="s">
        <v>1282</v>
      </c>
      <c r="K529">
        <v>43929</v>
      </c>
      <c r="L529">
        <v>0.144057623049219</v>
      </c>
      <c r="M529">
        <v>0.04370496106900568</v>
      </c>
      <c r="N529">
        <v>0.039</v>
      </c>
      <c r="O529">
        <v>0.1278192166170373</v>
      </c>
      <c r="P529" t="s">
        <v>523</v>
      </c>
      <c r="Q529" t="s">
        <v>317</v>
      </c>
      <c r="R529">
        <v>0</v>
      </c>
      <c r="S529">
        <v>120</v>
      </c>
      <c r="T529">
        <v>10.75</v>
      </c>
      <c r="U529">
        <v>0.8074418604651162</v>
      </c>
      <c r="V529">
        <v>0.7678</v>
      </c>
      <c r="W529">
        <v>0.01</v>
      </c>
      <c r="X529">
        <v>1.2</v>
      </c>
      <c r="Y529">
        <v>-0.493925</v>
      </c>
      <c r="Z529">
        <v>0.9035532994923858</v>
      </c>
      <c r="AA529">
        <v>0.154228855721393</v>
      </c>
      <c r="AB529">
        <v>0.2897350993377483</v>
      </c>
      <c r="AC529">
        <v>0.6258278145695364</v>
      </c>
      <c r="AD529">
        <v>0.6109271523178808</v>
      </c>
    </row>
    <row r="530" spans="1:30">
      <c r="A530" s="1" t="s">
        <v>537</v>
      </c>
      <c r="B530">
        <f>HYPERLINK("https://www.suredividend.com/sure-analysis-QSR/","Restaurant Brands International, Inc.")</f>
        <v>0</v>
      </c>
      <c r="C530">
        <v>50.37</v>
      </c>
      <c r="D530">
        <v>22686.853165</v>
      </c>
      <c r="E530" t="s">
        <v>648</v>
      </c>
      <c r="F530" t="s">
        <v>613</v>
      </c>
      <c r="G530" t="s">
        <v>654</v>
      </c>
      <c r="H530" t="s">
        <v>682</v>
      </c>
      <c r="I530" t="s">
        <v>1208</v>
      </c>
      <c r="J530" t="s">
        <v>1280</v>
      </c>
      <c r="K530">
        <v>43872</v>
      </c>
      <c r="L530">
        <v>0.04172673954212201</v>
      </c>
      <c r="M530">
        <v>0.002489067190367678</v>
      </c>
      <c r="N530">
        <v>0.09</v>
      </c>
      <c r="O530">
        <v>0.1254358594748359</v>
      </c>
      <c r="P530" t="s">
        <v>523</v>
      </c>
      <c r="Q530" t="s">
        <v>523</v>
      </c>
      <c r="R530">
        <v>8</v>
      </c>
      <c r="S530">
        <v>0.9813808165387595</v>
      </c>
      <c r="T530">
        <v>51</v>
      </c>
      <c r="U530">
        <v>0.9876470588235293</v>
      </c>
      <c r="V530">
        <v>2.345</v>
      </c>
      <c r="W530">
        <v>2.08</v>
      </c>
      <c r="X530">
        <v>2.04127209840062</v>
      </c>
      <c r="Y530">
        <v>-0.273321</v>
      </c>
      <c r="Z530">
        <v>0.4974619289340101</v>
      </c>
      <c r="AA530">
        <v>0.4179104477611941</v>
      </c>
      <c r="AB530">
        <v>0.8766556291390728</v>
      </c>
      <c r="AC530">
        <v>0.4354304635761589</v>
      </c>
      <c r="AD530">
        <v>0.6009933774834437</v>
      </c>
    </row>
    <row r="531" spans="1:30">
      <c r="A531" s="1" t="s">
        <v>538</v>
      </c>
      <c r="B531">
        <f>HYPERLINK("https://www.suredividend.com/sure-analysis-LVS/","Las Vegas Sands Corp.")</f>
        <v>0</v>
      </c>
      <c r="C531">
        <v>47.37</v>
      </c>
      <c r="D531">
        <v>35467.6212</v>
      </c>
      <c r="E531" t="s">
        <v>646</v>
      </c>
      <c r="F531" t="s">
        <v>613</v>
      </c>
      <c r="G531" t="s">
        <v>653</v>
      </c>
      <c r="H531" t="s">
        <v>682</v>
      </c>
      <c r="I531" t="s">
        <v>1209</v>
      </c>
      <c r="J531" t="s">
        <v>1280</v>
      </c>
      <c r="K531">
        <v>43946</v>
      </c>
      <c r="L531">
        <v>0.066752799310938</v>
      </c>
      <c r="M531">
        <v>0.03403902252488944</v>
      </c>
      <c r="N531">
        <v>0.04</v>
      </c>
      <c r="O531">
        <v>0.1251078297747776</v>
      </c>
      <c r="P531" t="s">
        <v>523</v>
      </c>
      <c r="Q531" t="s">
        <v>317</v>
      </c>
      <c r="R531">
        <v>7</v>
      </c>
      <c r="S531">
        <v>3.875</v>
      </c>
      <c r="T531">
        <v>56</v>
      </c>
      <c r="U531">
        <v>0.8458928571428571</v>
      </c>
      <c r="V531">
        <v>2.7476</v>
      </c>
      <c r="W531">
        <v>0.8</v>
      </c>
      <c r="X531">
        <v>3.1</v>
      </c>
      <c r="Y531">
        <v>-0.279441</v>
      </c>
      <c r="Z531">
        <v>0.6920473773265651</v>
      </c>
      <c r="AA531">
        <v>0.4046434494195688</v>
      </c>
      <c r="AB531">
        <v>0.3501655629139073</v>
      </c>
      <c r="AC531">
        <v>0.5877483443708609</v>
      </c>
      <c r="AD531">
        <v>0.5993377483443709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5.24</v>
      </c>
      <c r="D532">
        <v>515.3526000000001</v>
      </c>
      <c r="E532" t="s">
        <v>649</v>
      </c>
      <c r="F532" t="s">
        <v>614</v>
      </c>
      <c r="G532" t="s">
        <v>653</v>
      </c>
      <c r="H532" t="s">
        <v>682</v>
      </c>
      <c r="I532" t="s">
        <v>1210</v>
      </c>
      <c r="J532" t="s">
        <v>1282</v>
      </c>
      <c r="K532">
        <v>43913</v>
      </c>
      <c r="L532">
        <v>0.146938775510204</v>
      </c>
      <c r="M532">
        <v>-0.4356377015232984</v>
      </c>
      <c r="N532">
        <v>0.904</v>
      </c>
      <c r="O532">
        <v>0.120089401566029</v>
      </c>
      <c r="P532" t="s">
        <v>523</v>
      </c>
      <c r="Q532" t="s">
        <v>317</v>
      </c>
      <c r="R532">
        <v>0</v>
      </c>
      <c r="S532">
        <v>14.4</v>
      </c>
      <c r="T532">
        <v>0.3</v>
      </c>
      <c r="U532">
        <v>17.46666666666667</v>
      </c>
      <c r="V532">
        <v>0.6485000000000001</v>
      </c>
      <c r="W532">
        <v>0.05</v>
      </c>
      <c r="X532">
        <v>0.72</v>
      </c>
      <c r="Y532">
        <v>-0.606426</v>
      </c>
      <c r="Z532">
        <v>0.9103214890016921</v>
      </c>
      <c r="AA532">
        <v>0.07794361525704809</v>
      </c>
      <c r="AB532">
        <v>1</v>
      </c>
      <c r="AC532">
        <v>0.001655629139072848</v>
      </c>
      <c r="AD532">
        <v>0.5778145695364238</v>
      </c>
    </row>
    <row r="533" spans="1:30">
      <c r="A533" s="1" t="s">
        <v>540</v>
      </c>
      <c r="B533">
        <f>HYPERLINK("https://www.suredividend.com/sure-analysis-GNL/","Global Net Lease, Inc.")</f>
        <v>0</v>
      </c>
      <c r="C533">
        <v>13.61</v>
      </c>
      <c r="D533">
        <v>1178.17503</v>
      </c>
      <c r="E533" t="s">
        <v>649</v>
      </c>
      <c r="F533" t="s">
        <v>614</v>
      </c>
      <c r="G533" t="s">
        <v>653</v>
      </c>
      <c r="H533" t="s">
        <v>682</v>
      </c>
      <c r="I533" t="s">
        <v>1211</v>
      </c>
      <c r="J533" t="s">
        <v>1282</v>
      </c>
      <c r="K533">
        <v>43913</v>
      </c>
      <c r="L533">
        <v>0.134776006074411</v>
      </c>
      <c r="M533">
        <v>0.005666496791038922</v>
      </c>
      <c r="N533">
        <v>0.015</v>
      </c>
      <c r="O533">
        <v>0.1185628355692845</v>
      </c>
      <c r="P533" t="s">
        <v>523</v>
      </c>
      <c r="Q533" t="s">
        <v>371</v>
      </c>
      <c r="R533">
        <v>0</v>
      </c>
      <c r="S533">
        <v>0.8875</v>
      </c>
      <c r="T533">
        <v>14</v>
      </c>
      <c r="U533">
        <v>0.9721428571428571</v>
      </c>
      <c r="V533">
        <v>0.3978</v>
      </c>
      <c r="W533">
        <v>2</v>
      </c>
      <c r="X533">
        <v>1.775</v>
      </c>
      <c r="Y533">
        <v>-0.306112</v>
      </c>
      <c r="Z533">
        <v>0.8917089678510999</v>
      </c>
      <c r="AA533">
        <v>0.373134328358209</v>
      </c>
      <c r="AB533">
        <v>0.07615894039735099</v>
      </c>
      <c r="AC533">
        <v>0.4586092715231788</v>
      </c>
      <c r="AD533">
        <v>0.5745033112582781</v>
      </c>
    </row>
    <row r="534" spans="1:30">
      <c r="A534" s="1" t="s">
        <v>541</v>
      </c>
      <c r="B534">
        <f>HYPERLINK("https://www.suredividend.com/sure-analysis-MAIN/","Main Street Capital Corp.")</f>
        <v>0</v>
      </c>
      <c r="C534">
        <v>26.33</v>
      </c>
      <c r="D534">
        <v>1666.44192</v>
      </c>
      <c r="E534" t="s">
        <v>650</v>
      </c>
      <c r="F534" t="s">
        <v>613</v>
      </c>
      <c r="G534" t="s">
        <v>653</v>
      </c>
      <c r="H534" t="s">
        <v>682</v>
      </c>
      <c r="I534" t="s">
        <v>1212</v>
      </c>
      <c r="J534" t="s">
        <v>1277</v>
      </c>
      <c r="K534">
        <v>43922</v>
      </c>
      <c r="L534">
        <v>0.09451101662156901</v>
      </c>
      <c r="M534">
        <v>0.005038227900156622</v>
      </c>
      <c r="N534">
        <v>0.02</v>
      </c>
      <c r="O534">
        <v>0.1182573086444181</v>
      </c>
      <c r="P534" t="s">
        <v>523</v>
      </c>
      <c r="Q534" t="s">
        <v>371</v>
      </c>
      <c r="R534">
        <v>5</v>
      </c>
      <c r="S534">
        <v>1.2225</v>
      </c>
      <c r="T534">
        <v>27</v>
      </c>
      <c r="U534">
        <v>0.9751851851851852</v>
      </c>
      <c r="V534">
        <v>2.0643</v>
      </c>
      <c r="W534">
        <v>2</v>
      </c>
      <c r="X534">
        <v>2.445</v>
      </c>
      <c r="Y534">
        <v>-0.348034</v>
      </c>
      <c r="Z534">
        <v>0.8291032148900169</v>
      </c>
      <c r="AA534">
        <v>0.3250414593698176</v>
      </c>
      <c r="AB534">
        <v>0.130794701986755</v>
      </c>
      <c r="AC534">
        <v>0.4519867549668874</v>
      </c>
      <c r="AD534">
        <v>0.5662251655629139</v>
      </c>
    </row>
    <row r="535" spans="1:30">
      <c r="A535" s="1" t="s">
        <v>542</v>
      </c>
      <c r="B535">
        <f>HYPERLINK("https://www.suredividend.com/sure-analysis-PSX/","Phillips 66")</f>
        <v>0</v>
      </c>
      <c r="C535">
        <v>73.31</v>
      </c>
      <c r="D535">
        <v>31401.29925</v>
      </c>
      <c r="E535" t="s">
        <v>648</v>
      </c>
      <c r="F535" t="s">
        <v>613</v>
      </c>
      <c r="G535" t="s">
        <v>653</v>
      </c>
      <c r="H535" t="s">
        <v>682</v>
      </c>
      <c r="I535" t="s">
        <v>1213</v>
      </c>
      <c r="J535" t="s">
        <v>1285</v>
      </c>
      <c r="K535">
        <v>43957</v>
      </c>
      <c r="L535">
        <v>0.050062578222778</v>
      </c>
      <c r="M535">
        <v>0.02759791239980869</v>
      </c>
      <c r="N535">
        <v>0.05</v>
      </c>
      <c r="O535">
        <v>0.1180588565810408</v>
      </c>
      <c r="P535" t="s">
        <v>523</v>
      </c>
      <c r="Q535" t="s">
        <v>317</v>
      </c>
      <c r="R535">
        <v>8</v>
      </c>
      <c r="S535">
        <v>1.44</v>
      </c>
      <c r="T535">
        <v>84</v>
      </c>
      <c r="U535">
        <v>0.8727380952380953</v>
      </c>
      <c r="V535">
        <v>0.7084</v>
      </c>
      <c r="W535">
        <v>2.5</v>
      </c>
      <c r="X535">
        <v>3.6</v>
      </c>
      <c r="Y535">
        <v>-0.169151</v>
      </c>
      <c r="Z535">
        <v>0.5989847715736041</v>
      </c>
      <c r="AA535">
        <v>0.5688225538971807</v>
      </c>
      <c r="AB535">
        <v>0.5033112582781457</v>
      </c>
      <c r="AC535">
        <v>0.5629139072847682</v>
      </c>
      <c r="AD535">
        <v>0.5645695364238411</v>
      </c>
    </row>
    <row r="536" spans="1:30">
      <c r="A536" s="1" t="s">
        <v>543</v>
      </c>
      <c r="B536">
        <f>HYPERLINK("https://www.suredividend.com/sure-analysis-VGR/","Vector Group Ltd.")</f>
        <v>0</v>
      </c>
      <c r="C536">
        <v>10.93</v>
      </c>
      <c r="D536">
        <v>1535.64145</v>
      </c>
      <c r="E536" t="s">
        <v>642</v>
      </c>
      <c r="F536" t="s">
        <v>613</v>
      </c>
      <c r="G536" t="s">
        <v>653</v>
      </c>
      <c r="H536" t="s">
        <v>682</v>
      </c>
      <c r="I536" t="s">
        <v>1214</v>
      </c>
      <c r="J536" t="s">
        <v>1284</v>
      </c>
      <c r="K536">
        <v>43916</v>
      </c>
      <c r="L536">
        <v>0.148780594904628</v>
      </c>
      <c r="M536">
        <v>0.0352962431771473</v>
      </c>
      <c r="N536">
        <v>0.03</v>
      </c>
      <c r="O536">
        <v>0.1177602738130155</v>
      </c>
      <c r="P536" t="s">
        <v>523</v>
      </c>
      <c r="Q536" t="s">
        <v>371</v>
      </c>
      <c r="R536">
        <v>0</v>
      </c>
      <c r="S536">
        <v>1.92856846145125</v>
      </c>
      <c r="T536">
        <v>13</v>
      </c>
      <c r="U536">
        <v>0.8407692307692307</v>
      </c>
      <c r="V536">
        <v>0.6288</v>
      </c>
      <c r="W536">
        <v>0.8</v>
      </c>
      <c r="X536">
        <v>1.542854769161</v>
      </c>
      <c r="Y536">
        <v>0.13896</v>
      </c>
      <c r="Z536">
        <v>0.9137055837563451</v>
      </c>
      <c r="AA536">
        <v>0.8888888888888888</v>
      </c>
      <c r="AB536">
        <v>0.2185430463576159</v>
      </c>
      <c r="AC536">
        <v>0.5960264900662251</v>
      </c>
      <c r="AD536">
        <v>0.5612582781456954</v>
      </c>
    </row>
    <row r="537" spans="1:30">
      <c r="A537" s="1" t="s">
        <v>544</v>
      </c>
      <c r="B537">
        <f>HYPERLINK("https://www.suredividend.com/sure-analysis-ARI/","Apollo Commercial Real Estate Finance, Inc.")</f>
        <v>0</v>
      </c>
      <c r="C537">
        <v>7.98</v>
      </c>
      <c r="D537">
        <v>1179.82241</v>
      </c>
      <c r="E537" t="s">
        <v>649</v>
      </c>
      <c r="F537" t="s">
        <v>614</v>
      </c>
      <c r="G537" t="s">
        <v>653</v>
      </c>
      <c r="H537" t="s">
        <v>682</v>
      </c>
      <c r="I537" t="s">
        <v>1215</v>
      </c>
      <c r="J537" t="s">
        <v>1282</v>
      </c>
      <c r="K537">
        <v>43915</v>
      </c>
      <c r="L537">
        <v>0.239895697522816</v>
      </c>
      <c r="M537">
        <v>-0.02586526421769075</v>
      </c>
      <c r="N537">
        <v>0.037</v>
      </c>
      <c r="O537">
        <v>0.1115919327428148</v>
      </c>
      <c r="P537" t="s">
        <v>523</v>
      </c>
      <c r="Q537" t="s">
        <v>371</v>
      </c>
      <c r="R537">
        <v>0</v>
      </c>
      <c r="S537">
        <v>1.84</v>
      </c>
      <c r="T537">
        <v>7</v>
      </c>
      <c r="U537">
        <v>1.14</v>
      </c>
      <c r="V537">
        <v>1.4282</v>
      </c>
      <c r="W537">
        <v>1</v>
      </c>
      <c r="X537">
        <v>1.84</v>
      </c>
      <c r="Y537">
        <v>-0.597375</v>
      </c>
      <c r="Z537">
        <v>0.9695431472081217</v>
      </c>
      <c r="AA537">
        <v>0.0812603648424544</v>
      </c>
      <c r="AB537">
        <v>0.2855960264900662</v>
      </c>
      <c r="AC537">
        <v>0.2980132450331126</v>
      </c>
      <c r="AD537">
        <v>0.5331125827814569</v>
      </c>
    </row>
    <row r="538" spans="1:30">
      <c r="A538" s="1" t="s">
        <v>545</v>
      </c>
      <c r="B538">
        <f>HYPERLINK("https://www.suredividend.com/sure-analysis-SLB/","Schlumberger NV")</f>
        <v>0</v>
      </c>
      <c r="C538">
        <v>16.73</v>
      </c>
      <c r="D538">
        <v>21955.1542</v>
      </c>
      <c r="E538" t="s">
        <v>648</v>
      </c>
      <c r="F538" t="s">
        <v>613</v>
      </c>
      <c r="G538" t="s">
        <v>653</v>
      </c>
      <c r="H538" t="s">
        <v>682</v>
      </c>
      <c r="I538" t="s">
        <v>1216</v>
      </c>
      <c r="J538" t="s">
        <v>1285</v>
      </c>
      <c r="K538">
        <v>43944</v>
      </c>
      <c r="L538">
        <v>0.126422250316055</v>
      </c>
      <c r="M538">
        <v>0.03635085715536102</v>
      </c>
      <c r="N538">
        <v>0.05</v>
      </c>
      <c r="O538">
        <v>0.1110008164375837</v>
      </c>
      <c r="P538" t="s">
        <v>523</v>
      </c>
      <c r="Q538" t="s">
        <v>317</v>
      </c>
      <c r="R538">
        <v>0</v>
      </c>
      <c r="S538">
        <v>20</v>
      </c>
      <c r="T538">
        <v>20</v>
      </c>
      <c r="U538">
        <v>0.8365</v>
      </c>
      <c r="V538">
        <v>-12.9361</v>
      </c>
      <c r="W538">
        <v>0.1</v>
      </c>
      <c r="X538">
        <v>2</v>
      </c>
      <c r="Y538">
        <v>-0.610345</v>
      </c>
      <c r="Z538">
        <v>0.8883248730964468</v>
      </c>
      <c r="AA538">
        <v>0.07628524046434494</v>
      </c>
      <c r="AB538">
        <v>0.5033112582781457</v>
      </c>
      <c r="AC538">
        <v>0.5993377483443709</v>
      </c>
      <c r="AD538">
        <v>0.5298013245033113</v>
      </c>
    </row>
    <row r="539" spans="1:30">
      <c r="A539" s="1" t="s">
        <v>546</v>
      </c>
      <c r="B539">
        <f>HYPERLINK("https://www.suredividend.com/sure-analysis-GOOD/","Gladstone Commercial Corp.")</f>
        <v>0</v>
      </c>
      <c r="C539">
        <v>16.325</v>
      </c>
      <c r="D539">
        <v>546.808721</v>
      </c>
      <c r="E539" t="s">
        <v>644</v>
      </c>
      <c r="F539" t="s">
        <v>614</v>
      </c>
      <c r="G539" t="s">
        <v>653</v>
      </c>
      <c r="H539" t="s">
        <v>683</v>
      </c>
      <c r="I539" t="s">
        <v>1145</v>
      </c>
      <c r="J539" t="s">
        <v>1282</v>
      </c>
      <c r="K539">
        <v>43880</v>
      </c>
      <c r="L539">
        <v>0.09527619047619</v>
      </c>
      <c r="M539">
        <v>0.01972686961082504</v>
      </c>
      <c r="N539">
        <v>0.02</v>
      </c>
      <c r="O539">
        <v>0.1089074048875129</v>
      </c>
      <c r="P539" t="s">
        <v>523</v>
      </c>
      <c r="Q539" t="s">
        <v>371</v>
      </c>
      <c r="R539">
        <v>0</v>
      </c>
      <c r="S539">
        <v>0.9378749999999999</v>
      </c>
      <c r="T539">
        <v>18</v>
      </c>
      <c r="U539">
        <v>0.9069444444444444</v>
      </c>
      <c r="V539">
        <v>-0.2034</v>
      </c>
      <c r="W539">
        <v>1.6</v>
      </c>
      <c r="X539">
        <v>1.5006</v>
      </c>
      <c r="Y539">
        <v>-0.268463</v>
      </c>
      <c r="Z539">
        <v>0.8307952622673435</v>
      </c>
      <c r="AA539">
        <v>0.4195688225538972</v>
      </c>
      <c r="AB539">
        <v>0.130794701986755</v>
      </c>
      <c r="AC539">
        <v>0.5264900662251656</v>
      </c>
      <c r="AD539">
        <v>0.5198675496688742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25.03</v>
      </c>
      <c r="D540">
        <v>361.26762</v>
      </c>
      <c r="E540" t="s">
        <v>648</v>
      </c>
      <c r="F540" t="s">
        <v>613</v>
      </c>
      <c r="G540" t="s">
        <v>653</v>
      </c>
      <c r="H540" t="s">
        <v>682</v>
      </c>
      <c r="J540" t="s">
        <v>1285</v>
      </c>
      <c r="K540">
        <v>43902</v>
      </c>
      <c r="L540">
        <v>0.12186400322841</v>
      </c>
      <c r="M540">
        <v>-0.03450130963274411</v>
      </c>
      <c r="N540">
        <v>0.05</v>
      </c>
      <c r="O540">
        <v>0.1084935861381577</v>
      </c>
      <c r="P540" t="s">
        <v>523</v>
      </c>
      <c r="Q540" t="s">
        <v>371</v>
      </c>
      <c r="R540">
        <v>0</v>
      </c>
      <c r="S540">
        <v>1.161457692307692</v>
      </c>
      <c r="T540">
        <v>21</v>
      </c>
      <c r="U540">
        <v>1.191904761904762</v>
      </c>
      <c r="V540">
        <v>3.0204</v>
      </c>
      <c r="W540">
        <v>2.6</v>
      </c>
      <c r="X540">
        <v>3.01979</v>
      </c>
      <c r="Y540">
        <v>-0.472766</v>
      </c>
      <c r="Z540">
        <v>0.8798646362098138</v>
      </c>
      <c r="AA540">
        <v>0.1791044776119403</v>
      </c>
      <c r="AB540">
        <v>0.5033112582781457</v>
      </c>
      <c r="AC540">
        <v>0.2516556291390729</v>
      </c>
      <c r="AD540">
        <v>0.5149006622516556</v>
      </c>
    </row>
    <row r="541" spans="1:30">
      <c r="A541" s="1" t="s">
        <v>548</v>
      </c>
      <c r="B541">
        <f>HYPERLINK("https://www.suredividend.com/sure-analysis-PHG/","Koninklijke Philips NV")</f>
        <v>0</v>
      </c>
      <c r="C541">
        <v>42.87</v>
      </c>
      <c r="D541">
        <v>38044.592746</v>
      </c>
      <c r="E541" t="s">
        <v>648</v>
      </c>
      <c r="F541" t="s">
        <v>613</v>
      </c>
      <c r="G541" t="s">
        <v>665</v>
      </c>
      <c r="H541" t="s">
        <v>682</v>
      </c>
      <c r="I541" t="s">
        <v>1217</v>
      </c>
      <c r="J541" t="s">
        <v>1283</v>
      </c>
      <c r="K541">
        <v>43858</v>
      </c>
      <c r="L541">
        <v>0.044421545667447</v>
      </c>
      <c r="M541">
        <v>0.0006057504094583166</v>
      </c>
      <c r="N541">
        <v>0.09</v>
      </c>
      <c r="O541">
        <v>0.1075521056167952</v>
      </c>
      <c r="P541" t="s">
        <v>523</v>
      </c>
      <c r="Q541" t="s">
        <v>317</v>
      </c>
      <c r="R541">
        <v>0</v>
      </c>
      <c r="S541">
        <v>0.7903333333333333</v>
      </c>
      <c r="T541">
        <v>43</v>
      </c>
      <c r="U541">
        <v>0.9969767441860464</v>
      </c>
      <c r="V541">
        <v>1.7016</v>
      </c>
      <c r="W541">
        <v>2.4</v>
      </c>
      <c r="X541">
        <v>1.8968</v>
      </c>
      <c r="Y541">
        <v>0.035152</v>
      </c>
      <c r="Z541">
        <v>0.5296108291032149</v>
      </c>
      <c r="AA541">
        <v>0.7893864013266999</v>
      </c>
      <c r="AB541">
        <v>0.8766556291390728</v>
      </c>
      <c r="AC541">
        <v>0.4254966887417219</v>
      </c>
      <c r="AD541">
        <v>0.5066225165562914</v>
      </c>
    </row>
    <row r="542" spans="1:30">
      <c r="A542" s="1" t="s">
        <v>549</v>
      </c>
      <c r="B542">
        <f>HYPERLINK("https://www.suredividend.com/sure-analysis-PEAK/","Healthpeak Properties, Inc.")</f>
        <v>0</v>
      </c>
      <c r="C542">
        <v>23.45</v>
      </c>
      <c r="D542">
        <v>12150.33696</v>
      </c>
      <c r="E542" t="s">
        <v>648</v>
      </c>
      <c r="F542" t="s">
        <v>614</v>
      </c>
      <c r="G542" t="s">
        <v>653</v>
      </c>
      <c r="H542" t="s">
        <v>682</v>
      </c>
      <c r="I542" t="s">
        <v>1218</v>
      </c>
      <c r="J542" t="s">
        <v>1282</v>
      </c>
      <c r="K542">
        <v>43873</v>
      </c>
      <c r="L542">
        <v>0.061589679567207</v>
      </c>
      <c r="M542">
        <v>0.02859446600671878</v>
      </c>
      <c r="N542">
        <v>0.03</v>
      </c>
      <c r="O542">
        <v>0.106745474373739</v>
      </c>
      <c r="P542" t="s">
        <v>523</v>
      </c>
      <c r="Q542" t="s">
        <v>317</v>
      </c>
      <c r="R542">
        <v>0</v>
      </c>
      <c r="S542">
        <v>0.8222222222222222</v>
      </c>
      <c r="T542">
        <v>27</v>
      </c>
      <c r="U542">
        <v>0.8685185185185185</v>
      </c>
      <c r="V542">
        <v>0.5114000000000001</v>
      </c>
      <c r="W542">
        <v>1.8</v>
      </c>
      <c r="X542">
        <v>1.48</v>
      </c>
      <c r="Y542">
        <v>-0.193624</v>
      </c>
      <c r="Z542">
        <v>0.6666666666666667</v>
      </c>
      <c r="AA542">
        <v>0.5339966832504146</v>
      </c>
      <c r="AB542">
        <v>0.2185430463576159</v>
      </c>
      <c r="AC542">
        <v>0.5662251655629139</v>
      </c>
      <c r="AD542">
        <v>0.5016556291390729</v>
      </c>
    </row>
    <row r="543" spans="1:30">
      <c r="A543" s="1" t="s">
        <v>550</v>
      </c>
      <c r="B543">
        <f>HYPERLINK("https://www.suredividend.com/sure-analysis-CVX/","Chevron Corp.")</f>
        <v>0</v>
      </c>
      <c r="C543">
        <v>92.64</v>
      </c>
      <c r="D543">
        <v>168121.549</v>
      </c>
      <c r="E543" t="s">
        <v>648</v>
      </c>
      <c r="F543" t="s">
        <v>613</v>
      </c>
      <c r="G543" t="s">
        <v>653</v>
      </c>
      <c r="H543" t="s">
        <v>682</v>
      </c>
      <c r="I543" t="s">
        <v>1219</v>
      </c>
      <c r="J543" t="s">
        <v>1285</v>
      </c>
      <c r="K543">
        <v>43958</v>
      </c>
      <c r="L543">
        <v>0.053970016657412</v>
      </c>
      <c r="M543">
        <v>-0.0572205470888939</v>
      </c>
      <c r="N543">
        <v>0.13</v>
      </c>
      <c r="O543">
        <v>0.1065644443651323</v>
      </c>
      <c r="P543" t="s">
        <v>523</v>
      </c>
      <c r="Q543" t="s">
        <v>523</v>
      </c>
      <c r="R543">
        <v>33</v>
      </c>
      <c r="S543">
        <v>9.99</v>
      </c>
      <c r="T543">
        <v>69</v>
      </c>
      <c r="U543">
        <v>1.342608695652174</v>
      </c>
      <c r="V543">
        <v>2.0527</v>
      </c>
      <c r="W543">
        <v>-0.7</v>
      </c>
      <c r="X543">
        <v>4.86</v>
      </c>
      <c r="Y543">
        <v>-0.238607</v>
      </c>
      <c r="Z543">
        <v>0.6311336717428088</v>
      </c>
      <c r="AA543">
        <v>0.4626865671641791</v>
      </c>
      <c r="AB543">
        <v>0.9470198675496688</v>
      </c>
      <c r="AC543">
        <v>0.1655629139072848</v>
      </c>
      <c r="AD543">
        <v>0.5</v>
      </c>
    </row>
    <row r="544" spans="1:30">
      <c r="A544" s="1" t="s">
        <v>551</v>
      </c>
      <c r="B544">
        <f>HYPERLINK("https://www.suredividend.com/sure-analysis-AB/","AllianceBernstein Holding LP")</f>
        <v>0</v>
      </c>
      <c r="C544">
        <v>22.6</v>
      </c>
      <c r="D544">
        <v>2141.67108</v>
      </c>
      <c r="E544" t="s">
        <v>649</v>
      </c>
      <c r="F544" t="s">
        <v>613</v>
      </c>
      <c r="G544" t="s">
        <v>653</v>
      </c>
      <c r="H544" t="s">
        <v>682</v>
      </c>
      <c r="I544" t="s">
        <v>1220</v>
      </c>
      <c r="J544" t="s">
        <v>1277</v>
      </c>
      <c r="K544">
        <v>43951</v>
      </c>
      <c r="L544">
        <v>0.115525114155251</v>
      </c>
      <c r="M544">
        <v>-0.02414720285851069</v>
      </c>
      <c r="N544">
        <v>0.05</v>
      </c>
      <c r="O544">
        <v>0.1064678817470495</v>
      </c>
      <c r="P544" t="s">
        <v>523</v>
      </c>
      <c r="Q544" t="s">
        <v>371</v>
      </c>
      <c r="R544">
        <v>0</v>
      </c>
      <c r="S544">
        <v>1.265</v>
      </c>
      <c r="T544">
        <v>20</v>
      </c>
      <c r="U544">
        <v>1.13</v>
      </c>
      <c r="V544">
        <v>2.633</v>
      </c>
      <c r="W544">
        <v>2</v>
      </c>
      <c r="X544">
        <v>2.53</v>
      </c>
      <c r="Y544">
        <v>-0.227786</v>
      </c>
      <c r="Z544">
        <v>0.8730964467005076</v>
      </c>
      <c r="AA544">
        <v>0.4776119402985075</v>
      </c>
      <c r="AB544">
        <v>0.5033112582781457</v>
      </c>
      <c r="AC544">
        <v>0.3087748344370861</v>
      </c>
      <c r="AD544">
        <v>0.4966887417218543</v>
      </c>
    </row>
    <row r="545" spans="1:30">
      <c r="A545" s="1" t="s">
        <v>552</v>
      </c>
      <c r="B545">
        <f>HYPERLINK("https://www.suredividend.com/sure-analysis-ABR/","Arbor Realty Trust, Inc.")</f>
        <v>0</v>
      </c>
      <c r="C545">
        <v>6.94</v>
      </c>
      <c r="D545">
        <v>740.08125</v>
      </c>
      <c r="E545" t="s">
        <v>649</v>
      </c>
      <c r="F545" t="s">
        <v>614</v>
      </c>
      <c r="G545" t="s">
        <v>653</v>
      </c>
      <c r="H545" t="s">
        <v>682</v>
      </c>
      <c r="I545" t="s">
        <v>1221</v>
      </c>
      <c r="J545" t="s">
        <v>1282</v>
      </c>
      <c r="K545">
        <v>43915</v>
      </c>
      <c r="L545">
        <v>0.170403587443946</v>
      </c>
      <c r="M545">
        <v>-0.05428567690790709</v>
      </c>
      <c r="N545">
        <v>0.095</v>
      </c>
      <c r="O545">
        <v>0.1057921748455288</v>
      </c>
      <c r="P545" t="s">
        <v>523</v>
      </c>
      <c r="Q545" t="s">
        <v>371</v>
      </c>
      <c r="R545">
        <v>7</v>
      </c>
      <c r="S545">
        <v>2.28</v>
      </c>
      <c r="T545">
        <v>5.25</v>
      </c>
      <c r="U545">
        <v>1.321904761904762</v>
      </c>
      <c r="V545">
        <v>1.2967</v>
      </c>
      <c r="W545">
        <v>0.5</v>
      </c>
      <c r="X545">
        <v>1.14</v>
      </c>
      <c r="Y545">
        <v>-0.499251</v>
      </c>
      <c r="Z545">
        <v>0.9424703891708969</v>
      </c>
      <c r="AA545">
        <v>0.1492537313432836</v>
      </c>
      <c r="AB545">
        <v>0.8948675496688742</v>
      </c>
      <c r="AC545">
        <v>0.1771523178807947</v>
      </c>
      <c r="AD545">
        <v>0.4933774834437086</v>
      </c>
    </row>
    <row r="546" spans="1:30">
      <c r="A546" s="1" t="s">
        <v>553</v>
      </c>
      <c r="B546">
        <f>HYPERLINK("https://www.suredividend.com/sure-analysis-NYCB/","New York Community Bancorp, Inc.")</f>
        <v>0</v>
      </c>
      <c r="C546">
        <v>9.91</v>
      </c>
      <c r="D546">
        <v>4797.32572</v>
      </c>
      <c r="E546" t="s">
        <v>644</v>
      </c>
      <c r="F546" t="s">
        <v>613</v>
      </c>
      <c r="G546" t="s">
        <v>653</v>
      </c>
      <c r="H546" t="s">
        <v>682</v>
      </c>
      <c r="I546" t="s">
        <v>1222</v>
      </c>
      <c r="J546" t="s">
        <v>1277</v>
      </c>
      <c r="K546">
        <v>43953</v>
      </c>
      <c r="L546">
        <v>0.06576402321083101</v>
      </c>
      <c r="M546">
        <v>0.001809784617413879</v>
      </c>
      <c r="N546">
        <v>0.05</v>
      </c>
      <c r="O546">
        <v>0.1027794711184309</v>
      </c>
      <c r="P546" t="s">
        <v>523</v>
      </c>
      <c r="Q546" t="s">
        <v>317</v>
      </c>
      <c r="R546">
        <v>0</v>
      </c>
      <c r="S546">
        <v>0.8</v>
      </c>
      <c r="T546">
        <v>10</v>
      </c>
      <c r="U546">
        <v>0.991</v>
      </c>
      <c r="V546">
        <v>0.7775000000000001</v>
      </c>
      <c r="W546">
        <v>0.85</v>
      </c>
      <c r="X546">
        <v>0.68</v>
      </c>
      <c r="Y546">
        <v>-0.088183</v>
      </c>
      <c r="Z546">
        <v>0.688663282571912</v>
      </c>
      <c r="AA546">
        <v>0.6633499170812605</v>
      </c>
      <c r="AB546">
        <v>0.5033112582781457</v>
      </c>
      <c r="AC546">
        <v>0.4321192052980132</v>
      </c>
      <c r="AD546">
        <v>0.4784768211920529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16.69</v>
      </c>
      <c r="D547">
        <v>1068.903</v>
      </c>
      <c r="E547" t="s">
        <v>646</v>
      </c>
      <c r="F547" t="s">
        <v>613</v>
      </c>
      <c r="G547" t="s">
        <v>653</v>
      </c>
      <c r="H547" t="s">
        <v>682</v>
      </c>
      <c r="I547" t="s">
        <v>1223</v>
      </c>
      <c r="J547" t="s">
        <v>1278</v>
      </c>
      <c r="K547">
        <v>43893</v>
      </c>
      <c r="L547">
        <v>0.08743169398907101</v>
      </c>
      <c r="M547">
        <v>-0.008408650944122464</v>
      </c>
      <c r="N547">
        <v>0.045</v>
      </c>
      <c r="O547">
        <v>0.1021157683347276</v>
      </c>
      <c r="P547" t="s">
        <v>523</v>
      </c>
      <c r="Q547" t="s">
        <v>371</v>
      </c>
      <c r="R547">
        <v>0</v>
      </c>
      <c r="S547">
        <v>0.7384615384615385</v>
      </c>
      <c r="T547">
        <v>16</v>
      </c>
      <c r="U547">
        <v>1.043125</v>
      </c>
      <c r="V547">
        <v>-1.8733</v>
      </c>
      <c r="W547">
        <v>1.95</v>
      </c>
      <c r="X547">
        <v>1.44</v>
      </c>
      <c r="Y547">
        <v>-0.020809</v>
      </c>
      <c r="Z547">
        <v>0.8138747884940778</v>
      </c>
      <c r="AA547">
        <v>0.734660033167496</v>
      </c>
      <c r="AB547">
        <v>0.4205298013245033</v>
      </c>
      <c r="AC547">
        <v>0.3923841059602649</v>
      </c>
      <c r="AD547">
        <v>0.4751655629139073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6.1</v>
      </c>
      <c r="D548">
        <v>36.06</v>
      </c>
      <c r="E548" t="s">
        <v>648</v>
      </c>
      <c r="F548" t="s">
        <v>613</v>
      </c>
      <c r="G548" t="s">
        <v>653</v>
      </c>
      <c r="H548" t="s">
        <v>682</v>
      </c>
      <c r="J548" t="s">
        <v>1285</v>
      </c>
      <c r="K548">
        <v>43922</v>
      </c>
      <c r="L548">
        <v>0.145785357737104</v>
      </c>
      <c r="M548">
        <v>-0.02408322090168324</v>
      </c>
      <c r="N548">
        <v>0</v>
      </c>
      <c r="O548">
        <v>0.1016942225112683</v>
      </c>
      <c r="P548" t="s">
        <v>523</v>
      </c>
      <c r="Q548" t="s">
        <v>371</v>
      </c>
      <c r="R548">
        <v>0</v>
      </c>
      <c r="S548">
        <v>0.9735222222222223</v>
      </c>
      <c r="T548">
        <v>5.4</v>
      </c>
      <c r="U548">
        <v>1.12962962962963</v>
      </c>
      <c r="V548">
        <v>0.8762000000000001</v>
      </c>
      <c r="W548">
        <v>0.9</v>
      </c>
      <c r="X548">
        <v>0.8761700000000001</v>
      </c>
      <c r="Y548">
        <v>-0.51454</v>
      </c>
      <c r="Z548">
        <v>0.9069373942470389</v>
      </c>
      <c r="AA548">
        <v>0.1393034825870647</v>
      </c>
      <c r="AB548">
        <v>0.02897350993377483</v>
      </c>
      <c r="AC548">
        <v>0.3112582781456953</v>
      </c>
      <c r="AD548">
        <v>0.4735099337748344</v>
      </c>
    </row>
    <row r="549" spans="1:30">
      <c r="A549" s="1" t="s">
        <v>556</v>
      </c>
      <c r="B549">
        <f>HYPERLINK("https://www.suredividend.com/sure-analysis-GAIN/","Gladstone Investment Corp.")</f>
        <v>0</v>
      </c>
      <c r="C549">
        <v>10.925</v>
      </c>
      <c r="D549">
        <v>353.29381</v>
      </c>
      <c r="E549" t="s">
        <v>646</v>
      </c>
      <c r="F549" t="s">
        <v>616</v>
      </c>
      <c r="G549" t="s">
        <v>653</v>
      </c>
      <c r="H549" t="s">
        <v>683</v>
      </c>
      <c r="I549" t="s">
        <v>1145</v>
      </c>
      <c r="J549" t="s">
        <v>1277</v>
      </c>
      <c r="K549">
        <v>43868</v>
      </c>
      <c r="L549">
        <v>0.076333021515434</v>
      </c>
      <c r="M549">
        <v>0.001369242921612779</v>
      </c>
      <c r="N549">
        <v>0.036</v>
      </c>
      <c r="O549">
        <v>0.1014401942132817</v>
      </c>
      <c r="P549" t="s">
        <v>523</v>
      </c>
      <c r="Q549" t="s">
        <v>371</v>
      </c>
      <c r="R549">
        <v>9</v>
      </c>
      <c r="S549">
        <v>0.9066666666666667</v>
      </c>
      <c r="T549">
        <v>11</v>
      </c>
      <c r="U549">
        <v>0.9931818181818183</v>
      </c>
      <c r="V549">
        <v>0.9986</v>
      </c>
      <c r="W549">
        <v>0.9</v>
      </c>
      <c r="X549">
        <v>0.8160000000000001</v>
      </c>
      <c r="Y549">
        <v>-0.133712</v>
      </c>
      <c r="Z549">
        <v>0.7631133671742809</v>
      </c>
      <c r="AA549">
        <v>0.6202321724709785</v>
      </c>
      <c r="AB549">
        <v>0.2806291390728477</v>
      </c>
      <c r="AC549">
        <v>0.4304635761589404</v>
      </c>
      <c r="AD549">
        <v>0.4718543046357616</v>
      </c>
    </row>
    <row r="550" spans="1:30">
      <c r="A550" s="1" t="s">
        <v>557</v>
      </c>
      <c r="B550">
        <f>HYPERLINK("https://www.suredividend.com/sure-analysis-APAM/","Artisan Partners Asset Management, Inc.")</f>
        <v>0</v>
      </c>
      <c r="C550">
        <v>28.91</v>
      </c>
      <c r="D550">
        <v>2231.967133</v>
      </c>
      <c r="E550" t="s">
        <v>644</v>
      </c>
      <c r="F550" t="s">
        <v>613</v>
      </c>
      <c r="G550" t="s">
        <v>653</v>
      </c>
      <c r="H550" t="s">
        <v>682</v>
      </c>
      <c r="I550" t="s">
        <v>1224</v>
      </c>
      <c r="J550" t="s">
        <v>1277</v>
      </c>
      <c r="K550">
        <v>43954</v>
      </c>
      <c r="L550">
        <v>0.08732394366197101</v>
      </c>
      <c r="M550">
        <v>0.0006218480590303166</v>
      </c>
      <c r="N550">
        <v>0.03</v>
      </c>
      <c r="O550">
        <v>0.09999693503431595</v>
      </c>
      <c r="P550" t="s">
        <v>523</v>
      </c>
      <c r="Q550" t="s">
        <v>371</v>
      </c>
      <c r="R550">
        <v>0</v>
      </c>
      <c r="S550">
        <v>1.033333333333333</v>
      </c>
      <c r="T550">
        <v>29</v>
      </c>
      <c r="U550">
        <v>0.9968965517241379</v>
      </c>
      <c r="V550">
        <v>2.6717</v>
      </c>
      <c r="W550">
        <v>2.4</v>
      </c>
      <c r="X550">
        <v>2.48</v>
      </c>
      <c r="Y550">
        <v>0.030479</v>
      </c>
      <c r="Z550">
        <v>0.8121827411167513</v>
      </c>
      <c r="AA550">
        <v>0.7844112769485904</v>
      </c>
      <c r="AB550">
        <v>0.2185430463576159</v>
      </c>
      <c r="AC550">
        <v>0.4271523178807947</v>
      </c>
      <c r="AD550">
        <v>0.4586092715231788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7.9</v>
      </c>
      <c r="D551">
        <v>495.376921</v>
      </c>
      <c r="E551" t="s">
        <v>649</v>
      </c>
      <c r="F551" t="s">
        <v>614</v>
      </c>
      <c r="G551" t="s">
        <v>653</v>
      </c>
      <c r="H551" t="s">
        <v>682</v>
      </c>
      <c r="I551" t="s">
        <v>1225</v>
      </c>
      <c r="J551" t="s">
        <v>1282</v>
      </c>
      <c r="K551">
        <v>43913</v>
      </c>
      <c r="L551">
        <v>0.273794002607561</v>
      </c>
      <c r="M551">
        <v>-0.05353440438110812</v>
      </c>
      <c r="N551">
        <v>0.046</v>
      </c>
      <c r="O551">
        <v>0.09894199258253966</v>
      </c>
      <c r="P551" t="s">
        <v>523</v>
      </c>
      <c r="Q551" t="s">
        <v>371</v>
      </c>
      <c r="R551">
        <v>0</v>
      </c>
      <c r="S551">
        <v>2.1</v>
      </c>
      <c r="T551">
        <v>6</v>
      </c>
      <c r="U551">
        <v>1.316666666666667</v>
      </c>
      <c r="V551">
        <v>-9.4047</v>
      </c>
      <c r="W551">
        <v>1</v>
      </c>
      <c r="X551">
        <v>2.1</v>
      </c>
      <c r="Y551">
        <v>-0.5946089999999999</v>
      </c>
      <c r="Z551">
        <v>0.9796954314720813</v>
      </c>
      <c r="AA551">
        <v>0.08291873963515756</v>
      </c>
      <c r="AB551">
        <v>0.4312913907284768</v>
      </c>
      <c r="AC551">
        <v>0.1821192052980133</v>
      </c>
      <c r="AD551">
        <v>0.4503311258278145</v>
      </c>
    </row>
    <row r="552" spans="1:30">
      <c r="A552" s="1" t="s">
        <v>559</v>
      </c>
      <c r="B552">
        <f>HYPERLINK("https://www.suredividend.com/sure-analysis-MGP/","MGM Growth Properties LLC")</f>
        <v>0</v>
      </c>
      <c r="C552">
        <v>24.97</v>
      </c>
      <c r="D552">
        <v>3159.264704</v>
      </c>
      <c r="E552" t="s">
        <v>651</v>
      </c>
      <c r="F552" t="s">
        <v>614</v>
      </c>
      <c r="G552" t="s">
        <v>653</v>
      </c>
      <c r="H552" t="s">
        <v>682</v>
      </c>
      <c r="I552" t="s">
        <v>1226</v>
      </c>
      <c r="J552" t="s">
        <v>1282</v>
      </c>
      <c r="K552">
        <v>43896</v>
      </c>
      <c r="L552">
        <v>0.07830698835274501</v>
      </c>
      <c r="M552">
        <v>0.03738638166127539</v>
      </c>
      <c r="N552">
        <v>0.003</v>
      </c>
      <c r="O552">
        <v>0.09767553840700161</v>
      </c>
      <c r="P552" t="s">
        <v>523</v>
      </c>
      <c r="Q552" t="s">
        <v>371</v>
      </c>
      <c r="R552">
        <v>3</v>
      </c>
      <c r="S552">
        <v>0.8755813953488373</v>
      </c>
      <c r="T552">
        <v>30</v>
      </c>
      <c r="U552">
        <v>0.8323333333333333</v>
      </c>
      <c r="V552">
        <v>0.3282</v>
      </c>
      <c r="W552">
        <v>2.15</v>
      </c>
      <c r="X552">
        <v>1.8825</v>
      </c>
      <c r="Y552">
        <v>-0.238035</v>
      </c>
      <c r="Z552">
        <v>0.7749576988155669</v>
      </c>
      <c r="AA552">
        <v>0.4643449419568823</v>
      </c>
      <c r="AB552">
        <v>0.04470198675496689</v>
      </c>
      <c r="AC552">
        <v>0.6043046357615894</v>
      </c>
      <c r="AD552">
        <v>0.445364238410596</v>
      </c>
    </row>
    <row r="553" spans="1:30">
      <c r="A553" s="1" t="s">
        <v>560</v>
      </c>
      <c r="B553">
        <f>HYPERLINK("https://www.suredividend.com/sure-analysis-VLO/","Valero Energy Corp.")</f>
        <v>0</v>
      </c>
      <c r="C553">
        <v>61.26</v>
      </c>
      <c r="D553">
        <v>24832.94609</v>
      </c>
      <c r="E553" t="s">
        <v>648</v>
      </c>
      <c r="F553" t="s">
        <v>613</v>
      </c>
      <c r="G553" t="s">
        <v>653</v>
      </c>
      <c r="H553" t="s">
        <v>682</v>
      </c>
      <c r="I553" t="s">
        <v>1227</v>
      </c>
      <c r="J553" t="s">
        <v>1285</v>
      </c>
      <c r="K553">
        <v>43955</v>
      </c>
      <c r="L553">
        <v>0.060417008701362</v>
      </c>
      <c r="M553">
        <v>0.002404342534885195</v>
      </c>
      <c r="N553">
        <v>0.04</v>
      </c>
      <c r="O553">
        <v>0.09594807376589776</v>
      </c>
      <c r="P553" t="s">
        <v>523</v>
      </c>
      <c r="Q553" t="s">
        <v>317</v>
      </c>
      <c r="R553">
        <v>10</v>
      </c>
      <c r="S553">
        <v>3.066666666666667</v>
      </c>
      <c r="T553">
        <v>62</v>
      </c>
      <c r="U553">
        <v>0.9880645161290322</v>
      </c>
      <c r="V553">
        <v>0.9884000000000001</v>
      </c>
      <c r="W553">
        <v>1.2</v>
      </c>
      <c r="X553">
        <v>3.68</v>
      </c>
      <c r="Y553">
        <v>-0.277975</v>
      </c>
      <c r="Z553">
        <v>0.661590524534687</v>
      </c>
      <c r="AA553">
        <v>0.4096185737976783</v>
      </c>
      <c r="AB553">
        <v>0.3501655629139073</v>
      </c>
      <c r="AC553">
        <v>0.4337748344370861</v>
      </c>
      <c r="AD553">
        <v>0.4337748344370861</v>
      </c>
    </row>
    <row r="554" spans="1:30">
      <c r="A554" s="1" t="s">
        <v>561</v>
      </c>
      <c r="B554">
        <f>HYPERLINK("https://www.suredividend.com/sure-analysis-ABB/","ABB Ltd.")</f>
        <v>0</v>
      </c>
      <c r="C554">
        <v>17.86</v>
      </c>
      <c r="D554">
        <v>37700.309442</v>
      </c>
      <c r="E554" t="s">
        <v>648</v>
      </c>
      <c r="F554" t="s">
        <v>613</v>
      </c>
      <c r="G554" t="s">
        <v>656</v>
      </c>
      <c r="H554" t="s">
        <v>682</v>
      </c>
      <c r="I554" t="s">
        <v>1228</v>
      </c>
      <c r="J554" t="s">
        <v>1278</v>
      </c>
      <c r="K554">
        <v>43950</v>
      </c>
      <c r="L554">
        <v>0.035821052631578</v>
      </c>
      <c r="M554">
        <v>0.01245196889366262</v>
      </c>
      <c r="N554">
        <v>0.05</v>
      </c>
      <c r="O554">
        <v>0.09579828228016685</v>
      </c>
      <c r="P554" t="s">
        <v>523</v>
      </c>
      <c r="Q554" t="s">
        <v>523</v>
      </c>
      <c r="R554">
        <v>0</v>
      </c>
      <c r="S554">
        <v>1.582395</v>
      </c>
      <c r="T554">
        <v>19</v>
      </c>
      <c r="U554">
        <v>0.9399999999999999</v>
      </c>
      <c r="V554">
        <v>0.6747000000000001</v>
      </c>
      <c r="W554">
        <v>0.4</v>
      </c>
      <c r="X554">
        <v>0.632958</v>
      </c>
      <c r="Y554">
        <v>-0.07292799999999999</v>
      </c>
      <c r="Z554">
        <v>0.4263959390862944</v>
      </c>
      <c r="AA554">
        <v>0.6799336650082918</v>
      </c>
      <c r="AB554">
        <v>0.5033112582781457</v>
      </c>
      <c r="AC554">
        <v>0.4958609271523178</v>
      </c>
      <c r="AD554">
        <v>0.4321192052980132</v>
      </c>
    </row>
    <row r="555" spans="1:30">
      <c r="A555" s="1" t="s">
        <v>562</v>
      </c>
      <c r="B555">
        <f>HYPERLINK("https://www.suredividend.com/sure-analysis-PTR/","PetroChina Co., Ltd.")</f>
        <v>0</v>
      </c>
      <c r="C555">
        <v>33.95</v>
      </c>
      <c r="D555">
        <v>7215.8238</v>
      </c>
      <c r="E555" t="s">
        <v>648</v>
      </c>
      <c r="F555" t="s">
        <v>613</v>
      </c>
      <c r="G555" t="s">
        <v>657</v>
      </c>
      <c r="H555" t="s">
        <v>682</v>
      </c>
      <c r="J555" t="s">
        <v>1285</v>
      </c>
      <c r="K555">
        <v>43917</v>
      </c>
      <c r="L555">
        <v>0.07038596491228001</v>
      </c>
      <c r="M555">
        <v>-0.2929301901096019</v>
      </c>
      <c r="N555">
        <v>0.5</v>
      </c>
      <c r="O555">
        <v>0.09536401468132971</v>
      </c>
      <c r="P555" t="s">
        <v>523</v>
      </c>
      <c r="Q555" t="s">
        <v>317</v>
      </c>
      <c r="R555">
        <v>1</v>
      </c>
      <c r="S555">
        <v>4.8144</v>
      </c>
      <c r="T555">
        <v>6</v>
      </c>
      <c r="U555">
        <v>5.658333333333334</v>
      </c>
      <c r="V555">
        <v>3.6261</v>
      </c>
      <c r="W555">
        <v>0.5</v>
      </c>
      <c r="X555">
        <v>2.4072</v>
      </c>
      <c r="Y555">
        <v>-0.430475</v>
      </c>
      <c r="Z555">
        <v>0.7191201353637902</v>
      </c>
      <c r="AA555">
        <v>0.2238805970149254</v>
      </c>
      <c r="AB555">
        <v>0.9966887417218543</v>
      </c>
      <c r="AC555">
        <v>0.003311258278145696</v>
      </c>
      <c r="AD555">
        <v>0.4304635761589404</v>
      </c>
    </row>
    <row r="556" spans="1:30">
      <c r="A556" s="1" t="s">
        <v>563</v>
      </c>
      <c r="B556">
        <f>HYPERLINK("https://www.suredividend.com/sure-analysis-DAL/","Delta Air Lines, Inc.")</f>
        <v>0</v>
      </c>
      <c r="C556">
        <v>21.68</v>
      </c>
      <c r="D556">
        <v>13394.346</v>
      </c>
      <c r="E556" t="s">
        <v>648</v>
      </c>
      <c r="F556" t="s">
        <v>613</v>
      </c>
      <c r="G556" t="s">
        <v>653</v>
      </c>
      <c r="H556" t="s">
        <v>682</v>
      </c>
      <c r="I556" t="s">
        <v>1229</v>
      </c>
      <c r="J556" t="s">
        <v>1278</v>
      </c>
      <c r="K556">
        <v>43944</v>
      </c>
      <c r="L556">
        <v>0.07416666666666601</v>
      </c>
      <c r="M556">
        <v>0.02890705751653422</v>
      </c>
      <c r="N556">
        <v>0.06</v>
      </c>
      <c r="O556">
        <v>0.09355978841195633</v>
      </c>
      <c r="P556" t="s">
        <v>523</v>
      </c>
      <c r="Q556" t="s">
        <v>317</v>
      </c>
      <c r="R556">
        <v>0</v>
      </c>
      <c r="S556">
        <v>9.99</v>
      </c>
      <c r="T556">
        <v>25</v>
      </c>
      <c r="U556">
        <v>0.8672</v>
      </c>
      <c r="V556">
        <v>5.4078</v>
      </c>
      <c r="W556">
        <v>-9</v>
      </c>
      <c r="X556">
        <v>1.5575</v>
      </c>
      <c r="Y556">
        <v>-0.632674</v>
      </c>
      <c r="Z556">
        <v>0.7478849407783418</v>
      </c>
      <c r="AA556">
        <v>0.06799336650082918</v>
      </c>
      <c r="AB556">
        <v>0.6423841059602649</v>
      </c>
      <c r="AC556">
        <v>0.5695364238410596</v>
      </c>
      <c r="AD556">
        <v>0.4254966887417219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10.05</v>
      </c>
      <c r="D557">
        <v>4247.2482</v>
      </c>
      <c r="E557" t="s">
        <v>649</v>
      </c>
      <c r="F557" t="s">
        <v>614</v>
      </c>
      <c r="G557" t="s">
        <v>653</v>
      </c>
      <c r="H557" t="s">
        <v>682</v>
      </c>
      <c r="I557" t="s">
        <v>1230</v>
      </c>
      <c r="J557" t="s">
        <v>1282</v>
      </c>
      <c r="K557">
        <v>43937</v>
      </c>
      <c r="L557">
        <v>0.114052953156822</v>
      </c>
      <c r="M557">
        <v>-0.06193839697919656</v>
      </c>
      <c r="N557">
        <v>0.105</v>
      </c>
      <c r="O557">
        <v>0.09238204654460569</v>
      </c>
      <c r="P557" t="s">
        <v>523</v>
      </c>
      <c r="Q557" t="s">
        <v>371</v>
      </c>
      <c r="R557">
        <v>0</v>
      </c>
      <c r="S557">
        <v>1.534246575342466</v>
      </c>
      <c r="T557">
        <v>7.3</v>
      </c>
      <c r="U557">
        <v>1.376712328767123</v>
      </c>
      <c r="V557">
        <v>0.8025</v>
      </c>
      <c r="W557">
        <v>0.73</v>
      </c>
      <c r="X557">
        <v>1.12</v>
      </c>
      <c r="Y557">
        <v>-0.453229</v>
      </c>
      <c r="Z557">
        <v>0.871404399323181</v>
      </c>
      <c r="AA557">
        <v>0.2006633499170812</v>
      </c>
      <c r="AB557">
        <v>0.9238410596026491</v>
      </c>
      <c r="AC557">
        <v>0.1456953642384106</v>
      </c>
      <c r="AD557">
        <v>0.4172185430463576</v>
      </c>
    </row>
    <row r="558" spans="1:30">
      <c r="A558" s="1" t="s">
        <v>565</v>
      </c>
      <c r="B558">
        <f>HYPERLINK("https://www.suredividend.com/sure-analysis-BCE/","BCE, Inc.")</f>
        <v>0</v>
      </c>
      <c r="C558">
        <v>40.39</v>
      </c>
      <c r="D558">
        <v>36314.8808</v>
      </c>
      <c r="E558" t="s">
        <v>645</v>
      </c>
      <c r="F558" t="s">
        <v>613</v>
      </c>
      <c r="G558" t="s">
        <v>654</v>
      </c>
      <c r="H558" t="s">
        <v>682</v>
      </c>
      <c r="I558" t="s">
        <v>1231</v>
      </c>
      <c r="J558" t="s">
        <v>1279</v>
      </c>
      <c r="K558">
        <v>43870</v>
      </c>
      <c r="L558">
        <v>0.05948580466974401</v>
      </c>
      <c r="M558">
        <v>0.003002465824367917</v>
      </c>
      <c r="N558">
        <v>0.035</v>
      </c>
      <c r="O558">
        <v>0.09149638843150454</v>
      </c>
      <c r="P558" t="s">
        <v>523</v>
      </c>
      <c r="Q558" t="s">
        <v>317</v>
      </c>
      <c r="R558">
        <v>12</v>
      </c>
      <c r="S558">
        <v>0.95557996621478</v>
      </c>
      <c r="T558">
        <v>41</v>
      </c>
      <c r="U558">
        <v>0.9851219512195122</v>
      </c>
      <c r="V558">
        <v>2.5436</v>
      </c>
      <c r="W558">
        <v>2.5</v>
      </c>
      <c r="X558">
        <v>2.38894991553695</v>
      </c>
      <c r="Y558">
        <v>-0.094067</v>
      </c>
      <c r="Z558">
        <v>0.6548223350253807</v>
      </c>
      <c r="AA558">
        <v>0.6600331674958541</v>
      </c>
      <c r="AB558">
        <v>0.2698675496688742</v>
      </c>
      <c r="AC558">
        <v>0.4437086092715232</v>
      </c>
      <c r="AD558">
        <v>0.4105960264900662</v>
      </c>
    </row>
    <row r="559" spans="1:30">
      <c r="A559" s="1" t="s">
        <v>566</v>
      </c>
      <c r="B559">
        <f>HYPERLINK("https://www.suredividend.com/sure-analysis-AQN/","Algonquin Power &amp; Utilities Corp.")</f>
        <v>0</v>
      </c>
      <c r="C559">
        <v>13.67</v>
      </c>
      <c r="D559">
        <v>7148.4864</v>
      </c>
      <c r="E559" t="s">
        <v>645</v>
      </c>
      <c r="F559" t="s">
        <v>613</v>
      </c>
      <c r="G559" t="s">
        <v>654</v>
      </c>
      <c r="H559" t="s">
        <v>682</v>
      </c>
      <c r="I559" t="s">
        <v>1232</v>
      </c>
      <c r="J559" t="s">
        <v>1287</v>
      </c>
      <c r="K559">
        <v>43909</v>
      </c>
      <c r="L559">
        <v>0.04032860411791001</v>
      </c>
      <c r="M559">
        <v>-0.0257227843614003</v>
      </c>
      <c r="N559">
        <v>0.075</v>
      </c>
      <c r="O559">
        <v>0.08748304185143385</v>
      </c>
      <c r="P559" t="s">
        <v>523</v>
      </c>
      <c r="Q559" t="s">
        <v>523</v>
      </c>
      <c r="R559">
        <v>2</v>
      </c>
      <c r="S559">
        <v>0.8437984861593492</v>
      </c>
      <c r="T559">
        <v>12</v>
      </c>
      <c r="U559">
        <v>1.139166666666667</v>
      </c>
      <c r="V559">
        <v>1.0413</v>
      </c>
      <c r="W559">
        <v>0.65</v>
      </c>
      <c r="X559">
        <v>0.548469016003577</v>
      </c>
      <c r="Y559">
        <v>0.208889</v>
      </c>
      <c r="Z559">
        <v>0.4822335025380711</v>
      </c>
      <c r="AA559">
        <v>0.9203980099502488</v>
      </c>
      <c r="AB559">
        <v>0.7839403973509934</v>
      </c>
      <c r="AC559">
        <v>0.2996688741721855</v>
      </c>
      <c r="AD559">
        <v>0.3774834437086093</v>
      </c>
    </row>
    <row r="560" spans="1:30">
      <c r="A560" s="1" t="s">
        <v>567</v>
      </c>
      <c r="B560">
        <f>HYPERLINK("https://www.suredividend.com/sure-analysis-SJR/","Shaw Communications, Inc.")</f>
        <v>0</v>
      </c>
      <c r="C560">
        <v>16.13</v>
      </c>
      <c r="D560">
        <v>8183.62788</v>
      </c>
      <c r="E560" t="s">
        <v>650</v>
      </c>
      <c r="F560" t="s">
        <v>613</v>
      </c>
      <c r="G560" t="s">
        <v>654</v>
      </c>
      <c r="H560" t="s">
        <v>682</v>
      </c>
      <c r="I560" t="s">
        <v>1233</v>
      </c>
      <c r="J560" t="s">
        <v>1279</v>
      </c>
      <c r="K560">
        <v>43951</v>
      </c>
      <c r="L560">
        <v>0.056083466084586</v>
      </c>
      <c r="M560">
        <v>-0.01839538066301594</v>
      </c>
      <c r="N560">
        <v>0.06</v>
      </c>
      <c r="O560">
        <v>0.08551914386184412</v>
      </c>
      <c r="P560" t="s">
        <v>523</v>
      </c>
      <c r="Q560" t="s">
        <v>317</v>
      </c>
      <c r="R560">
        <v>0</v>
      </c>
      <c r="S560">
        <v>0.9717070102046761</v>
      </c>
      <c r="T560">
        <v>14.7</v>
      </c>
      <c r="U560">
        <v>1.097278911564626</v>
      </c>
      <c r="V560">
        <v>1.045</v>
      </c>
      <c r="W560">
        <v>0.92</v>
      </c>
      <c r="X560">
        <v>0.8939704493883021</v>
      </c>
      <c r="Y560">
        <v>-0.214004</v>
      </c>
      <c r="Z560">
        <v>0.6412859560067682</v>
      </c>
      <c r="AA560">
        <v>0.4975124378109453</v>
      </c>
      <c r="AB560">
        <v>0.6423841059602649</v>
      </c>
      <c r="AC560">
        <v>0.3443708609271524</v>
      </c>
      <c r="AD560">
        <v>0.3658940397350993</v>
      </c>
    </row>
    <row r="561" spans="1:30">
      <c r="A561" s="1" t="s">
        <v>568</v>
      </c>
      <c r="B561">
        <f>HYPERLINK("https://www.suredividend.com/sure-analysis-HOG/","Harley-Davidson, Inc.")</f>
        <v>0</v>
      </c>
      <c r="C561">
        <v>20.44</v>
      </c>
      <c r="D561">
        <v>2995.3206</v>
      </c>
      <c r="E561" t="s">
        <v>649</v>
      </c>
      <c r="F561" t="s">
        <v>613</v>
      </c>
      <c r="G561" t="s">
        <v>653</v>
      </c>
      <c r="H561" t="s">
        <v>682</v>
      </c>
      <c r="I561" t="s">
        <v>1234</v>
      </c>
      <c r="J561" t="s">
        <v>1280</v>
      </c>
      <c r="K561">
        <v>43937</v>
      </c>
      <c r="L561">
        <v>0.07694274028629801</v>
      </c>
      <c r="M561">
        <v>-0.09222560079353204</v>
      </c>
      <c r="N561">
        <v>0.147</v>
      </c>
      <c r="O561">
        <v>0.08404472920393546</v>
      </c>
      <c r="P561" t="s">
        <v>523</v>
      </c>
      <c r="Q561" t="s">
        <v>317</v>
      </c>
      <c r="R561">
        <v>9</v>
      </c>
      <c r="S561">
        <v>1.194444444444444</v>
      </c>
      <c r="T561">
        <v>12.6</v>
      </c>
      <c r="U561">
        <v>1.622222222222222</v>
      </c>
      <c r="V561">
        <v>2.329</v>
      </c>
      <c r="W561">
        <v>1.26</v>
      </c>
      <c r="X561">
        <v>1.505</v>
      </c>
      <c r="Y561">
        <v>-0.461157</v>
      </c>
      <c r="Z561">
        <v>0.7681895093062606</v>
      </c>
      <c r="AA561">
        <v>0.1923714759535655</v>
      </c>
      <c r="AB561">
        <v>0.9503311258278145</v>
      </c>
      <c r="AC561">
        <v>0.07450331125827814</v>
      </c>
      <c r="AD561">
        <v>0.347682119205298</v>
      </c>
    </row>
    <row r="562" spans="1:30">
      <c r="A562" s="1" t="s">
        <v>569</v>
      </c>
      <c r="B562">
        <f>HYPERLINK("https://www.suredividend.com/sure-analysis-WY/","Weyerhaeuser Co.")</f>
        <v>0</v>
      </c>
      <c r="C562">
        <v>18.63</v>
      </c>
      <c r="D562">
        <v>13603.33538</v>
      </c>
      <c r="E562" t="s">
        <v>649</v>
      </c>
      <c r="F562" t="s">
        <v>613</v>
      </c>
      <c r="G562" t="s">
        <v>653</v>
      </c>
      <c r="H562" t="s">
        <v>682</v>
      </c>
      <c r="I562" t="s">
        <v>1235</v>
      </c>
      <c r="J562" t="s">
        <v>1282</v>
      </c>
      <c r="K562">
        <v>43916</v>
      </c>
      <c r="L562">
        <v>0.07460230389467901</v>
      </c>
      <c r="M562">
        <v>-0.04241864617107571</v>
      </c>
      <c r="N562">
        <v>0.07000000000000001</v>
      </c>
      <c r="O562">
        <v>0.08364216718236439</v>
      </c>
      <c r="P562" t="s">
        <v>523</v>
      </c>
      <c r="Q562" t="s">
        <v>317</v>
      </c>
      <c r="R562">
        <v>9</v>
      </c>
      <c r="S562">
        <v>1.36</v>
      </c>
      <c r="T562">
        <v>15</v>
      </c>
      <c r="U562">
        <v>1.242</v>
      </c>
      <c r="V562">
        <v>0.4866</v>
      </c>
      <c r="W562">
        <v>1</v>
      </c>
      <c r="X562">
        <v>1.36</v>
      </c>
      <c r="Y562">
        <v>-0.299654</v>
      </c>
      <c r="Z562">
        <v>0.7529610829103216</v>
      </c>
      <c r="AA562">
        <v>0.3781094527363184</v>
      </c>
      <c r="AB562">
        <v>0.7442052980132451</v>
      </c>
      <c r="AC562">
        <v>0.2168874172185431</v>
      </c>
      <c r="AD562">
        <v>0.3443708609271524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13.255</v>
      </c>
      <c r="D563">
        <v>5578.6104</v>
      </c>
      <c r="E563" t="s">
        <v>649</v>
      </c>
      <c r="F563" t="s">
        <v>616</v>
      </c>
      <c r="G563" t="s">
        <v>653</v>
      </c>
      <c r="H563" t="s">
        <v>683</v>
      </c>
      <c r="I563" t="s">
        <v>1236</v>
      </c>
      <c r="J563" t="s">
        <v>1277</v>
      </c>
      <c r="K563">
        <v>43908</v>
      </c>
      <c r="L563">
        <v>0.121212121212121</v>
      </c>
      <c r="M563">
        <v>-0.0366089871337365</v>
      </c>
      <c r="N563">
        <v>0.01</v>
      </c>
      <c r="O563">
        <v>0.08204584728263309</v>
      </c>
      <c r="P563" t="s">
        <v>523</v>
      </c>
      <c r="Q563" t="s">
        <v>371</v>
      </c>
      <c r="R563">
        <v>2</v>
      </c>
      <c r="S563">
        <v>0.888888888888889</v>
      </c>
      <c r="T563">
        <v>11</v>
      </c>
      <c r="U563">
        <v>1.205</v>
      </c>
      <c r="V563">
        <v>-0.0684</v>
      </c>
      <c r="W563">
        <v>1.8</v>
      </c>
      <c r="X563">
        <v>1.6</v>
      </c>
      <c r="Y563">
        <v>-0.254658</v>
      </c>
      <c r="Z563">
        <v>0.8781725888324873</v>
      </c>
      <c r="AA563">
        <v>0.4378109452736318</v>
      </c>
      <c r="AB563">
        <v>0.05711920529801325</v>
      </c>
      <c r="AC563">
        <v>0.2466887417218543</v>
      </c>
      <c r="AD563">
        <v>0.3344370860927153</v>
      </c>
    </row>
    <row r="564" spans="1:30">
      <c r="A564" s="1" t="s">
        <v>571</v>
      </c>
      <c r="B564">
        <f>HYPERLINK("https://www.suredividend.com/sure-analysis-ALV/","Autoliv, Inc.")</f>
        <v>0</v>
      </c>
      <c r="C564">
        <v>57.97</v>
      </c>
      <c r="D564">
        <v>5090.50531</v>
      </c>
      <c r="E564" t="s">
        <v>644</v>
      </c>
      <c r="F564" t="s">
        <v>613</v>
      </c>
      <c r="G564" t="s">
        <v>669</v>
      </c>
      <c r="H564" t="s">
        <v>682</v>
      </c>
      <c r="I564" t="s">
        <v>1237</v>
      </c>
      <c r="J564" t="s">
        <v>1280</v>
      </c>
      <c r="K564">
        <v>43950</v>
      </c>
      <c r="L564">
        <v>0.042538593481989</v>
      </c>
      <c r="M564">
        <v>0.006907533084737905</v>
      </c>
      <c r="N564">
        <v>0.05</v>
      </c>
      <c r="O564">
        <v>0.07664245863917629</v>
      </c>
      <c r="P564" t="s">
        <v>523</v>
      </c>
      <c r="Q564" t="s">
        <v>523</v>
      </c>
      <c r="R564">
        <v>10</v>
      </c>
      <c r="S564">
        <v>0.9018181818181819</v>
      </c>
      <c r="T564">
        <v>60</v>
      </c>
      <c r="U564">
        <v>0.9661666666666666</v>
      </c>
      <c r="V564">
        <v>4.8717</v>
      </c>
      <c r="W564">
        <v>2.75</v>
      </c>
      <c r="X564">
        <v>2.48</v>
      </c>
      <c r="Y564">
        <v>-0.225969</v>
      </c>
      <c r="Z564">
        <v>0.5109983079526227</v>
      </c>
      <c r="AA564">
        <v>0.4792703150912107</v>
      </c>
      <c r="AB564">
        <v>0.5033112582781457</v>
      </c>
      <c r="AC564">
        <v>0.4735099337748344</v>
      </c>
      <c r="AD564">
        <v>0.3195364238410596</v>
      </c>
    </row>
    <row r="565" spans="1:30">
      <c r="A565" s="1" t="s">
        <v>572</v>
      </c>
      <c r="B565">
        <f>HYPERLINK("https://www.suredividend.com/sure-analysis-PRT/","PermRock Royalty Trust")</f>
        <v>0</v>
      </c>
      <c r="C565">
        <v>1.88</v>
      </c>
      <c r="D565">
        <v>23.84536</v>
      </c>
      <c r="E565" t="s">
        <v>650</v>
      </c>
      <c r="F565" t="s">
        <v>613</v>
      </c>
      <c r="G565" t="s">
        <v>653</v>
      </c>
      <c r="H565" t="s">
        <v>682</v>
      </c>
      <c r="J565" t="s">
        <v>1285</v>
      </c>
      <c r="K565">
        <v>43944</v>
      </c>
      <c r="L565">
        <v>0.370663724489795</v>
      </c>
      <c r="M565">
        <v>0.01746435243776379</v>
      </c>
      <c r="N565">
        <v>-0.1</v>
      </c>
      <c r="O565">
        <v>0.07621492092015281</v>
      </c>
      <c r="P565" t="s">
        <v>523</v>
      </c>
      <c r="Q565" t="s">
        <v>371</v>
      </c>
      <c r="R565">
        <v>0</v>
      </c>
      <c r="S565">
        <v>1.771953414634146</v>
      </c>
      <c r="T565">
        <v>2.05</v>
      </c>
      <c r="U565">
        <v>0.9170731707317074</v>
      </c>
      <c r="V565">
        <v>0.7265</v>
      </c>
      <c r="W565">
        <v>0.41</v>
      </c>
      <c r="X565">
        <v>0.7265009</v>
      </c>
      <c r="Y565">
        <v>-0.777273</v>
      </c>
      <c r="Z565">
        <v>0.9898477157360407</v>
      </c>
      <c r="AA565">
        <v>0.01326699834162521</v>
      </c>
      <c r="AB565">
        <v>0.003311258278145696</v>
      </c>
      <c r="AC565">
        <v>0.5132450331125827</v>
      </c>
      <c r="AD565">
        <v>0.3162251655629139</v>
      </c>
    </row>
    <row r="566" spans="1:30">
      <c r="A566" s="1" t="s">
        <v>573</v>
      </c>
      <c r="B566">
        <f>HYPERLINK("https://www.suredividend.com/sure-analysis-GLPI/","Gaming &amp; Leisure Properties, Inc.")</f>
        <v>0</v>
      </c>
      <c r="C566">
        <v>27.41</v>
      </c>
      <c r="D566">
        <v>5498.41608</v>
      </c>
      <c r="E566" t="s">
        <v>649</v>
      </c>
      <c r="F566" t="s">
        <v>614</v>
      </c>
      <c r="G566" t="s">
        <v>653</v>
      </c>
      <c r="H566" t="s">
        <v>683</v>
      </c>
      <c r="I566" t="s">
        <v>1238</v>
      </c>
      <c r="J566" t="s">
        <v>1282</v>
      </c>
      <c r="K566">
        <v>43913</v>
      </c>
      <c r="L566">
        <v>0.107981220657276</v>
      </c>
      <c r="M566">
        <v>-0.09111700662715472</v>
      </c>
      <c r="N566">
        <v>0.129</v>
      </c>
      <c r="O566">
        <v>0.07599004629128636</v>
      </c>
      <c r="P566" t="s">
        <v>523</v>
      </c>
      <c r="Q566" t="s">
        <v>371</v>
      </c>
      <c r="R566">
        <v>6</v>
      </c>
      <c r="S566">
        <v>1.84</v>
      </c>
      <c r="T566">
        <v>17</v>
      </c>
      <c r="U566">
        <v>1.612352941176471</v>
      </c>
      <c r="V566">
        <v>1.8353</v>
      </c>
      <c r="W566">
        <v>1.5</v>
      </c>
      <c r="X566">
        <v>2.76</v>
      </c>
      <c r="Y566">
        <v>-0.350114</v>
      </c>
      <c r="Z566">
        <v>0.8612521150592216</v>
      </c>
      <c r="AA566">
        <v>0.3217247097844113</v>
      </c>
      <c r="AB566">
        <v>0.945364238410596</v>
      </c>
      <c r="AC566">
        <v>0.07615894039735099</v>
      </c>
      <c r="AD566">
        <v>0.3112582781456953</v>
      </c>
    </row>
    <row r="567" spans="1:30">
      <c r="A567" s="1" t="s">
        <v>574</v>
      </c>
      <c r="B567">
        <f>HYPERLINK("https://www.suredividend.com/sure-analysis-DREUF/","Dream Industrial Real Estate Investment Trust")</f>
        <v>0</v>
      </c>
      <c r="C567">
        <v>7</v>
      </c>
      <c r="D567">
        <v>1198.510985</v>
      </c>
      <c r="E567" t="s">
        <v>649</v>
      </c>
      <c r="F567" t="s">
        <v>614</v>
      </c>
      <c r="G567" t="s">
        <v>654</v>
      </c>
      <c r="H567" t="s">
        <v>684</v>
      </c>
      <c r="I567" t="s">
        <v>1239</v>
      </c>
      <c r="J567" t="s">
        <v>1277</v>
      </c>
      <c r="K567">
        <v>43913</v>
      </c>
      <c r="L567">
        <v>0.075137834914017</v>
      </c>
      <c r="M567">
        <v>-0.043647500209963</v>
      </c>
      <c r="N567">
        <v>0.052</v>
      </c>
      <c r="O567">
        <v>0.07548365496907605</v>
      </c>
      <c r="P567" t="s">
        <v>523</v>
      </c>
      <c r="Q567" t="s">
        <v>371</v>
      </c>
      <c r="R567">
        <v>0</v>
      </c>
      <c r="S567">
        <v>0.7513783491401702</v>
      </c>
      <c r="T567">
        <v>5.6</v>
      </c>
      <c r="U567">
        <v>1.25</v>
      </c>
      <c r="V567">
        <v>1.1947</v>
      </c>
      <c r="W567">
        <v>0.7</v>
      </c>
      <c r="X567">
        <v>0.5259648443981191</v>
      </c>
      <c r="Y567">
        <v>-0.184178</v>
      </c>
      <c r="Z567">
        <v>0.7563451776649747</v>
      </c>
      <c r="AA567">
        <v>0.5456053067993366</v>
      </c>
      <c r="AB567">
        <v>0.5687086092715231</v>
      </c>
      <c r="AC567">
        <v>0.2127483443708609</v>
      </c>
      <c r="AD567">
        <v>0.3062913907284768</v>
      </c>
    </row>
    <row r="568" spans="1:30">
      <c r="A568" s="1" t="s">
        <v>575</v>
      </c>
      <c r="B568">
        <f>HYPERLINK("https://www.suredividend.com/sure-analysis-BGS/","B&amp;G Foods, Inc.")</f>
        <v>0</v>
      </c>
      <c r="C568">
        <v>20.66</v>
      </c>
      <c r="D568">
        <v>1344.9387</v>
      </c>
      <c r="E568" t="s">
        <v>641</v>
      </c>
      <c r="F568" t="s">
        <v>613</v>
      </c>
      <c r="G568" t="s">
        <v>653</v>
      </c>
      <c r="H568" t="s">
        <v>682</v>
      </c>
      <c r="I568" t="s">
        <v>1240</v>
      </c>
      <c r="J568" t="s">
        <v>1284</v>
      </c>
      <c r="K568">
        <v>43888</v>
      </c>
      <c r="L568">
        <v>0.09047619047619</v>
      </c>
      <c r="M568">
        <v>-0.01661256079034146</v>
      </c>
      <c r="N568">
        <v>0.02</v>
      </c>
      <c r="O568">
        <v>0.0742510402157841</v>
      </c>
      <c r="P568" t="s">
        <v>523</v>
      </c>
      <c r="Q568" t="s">
        <v>371</v>
      </c>
      <c r="R568">
        <v>9</v>
      </c>
      <c r="S568">
        <v>1.117647058823529</v>
      </c>
      <c r="T568">
        <v>19</v>
      </c>
      <c r="U568">
        <v>1.087368421052632</v>
      </c>
      <c r="V568">
        <v>1.3558</v>
      </c>
      <c r="W568">
        <v>1.7</v>
      </c>
      <c r="X568">
        <v>1.9</v>
      </c>
      <c r="Y568">
        <v>-0.038462</v>
      </c>
      <c r="Z568">
        <v>0.820642978003384</v>
      </c>
      <c r="AA568">
        <v>0.7180762852404644</v>
      </c>
      <c r="AB568">
        <v>0.130794701986755</v>
      </c>
      <c r="AC568">
        <v>0.3559602649006622</v>
      </c>
      <c r="AD568">
        <v>0.2980132450331126</v>
      </c>
    </row>
    <row r="569" spans="1:30">
      <c r="A569" s="1" t="s">
        <v>576</v>
      </c>
      <c r="B569">
        <f>HYPERLINK("https://www.suredividend.com/sure-analysis-GRP-UN","Granite Real Estate Investment Trust")</f>
        <v>0</v>
      </c>
      <c r="C569">
        <v>45.25</v>
      </c>
      <c r="D569">
        <v>2470</v>
      </c>
      <c r="E569" t="s">
        <v>649</v>
      </c>
      <c r="F569" t="s">
        <v>614</v>
      </c>
      <c r="G569" t="s">
        <v>656</v>
      </c>
      <c r="H569" t="s">
        <v>686</v>
      </c>
      <c r="J569" t="s">
        <v>1277</v>
      </c>
      <c r="K569">
        <v>43901</v>
      </c>
      <c r="L569">
        <v>0.046</v>
      </c>
      <c r="M569">
        <v>-0.01014866212365406</v>
      </c>
      <c r="N569">
        <v>0.04</v>
      </c>
      <c r="O569">
        <v>0.07309535354670871</v>
      </c>
      <c r="P569" t="s">
        <v>523</v>
      </c>
      <c r="Q569" t="s">
        <v>317</v>
      </c>
      <c r="R569">
        <v>1</v>
      </c>
      <c r="S569">
        <v>0.7475409836065575</v>
      </c>
      <c r="T569">
        <v>43</v>
      </c>
      <c r="U569">
        <v>1.052325581395349</v>
      </c>
      <c r="V569">
        <v>5.1206</v>
      </c>
      <c r="W569">
        <v>3.05</v>
      </c>
      <c r="X569">
        <v>2.28</v>
      </c>
      <c r="Z569">
        <v>0.5482233502538071</v>
      </c>
      <c r="AB569">
        <v>0.3501655629139073</v>
      </c>
      <c r="AC569">
        <v>0.3857615894039735</v>
      </c>
      <c r="AD569">
        <v>0.2947019867549669</v>
      </c>
    </row>
    <row r="570" spans="1:30">
      <c r="A570" s="1" t="s">
        <v>577</v>
      </c>
      <c r="B570">
        <f>HYPERLINK("https://www.suredividend.com/sure-analysis-FCX/","Freeport-McMoRan, Inc.")</f>
        <v>0</v>
      </c>
      <c r="C570">
        <v>8.970000000000001</v>
      </c>
      <c r="D570">
        <v>12472.3364</v>
      </c>
      <c r="E570" t="s">
        <v>644</v>
      </c>
      <c r="F570" t="s">
        <v>613</v>
      </c>
      <c r="G570" t="s">
        <v>653</v>
      </c>
      <c r="H570" t="s">
        <v>682</v>
      </c>
      <c r="I570" t="s">
        <v>1241</v>
      </c>
      <c r="J570" t="s">
        <v>1281</v>
      </c>
      <c r="K570">
        <v>43949</v>
      </c>
      <c r="L570">
        <v>0.017462165308498</v>
      </c>
      <c r="M570">
        <v>-0.0226288648661146</v>
      </c>
      <c r="N570">
        <v>0.08500000000000001</v>
      </c>
      <c r="O570">
        <v>0.07115141218399512</v>
      </c>
      <c r="P570" t="s">
        <v>523</v>
      </c>
      <c r="Q570" t="s">
        <v>523</v>
      </c>
      <c r="R570">
        <v>0</v>
      </c>
      <c r="S570">
        <v>9.99</v>
      </c>
      <c r="T570">
        <v>8</v>
      </c>
      <c r="U570">
        <v>1.12125</v>
      </c>
      <c r="V570">
        <v>-0.5296000000000001</v>
      </c>
      <c r="W570">
        <v>-0.17</v>
      </c>
      <c r="X570">
        <v>0.15</v>
      </c>
      <c r="Y570">
        <v>-0.249126</v>
      </c>
      <c r="Z570">
        <v>0.1472081218274112</v>
      </c>
      <c r="AA570">
        <v>0.4461028192371476</v>
      </c>
      <c r="AB570">
        <v>0.8576158940397351</v>
      </c>
      <c r="AC570">
        <v>0.3211920529801324</v>
      </c>
      <c r="AD570">
        <v>0.2798013245033112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22.25</v>
      </c>
      <c r="D571">
        <v>12100.74584</v>
      </c>
      <c r="E571" t="s">
        <v>648</v>
      </c>
      <c r="F571" t="s">
        <v>613</v>
      </c>
      <c r="G571" t="s">
        <v>654</v>
      </c>
      <c r="H571" t="s">
        <v>682</v>
      </c>
      <c r="I571" t="s">
        <v>1242</v>
      </c>
      <c r="J571" t="s">
        <v>1285</v>
      </c>
      <c r="K571">
        <v>43912</v>
      </c>
      <c r="L571">
        <v>0.080809972173169</v>
      </c>
      <c r="M571">
        <v>-0.05240277287604511</v>
      </c>
      <c r="N571">
        <v>0.05</v>
      </c>
      <c r="O571">
        <v>0.06958830658908011</v>
      </c>
      <c r="P571" t="s">
        <v>523</v>
      </c>
      <c r="Q571" t="s">
        <v>317</v>
      </c>
      <c r="R571">
        <v>4</v>
      </c>
      <c r="S571">
        <v>1.185751658354307</v>
      </c>
      <c r="T571">
        <v>17</v>
      </c>
      <c r="U571">
        <v>1.308823529411765</v>
      </c>
      <c r="V571">
        <v>2.0005</v>
      </c>
      <c r="W571">
        <v>1.5</v>
      </c>
      <c r="X571">
        <v>1.77862748753146</v>
      </c>
      <c r="Y571">
        <v>-0.371681</v>
      </c>
      <c r="Z571">
        <v>0.7868020304568527</v>
      </c>
      <c r="AA571">
        <v>0.2885572139303483</v>
      </c>
      <c r="AB571">
        <v>0.5033112582781457</v>
      </c>
      <c r="AC571">
        <v>0.1887417218543046</v>
      </c>
      <c r="AD571">
        <v>0.2764900662251655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18.18</v>
      </c>
      <c r="D572">
        <v>32528.107093</v>
      </c>
      <c r="E572" t="s">
        <v>648</v>
      </c>
      <c r="F572" t="s">
        <v>613</v>
      </c>
      <c r="G572" t="s">
        <v>672</v>
      </c>
      <c r="H572" t="s">
        <v>682</v>
      </c>
      <c r="I572" t="s">
        <v>1243</v>
      </c>
      <c r="J572" t="s">
        <v>1285</v>
      </c>
      <c r="K572">
        <v>43949</v>
      </c>
      <c r="L572">
        <v>0.07334299835255301</v>
      </c>
      <c r="M572">
        <v>-0.03772439487113177</v>
      </c>
      <c r="N572">
        <v>0.06</v>
      </c>
      <c r="O572">
        <v>0.06950034308332853</v>
      </c>
      <c r="P572" t="s">
        <v>523</v>
      </c>
      <c r="Q572" t="s">
        <v>317</v>
      </c>
      <c r="R572">
        <v>0</v>
      </c>
      <c r="S572">
        <v>9.99</v>
      </c>
      <c r="T572">
        <v>15</v>
      </c>
      <c r="U572">
        <v>1.212</v>
      </c>
      <c r="V572">
        <v>0.1066</v>
      </c>
      <c r="W572">
        <v>-1.8</v>
      </c>
      <c r="X572">
        <v>1.335576</v>
      </c>
      <c r="Y572">
        <v>-0.439692</v>
      </c>
      <c r="Z572">
        <v>0.7394247038917089</v>
      </c>
      <c r="AA572">
        <v>0.2172470978441128</v>
      </c>
      <c r="AB572">
        <v>0.6423841059602649</v>
      </c>
      <c r="AC572">
        <v>0.2384105960264901</v>
      </c>
      <c r="AD572">
        <v>0.2731788079470199</v>
      </c>
    </row>
    <row r="573" spans="1:30">
      <c r="A573" s="1" t="s">
        <v>580</v>
      </c>
      <c r="B573">
        <f>HYPERLINK("https://www.suredividend.com/sure-analysis-BBBY/","Bed Bath &amp; Beyond, Inc.")</f>
        <v>0</v>
      </c>
      <c r="C573">
        <v>5.775</v>
      </c>
      <c r="D573">
        <v>713.75892</v>
      </c>
      <c r="E573" t="s">
        <v>641</v>
      </c>
      <c r="F573" t="s">
        <v>613</v>
      </c>
      <c r="G573" t="s">
        <v>653</v>
      </c>
      <c r="H573" t="s">
        <v>683</v>
      </c>
      <c r="I573" t="s">
        <v>1244</v>
      </c>
      <c r="J573" t="s">
        <v>1280</v>
      </c>
      <c r="K573">
        <v>43937</v>
      </c>
      <c r="L573">
        <v>0.120567375886524</v>
      </c>
      <c r="M573">
        <v>0.03922410156720635</v>
      </c>
      <c r="N573">
        <v>0.02</v>
      </c>
      <c r="O573">
        <v>0.06000858359855044</v>
      </c>
      <c r="P573" t="s">
        <v>523</v>
      </c>
      <c r="Q573" t="s">
        <v>317</v>
      </c>
      <c r="R573">
        <v>3</v>
      </c>
      <c r="S573">
        <v>9.99</v>
      </c>
      <c r="T573">
        <v>7</v>
      </c>
      <c r="U573">
        <v>0.8250000000000001</v>
      </c>
      <c r="V573">
        <v>-4.8764</v>
      </c>
      <c r="W573">
        <v>-2</v>
      </c>
      <c r="X573">
        <v>0.68</v>
      </c>
      <c r="Y573">
        <v>-0.6419049999999999</v>
      </c>
      <c r="Z573">
        <v>0.8764805414551607</v>
      </c>
      <c r="AA573">
        <v>0.06467661691542288</v>
      </c>
      <c r="AB573">
        <v>0.130794701986755</v>
      </c>
      <c r="AC573">
        <v>0.6092715231788079</v>
      </c>
      <c r="AD573">
        <v>0.2450331125827815</v>
      </c>
    </row>
    <row r="574" spans="1:30">
      <c r="A574" s="1" t="s">
        <v>581</v>
      </c>
      <c r="B574">
        <f>HYPERLINK("https://www.suredividend.com/sure-analysis-PTEN/","Patterson-UTI Energy, Inc.")</f>
        <v>0</v>
      </c>
      <c r="C574">
        <v>2.935</v>
      </c>
      <c r="D574">
        <v>529.6685199999999</v>
      </c>
      <c r="E574" t="s">
        <v>648</v>
      </c>
      <c r="F574" t="s">
        <v>613</v>
      </c>
      <c r="G574" t="s">
        <v>653</v>
      </c>
      <c r="H574" t="s">
        <v>683</v>
      </c>
      <c r="I574" t="s">
        <v>1245</v>
      </c>
      <c r="J574" t="s">
        <v>1285</v>
      </c>
      <c r="K574">
        <v>43957</v>
      </c>
      <c r="L574">
        <v>0.056338028169014</v>
      </c>
      <c r="M574">
        <v>0.2031637062270422</v>
      </c>
      <c r="N574">
        <v>-0.14</v>
      </c>
      <c r="O574">
        <v>0.05955077084129523</v>
      </c>
      <c r="P574" t="s">
        <v>523</v>
      </c>
      <c r="Q574" t="s">
        <v>523</v>
      </c>
      <c r="R574">
        <v>0</v>
      </c>
      <c r="S574">
        <v>9.99</v>
      </c>
      <c r="T574">
        <v>7.4</v>
      </c>
      <c r="U574">
        <v>0.3966216216216216</v>
      </c>
      <c r="V574">
        <v>-4.2748</v>
      </c>
      <c r="W574">
        <v>-2.4</v>
      </c>
      <c r="X574">
        <v>0.16</v>
      </c>
      <c r="Y574">
        <v>-0.785983</v>
      </c>
      <c r="Z574">
        <v>0.6446700507614213</v>
      </c>
      <c r="AA574">
        <v>0.009950248756218905</v>
      </c>
      <c r="AB574">
        <v>0.001655629139072848</v>
      </c>
      <c r="AC574">
        <v>0.9718543046357615</v>
      </c>
      <c r="AD574">
        <v>0.2400662251655629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13.895</v>
      </c>
      <c r="D575">
        <v>36893.4696</v>
      </c>
      <c r="E575" t="s">
        <v>644</v>
      </c>
      <c r="F575" t="s">
        <v>613</v>
      </c>
      <c r="G575" t="s">
        <v>655</v>
      </c>
      <c r="H575" t="s">
        <v>683</v>
      </c>
      <c r="I575" t="s">
        <v>1246</v>
      </c>
      <c r="J575" t="s">
        <v>1279</v>
      </c>
      <c r="K575">
        <v>43897</v>
      </c>
      <c r="L575">
        <v>0.068069375907111</v>
      </c>
      <c r="M575">
        <v>-0.1691916979494422</v>
      </c>
      <c r="N575">
        <v>0.2</v>
      </c>
      <c r="O575">
        <v>0.05875567657648384</v>
      </c>
      <c r="P575" t="s">
        <v>523</v>
      </c>
      <c r="Q575" t="s">
        <v>317</v>
      </c>
      <c r="R575">
        <v>0</v>
      </c>
      <c r="S575">
        <v>1.875992</v>
      </c>
      <c r="T575">
        <v>5.5</v>
      </c>
      <c r="U575">
        <v>2.526363636363636</v>
      </c>
      <c r="V575">
        <v>-0.9115000000000001</v>
      </c>
      <c r="W575">
        <v>0.5</v>
      </c>
      <c r="X575">
        <v>0.9379959999999999</v>
      </c>
      <c r="Y575">
        <v>-0.245345</v>
      </c>
      <c r="Z575">
        <v>0.7072758037225043</v>
      </c>
      <c r="AA575">
        <v>0.4527363184079602</v>
      </c>
      <c r="AB575">
        <v>0.9768211920529801</v>
      </c>
      <c r="AC575">
        <v>0.02152317880794702</v>
      </c>
      <c r="AD575">
        <v>0.2384105960264901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12.55</v>
      </c>
      <c r="D576">
        <v>7090.573</v>
      </c>
      <c r="E576" t="s">
        <v>649</v>
      </c>
      <c r="F576" t="s">
        <v>614</v>
      </c>
      <c r="G576" t="s">
        <v>653</v>
      </c>
      <c r="H576" t="s">
        <v>683</v>
      </c>
      <c r="I576" t="s">
        <v>1247</v>
      </c>
      <c r="J576" t="s">
        <v>1282</v>
      </c>
      <c r="K576">
        <v>43915</v>
      </c>
      <c r="L576">
        <v>0.155324259407526</v>
      </c>
      <c r="M576">
        <v>-0.1372171478094608</v>
      </c>
      <c r="N576">
        <v>0.118</v>
      </c>
      <c r="O576">
        <v>0.05826748641492485</v>
      </c>
      <c r="P576" t="s">
        <v>523</v>
      </c>
      <c r="Q576" t="s">
        <v>371</v>
      </c>
      <c r="R576">
        <v>0</v>
      </c>
      <c r="S576">
        <v>1.94</v>
      </c>
      <c r="T576">
        <v>6</v>
      </c>
      <c r="U576">
        <v>2.091666666666667</v>
      </c>
      <c r="V576">
        <v>-3.7726</v>
      </c>
      <c r="W576">
        <v>1</v>
      </c>
      <c r="X576">
        <v>1.94</v>
      </c>
      <c r="Y576">
        <v>-0.290625</v>
      </c>
      <c r="Z576">
        <v>0.9238578680203046</v>
      </c>
      <c r="AA576">
        <v>0.3864013266998342</v>
      </c>
      <c r="AB576">
        <v>0.9271523178807947</v>
      </c>
      <c r="AC576">
        <v>0.03311258278145696</v>
      </c>
      <c r="AD576">
        <v>0.2350993377483444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13.21</v>
      </c>
      <c r="D577">
        <v>297.84672</v>
      </c>
      <c r="E577" t="s">
        <v>649</v>
      </c>
      <c r="F577" t="s">
        <v>614</v>
      </c>
      <c r="G577" t="s">
        <v>653</v>
      </c>
      <c r="H577" t="s">
        <v>682</v>
      </c>
      <c r="I577" t="s">
        <v>1248</v>
      </c>
      <c r="J577" t="s">
        <v>1282</v>
      </c>
      <c r="K577">
        <v>43938</v>
      </c>
      <c r="L577">
        <v>0.155092592592592</v>
      </c>
      <c r="M577">
        <v>-0.09543988603966358</v>
      </c>
      <c r="N577">
        <v>0.08500000000000001</v>
      </c>
      <c r="O577">
        <v>0.05658205423174856</v>
      </c>
      <c r="P577" t="s">
        <v>523</v>
      </c>
      <c r="Q577" t="s">
        <v>371</v>
      </c>
      <c r="R577">
        <v>0</v>
      </c>
      <c r="S577">
        <v>2.01</v>
      </c>
      <c r="T577">
        <v>8</v>
      </c>
      <c r="U577">
        <v>1.65125</v>
      </c>
      <c r="V577">
        <v>-6.7981</v>
      </c>
      <c r="W577">
        <v>1</v>
      </c>
      <c r="X577">
        <v>2.01</v>
      </c>
      <c r="Y577">
        <v>-0.27395</v>
      </c>
      <c r="Z577">
        <v>0.9204737732656514</v>
      </c>
      <c r="AA577">
        <v>0.4162520729684909</v>
      </c>
      <c r="AB577">
        <v>0.8576158940397351</v>
      </c>
      <c r="AC577">
        <v>0.06788079470198675</v>
      </c>
      <c r="AD577">
        <v>0.228476821192053</v>
      </c>
    </row>
    <row r="578" spans="1:30">
      <c r="A578" s="1" t="s">
        <v>585</v>
      </c>
      <c r="B578">
        <f>HYPERLINK("https://www.suredividend.com/sure-analysis-EQM/","EQM Midstream Partners LP")</f>
        <v>0</v>
      </c>
      <c r="C578">
        <v>17.86</v>
      </c>
      <c r="D578">
        <v>3842.77986</v>
      </c>
      <c r="E578" t="s">
        <v>648</v>
      </c>
      <c r="F578" t="s">
        <v>615</v>
      </c>
      <c r="G578" t="s">
        <v>653</v>
      </c>
      <c r="H578" t="s">
        <v>682</v>
      </c>
      <c r="I578" t="s">
        <v>1249</v>
      </c>
      <c r="J578" t="s">
        <v>1285</v>
      </c>
      <c r="K578">
        <v>43893</v>
      </c>
      <c r="L578">
        <v>0.239697443922796</v>
      </c>
      <c r="M578">
        <v>-0.02175484501578639</v>
      </c>
      <c r="N578">
        <v>0</v>
      </c>
      <c r="O578">
        <v>0.05461730497891493</v>
      </c>
      <c r="P578" t="s">
        <v>523</v>
      </c>
      <c r="Q578" t="s">
        <v>371</v>
      </c>
      <c r="R578">
        <v>0</v>
      </c>
      <c r="S578">
        <v>1.312857142857143</v>
      </c>
      <c r="T578">
        <v>16</v>
      </c>
      <c r="U578">
        <v>1.11625</v>
      </c>
      <c r="V578">
        <v>0.9222</v>
      </c>
      <c r="W578">
        <v>3.5</v>
      </c>
      <c r="X578">
        <v>4.595</v>
      </c>
      <c r="Y578">
        <v>-0.5587019999999999</v>
      </c>
      <c r="Z578">
        <v>0.9678510998307952</v>
      </c>
      <c r="AA578">
        <v>0.1061359867330017</v>
      </c>
      <c r="AB578">
        <v>0.02897350993377483</v>
      </c>
      <c r="AC578">
        <v>0.3294701986754967</v>
      </c>
      <c r="AD578">
        <v>0.2152317880794702</v>
      </c>
    </row>
    <row r="579" spans="1:30">
      <c r="A579" s="1" t="s">
        <v>586</v>
      </c>
      <c r="B579">
        <f>HYPERLINK("https://www.suredividend.com/sure-analysis-HTGC/","Hercules Capital, Inc.")</f>
        <v>0</v>
      </c>
      <c r="C579">
        <v>10.77</v>
      </c>
      <c r="D579">
        <v>1201.0617</v>
      </c>
      <c r="E579" t="s">
        <v>649</v>
      </c>
      <c r="F579" t="s">
        <v>614</v>
      </c>
      <c r="G579" t="s">
        <v>653</v>
      </c>
      <c r="H579" t="s">
        <v>682</v>
      </c>
      <c r="I579" t="s">
        <v>1250</v>
      </c>
      <c r="J579" t="s">
        <v>1277</v>
      </c>
      <c r="K579">
        <v>43910</v>
      </c>
      <c r="L579">
        <v>0.117863720073664</v>
      </c>
      <c r="M579">
        <v>0.004235099118101715</v>
      </c>
      <c r="N579">
        <v>-0.038</v>
      </c>
      <c r="O579">
        <v>0.04653289089500401</v>
      </c>
      <c r="P579" t="s">
        <v>523</v>
      </c>
      <c r="Q579" t="s">
        <v>371</v>
      </c>
      <c r="R579">
        <v>2</v>
      </c>
      <c r="S579">
        <v>1.662337662337662</v>
      </c>
      <c r="T579">
        <v>11</v>
      </c>
      <c r="U579">
        <v>0.979090909090909</v>
      </c>
      <c r="V579">
        <v>0.8278000000000001</v>
      </c>
      <c r="W579">
        <v>0.77</v>
      </c>
      <c r="X579">
        <v>1.28</v>
      </c>
      <c r="Y579">
        <v>-0.203228</v>
      </c>
      <c r="Z579">
        <v>0.8747884940778341</v>
      </c>
      <c r="AA579">
        <v>0.5140961857379768</v>
      </c>
      <c r="AB579">
        <v>0.006622516556291392</v>
      </c>
      <c r="AC579">
        <v>0.4486754966887417</v>
      </c>
      <c r="AD579">
        <v>0.1837748344370861</v>
      </c>
    </row>
    <row r="580" spans="1:30">
      <c r="A580" s="1" t="s">
        <v>587</v>
      </c>
      <c r="B580">
        <f>HYPERLINK("https://www.suredividend.com/sure-analysis-VET/","Vermilion Energy, Inc.")</f>
        <v>0</v>
      </c>
      <c r="C580">
        <v>4.63</v>
      </c>
      <c r="D580">
        <v>698.6163</v>
      </c>
      <c r="E580" t="s">
        <v>649</v>
      </c>
      <c r="F580" t="s">
        <v>613</v>
      </c>
      <c r="G580" t="s">
        <v>654</v>
      </c>
      <c r="H580" t="s">
        <v>682</v>
      </c>
      <c r="I580" t="s">
        <v>1251</v>
      </c>
      <c r="J580" t="s">
        <v>1285</v>
      </c>
      <c r="K580">
        <v>43912</v>
      </c>
      <c r="L580">
        <v>0.444837533599118</v>
      </c>
      <c r="M580">
        <v>-0.1124520241391072</v>
      </c>
      <c r="N580">
        <v>0.05</v>
      </c>
      <c r="O580">
        <v>0.04625376544706872</v>
      </c>
      <c r="P580" t="s">
        <v>523</v>
      </c>
      <c r="Q580" t="s">
        <v>371</v>
      </c>
      <c r="R580">
        <v>0</v>
      </c>
      <c r="S580">
        <v>3.898870147427568</v>
      </c>
      <c r="T580">
        <v>2.55</v>
      </c>
      <c r="U580">
        <v>1.815686274509804</v>
      </c>
      <c r="V580">
        <v>-6.2942</v>
      </c>
      <c r="W580">
        <v>0.51</v>
      </c>
      <c r="X580">
        <v>1.98842377518806</v>
      </c>
      <c r="Y580">
        <v>-0.805229</v>
      </c>
      <c r="Z580">
        <v>0.9966159052453469</v>
      </c>
      <c r="AA580">
        <v>0.006633499170812604</v>
      </c>
      <c r="AB580">
        <v>0.5033112582781457</v>
      </c>
      <c r="AC580">
        <v>0.04470198675496689</v>
      </c>
      <c r="AD580">
        <v>0.1804635761589404</v>
      </c>
    </row>
    <row r="581" spans="1:30">
      <c r="A581" s="1" t="s">
        <v>588</v>
      </c>
      <c r="B581">
        <f>HYPERLINK("https://www.suredividend.com/sure-analysis-BXMT/","Blackstone Mortgage Trust, Inc.")</f>
        <v>0</v>
      </c>
      <c r="C581">
        <v>23.75</v>
      </c>
      <c r="D581">
        <v>3109.12732</v>
      </c>
      <c r="E581" t="s">
        <v>649</v>
      </c>
      <c r="F581" t="s">
        <v>614</v>
      </c>
      <c r="G581" t="s">
        <v>653</v>
      </c>
      <c r="H581" t="s">
        <v>682</v>
      </c>
      <c r="I581" t="s">
        <v>1252</v>
      </c>
      <c r="J581" t="s">
        <v>1282</v>
      </c>
      <c r="K581">
        <v>43938</v>
      </c>
      <c r="L581">
        <v>0.107966913365259</v>
      </c>
      <c r="M581">
        <v>-0.1003100186561467</v>
      </c>
      <c r="N581">
        <v>0.082</v>
      </c>
      <c r="O581">
        <v>0.03735208539361357</v>
      </c>
      <c r="P581" t="s">
        <v>523</v>
      </c>
      <c r="Q581" t="s">
        <v>371</v>
      </c>
      <c r="R581">
        <v>0</v>
      </c>
      <c r="S581">
        <v>1.837037037037037</v>
      </c>
      <c r="T581">
        <v>14</v>
      </c>
      <c r="U581">
        <v>1.696428571428571</v>
      </c>
      <c r="V581">
        <v>1.3431</v>
      </c>
      <c r="W581">
        <v>1.35</v>
      </c>
      <c r="X581">
        <v>2.48</v>
      </c>
      <c r="Y581">
        <v>-0.355861</v>
      </c>
      <c r="Z581">
        <v>0.8595600676818951</v>
      </c>
      <c r="AA581">
        <v>0.3067993366500829</v>
      </c>
      <c r="AB581">
        <v>0.8543046357615894</v>
      </c>
      <c r="AC581">
        <v>0.05794701986754967</v>
      </c>
      <c r="AD581">
        <v>0.1473509933774834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8.52</v>
      </c>
      <c r="D582">
        <v>5967.440231</v>
      </c>
      <c r="E582" t="s">
        <v>649</v>
      </c>
      <c r="F582" t="s">
        <v>614</v>
      </c>
      <c r="G582" t="s">
        <v>654</v>
      </c>
      <c r="H582" t="s">
        <v>684</v>
      </c>
      <c r="I582" t="s">
        <v>1253</v>
      </c>
      <c r="J582" t="s">
        <v>1277</v>
      </c>
      <c r="K582">
        <v>43936</v>
      </c>
      <c r="L582">
        <v>0.06526464300877301</v>
      </c>
      <c r="M582">
        <v>-0.08381195833941191</v>
      </c>
      <c r="N582">
        <v>0.049</v>
      </c>
      <c r="O582">
        <v>0.03058471258979512</v>
      </c>
      <c r="P582" t="s">
        <v>523</v>
      </c>
      <c r="Q582" t="s">
        <v>317</v>
      </c>
      <c r="R582">
        <v>0</v>
      </c>
      <c r="S582">
        <v>1.011008651699542</v>
      </c>
      <c r="T582">
        <v>5.5</v>
      </c>
      <c r="U582">
        <v>1.549090909090909</v>
      </c>
      <c r="V582">
        <v>0.6972</v>
      </c>
      <c r="W582">
        <v>0.55</v>
      </c>
      <c r="X582">
        <v>0.5560547584347481</v>
      </c>
      <c r="Y582">
        <v>-0.164634</v>
      </c>
      <c r="Z582">
        <v>0.6869712351945855</v>
      </c>
      <c r="AA582">
        <v>0.5754560530679934</v>
      </c>
      <c r="AB582">
        <v>0.4387417218543046</v>
      </c>
      <c r="AC582">
        <v>0.08940397350993377</v>
      </c>
      <c r="AD582">
        <v>0.1374172185430464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52.79</v>
      </c>
      <c r="D583">
        <v>34636.74089</v>
      </c>
      <c r="E583" t="s">
        <v>641</v>
      </c>
      <c r="F583" t="s">
        <v>613</v>
      </c>
      <c r="G583" t="s">
        <v>653</v>
      </c>
      <c r="H583" t="s">
        <v>682</v>
      </c>
      <c r="I583" t="s">
        <v>1254</v>
      </c>
      <c r="J583" t="s">
        <v>1277</v>
      </c>
      <c r="K583">
        <v>43951</v>
      </c>
      <c r="L583">
        <v>0.03750732564954001</v>
      </c>
      <c r="M583">
        <v>-0.1009952086404754</v>
      </c>
      <c r="N583">
        <v>0.09</v>
      </c>
      <c r="O583">
        <v>0.02308561970977241</v>
      </c>
      <c r="P583" t="s">
        <v>523</v>
      </c>
      <c r="Q583" t="s">
        <v>523</v>
      </c>
      <c r="R583">
        <v>0</v>
      </c>
      <c r="S583">
        <v>0.8727272727272726</v>
      </c>
      <c r="T583">
        <v>31</v>
      </c>
      <c r="U583">
        <v>1.702903225806452</v>
      </c>
      <c r="V583">
        <v>3.0317</v>
      </c>
      <c r="W583">
        <v>2.2</v>
      </c>
      <c r="X583">
        <v>1.92</v>
      </c>
      <c r="Y583">
        <v>0.317632</v>
      </c>
      <c r="Z583">
        <v>0.4500846023688663</v>
      </c>
      <c r="AA583">
        <v>0.955223880597015</v>
      </c>
      <c r="AB583">
        <v>0.8766556291390728</v>
      </c>
      <c r="AC583">
        <v>0.05629139072847682</v>
      </c>
      <c r="AD583">
        <v>0.1125827814569536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20.39</v>
      </c>
      <c r="D584">
        <v>21702.173983</v>
      </c>
      <c r="E584" t="s">
        <v>646</v>
      </c>
      <c r="F584" t="s">
        <v>613</v>
      </c>
      <c r="G584" t="s">
        <v>668</v>
      </c>
      <c r="H584" t="s">
        <v>682</v>
      </c>
      <c r="I584" t="s">
        <v>1255</v>
      </c>
      <c r="J584" t="s">
        <v>1286</v>
      </c>
      <c r="K584">
        <v>43950</v>
      </c>
      <c r="L584">
        <v>0.073289215686274</v>
      </c>
      <c r="M584">
        <v>-0.072439679461476</v>
      </c>
      <c r="N584">
        <v>0.02</v>
      </c>
      <c r="O584">
        <v>0.02265862898428095</v>
      </c>
      <c r="P584" t="s">
        <v>523</v>
      </c>
      <c r="Q584" t="s">
        <v>317</v>
      </c>
      <c r="R584">
        <v>1</v>
      </c>
      <c r="S584">
        <v>2.135857142857143</v>
      </c>
      <c r="T584">
        <v>14</v>
      </c>
      <c r="U584">
        <v>1.456428571428571</v>
      </c>
      <c r="V584">
        <v>1.0717</v>
      </c>
      <c r="W584">
        <v>0.7</v>
      </c>
      <c r="X584">
        <v>1.4951</v>
      </c>
      <c r="Y584">
        <v>-0.257101</v>
      </c>
      <c r="Z584">
        <v>0.7377326565143824</v>
      </c>
      <c r="AA584">
        <v>0.4328358208955224</v>
      </c>
      <c r="AB584">
        <v>0.130794701986755</v>
      </c>
      <c r="AC584">
        <v>0.1158940397350993</v>
      </c>
      <c r="AD584">
        <v>0.1109271523178808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43</v>
      </c>
      <c r="D585">
        <v>26455.161193</v>
      </c>
      <c r="E585" t="s">
        <v>644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0.04846449136276301</v>
      </c>
      <c r="M585">
        <v>-0.1254375129442634</v>
      </c>
      <c r="N585">
        <v>0.1</v>
      </c>
      <c r="O585">
        <v>0.006132083274770439</v>
      </c>
      <c r="P585" t="s">
        <v>523</v>
      </c>
      <c r="Q585" t="s">
        <v>317</v>
      </c>
      <c r="R585">
        <v>0</v>
      </c>
      <c r="S585">
        <v>1.01</v>
      </c>
      <c r="T585">
        <v>22</v>
      </c>
      <c r="U585">
        <v>1.954545454545455</v>
      </c>
      <c r="V585">
        <v>3.7328</v>
      </c>
      <c r="W585">
        <v>2</v>
      </c>
      <c r="X585">
        <v>2.02</v>
      </c>
      <c r="Y585">
        <v>0.306583</v>
      </c>
      <c r="Z585">
        <v>0.5736040609137055</v>
      </c>
      <c r="AA585">
        <v>0.9502487562189055</v>
      </c>
      <c r="AB585">
        <v>0.9097682119205298</v>
      </c>
      <c r="AC585">
        <v>0.0380794701986755</v>
      </c>
      <c r="AD585">
        <v>0.06953642384105961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13.37</v>
      </c>
      <c r="D586">
        <v>3672.12454</v>
      </c>
      <c r="E586" t="s">
        <v>649</v>
      </c>
      <c r="F586" t="s">
        <v>614</v>
      </c>
      <c r="G586" t="s">
        <v>653</v>
      </c>
      <c r="H586" t="s">
        <v>682</v>
      </c>
      <c r="I586" t="s">
        <v>1257</v>
      </c>
      <c r="J586" t="s">
        <v>1282</v>
      </c>
      <c r="K586">
        <v>43913</v>
      </c>
      <c r="L586">
        <v>0.147578785549577</v>
      </c>
      <c r="M586">
        <v>-0.1957034213203649</v>
      </c>
      <c r="N586">
        <v>0.148</v>
      </c>
      <c r="O586">
        <v>-0.008131356634633269</v>
      </c>
      <c r="P586" t="s">
        <v>523</v>
      </c>
      <c r="Q586" t="s">
        <v>371</v>
      </c>
      <c r="R586">
        <v>0</v>
      </c>
      <c r="S586">
        <v>2.56</v>
      </c>
      <c r="T586">
        <v>4.5</v>
      </c>
      <c r="U586">
        <v>2.971111111111111</v>
      </c>
      <c r="V586">
        <v>1.3125</v>
      </c>
      <c r="W586">
        <v>0.75</v>
      </c>
      <c r="X586">
        <v>1.92</v>
      </c>
      <c r="Y586">
        <v>-0.433856</v>
      </c>
      <c r="Z586">
        <v>0.9120135363790186</v>
      </c>
      <c r="AA586">
        <v>0.2205638474295191</v>
      </c>
      <c r="AB586">
        <v>0.9519867549668873</v>
      </c>
      <c r="AC586">
        <v>0.01490066225165563</v>
      </c>
      <c r="AD586">
        <v>0.04966887417218543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10.16</v>
      </c>
      <c r="D587">
        <v>590.721943</v>
      </c>
      <c r="E587" t="s">
        <v>644</v>
      </c>
      <c r="F587" t="s">
        <v>613</v>
      </c>
      <c r="G587" t="s">
        <v>653</v>
      </c>
      <c r="H587" t="s">
        <v>682</v>
      </c>
      <c r="I587" t="s">
        <v>1258</v>
      </c>
      <c r="J587" t="s">
        <v>1280</v>
      </c>
      <c r="K587">
        <v>43906</v>
      </c>
      <c r="L587">
        <v>0.08342022940563</v>
      </c>
      <c r="M587">
        <v>-0.09998135084075221</v>
      </c>
      <c r="N587">
        <v>0.02</v>
      </c>
      <c r="O587">
        <v>-0.01200489909259561</v>
      </c>
      <c r="P587" t="s">
        <v>523</v>
      </c>
      <c r="Q587" t="s">
        <v>317</v>
      </c>
      <c r="R587">
        <v>0</v>
      </c>
      <c r="S587">
        <v>1.6</v>
      </c>
      <c r="T587">
        <v>6</v>
      </c>
      <c r="U587">
        <v>1.693333333333333</v>
      </c>
      <c r="V587">
        <v>0.6589</v>
      </c>
      <c r="W587">
        <v>0.5</v>
      </c>
      <c r="X587">
        <v>0.8</v>
      </c>
      <c r="Y587">
        <v>-0.669766</v>
      </c>
      <c r="Z587">
        <v>0.7969543147208122</v>
      </c>
      <c r="AA587">
        <v>0.04975124378109452</v>
      </c>
      <c r="AB587">
        <v>0.130794701986755</v>
      </c>
      <c r="AC587">
        <v>0.05960264900662252</v>
      </c>
      <c r="AD587">
        <v>0.04304635761589404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70.53</v>
      </c>
      <c r="D588">
        <v>8859.04659</v>
      </c>
      <c r="E588" t="s">
        <v>647</v>
      </c>
      <c r="F588" t="s">
        <v>613</v>
      </c>
      <c r="G588" t="s">
        <v>653</v>
      </c>
      <c r="H588" t="s">
        <v>682</v>
      </c>
      <c r="I588" t="s">
        <v>1259</v>
      </c>
      <c r="J588" t="s">
        <v>1280</v>
      </c>
      <c r="K588">
        <v>43937</v>
      </c>
      <c r="L588">
        <v>0.049699457557542</v>
      </c>
      <c r="M588">
        <v>-0.09005371024499076</v>
      </c>
      <c r="N588">
        <v>0.04</v>
      </c>
      <c r="O588">
        <v>-0.05365585865479039</v>
      </c>
      <c r="P588" t="s">
        <v>523</v>
      </c>
      <c r="Q588" t="s">
        <v>523</v>
      </c>
      <c r="R588">
        <v>4</v>
      </c>
      <c r="S588">
        <v>1.334645669291339</v>
      </c>
      <c r="T588">
        <v>44</v>
      </c>
      <c r="U588">
        <v>1.602954545454546</v>
      </c>
      <c r="V588">
        <v>5.195</v>
      </c>
      <c r="W588">
        <v>2.54</v>
      </c>
      <c r="X588">
        <v>3.39</v>
      </c>
      <c r="Y588">
        <v>-0.429014</v>
      </c>
      <c r="Z588">
        <v>0.5956006768189509</v>
      </c>
      <c r="AA588">
        <v>0.2255389718076285</v>
      </c>
      <c r="AB588">
        <v>0.3501655629139073</v>
      </c>
      <c r="AC588">
        <v>0.08278145695364238</v>
      </c>
      <c r="AD588">
        <v>0.01655629139072848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6.09</v>
      </c>
      <c r="D589">
        <v>8639.736800000001</v>
      </c>
      <c r="E589" t="s">
        <v>649</v>
      </c>
      <c r="F589" t="s">
        <v>614</v>
      </c>
      <c r="G589" t="s">
        <v>653</v>
      </c>
      <c r="H589" t="s">
        <v>682</v>
      </c>
      <c r="I589" t="s">
        <v>1260</v>
      </c>
      <c r="J589" t="s">
        <v>1282</v>
      </c>
      <c r="K589">
        <v>43921</v>
      </c>
      <c r="L589">
        <v>0.165562913907284</v>
      </c>
      <c r="M589">
        <v>-0.2443950518374179</v>
      </c>
      <c r="N589">
        <v>0.149</v>
      </c>
      <c r="O589">
        <v>-0.05703094772390194</v>
      </c>
      <c r="P589" t="s">
        <v>523</v>
      </c>
      <c r="Q589" t="s">
        <v>371</v>
      </c>
      <c r="R589">
        <v>0</v>
      </c>
      <c r="S589">
        <v>4</v>
      </c>
      <c r="T589">
        <v>1.5</v>
      </c>
      <c r="U589">
        <v>4.06</v>
      </c>
      <c r="V589">
        <v>-3.5293</v>
      </c>
      <c r="W589">
        <v>0.25</v>
      </c>
      <c r="X589">
        <v>1</v>
      </c>
      <c r="Y589">
        <v>-0.374093</v>
      </c>
      <c r="Z589">
        <v>0.9373942470389172</v>
      </c>
      <c r="AA589">
        <v>0.2802653399668325</v>
      </c>
      <c r="AB589">
        <v>0.9552980132450331</v>
      </c>
      <c r="AC589">
        <v>0.008278145695364239</v>
      </c>
      <c r="AD589">
        <v>0.01324503311258278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13.4</v>
      </c>
      <c r="D590">
        <v>104.27701</v>
      </c>
      <c r="E590" t="s">
        <v>648</v>
      </c>
      <c r="F590" t="s">
        <v>613</v>
      </c>
      <c r="G590" t="s">
        <v>661</v>
      </c>
      <c r="H590" t="s">
        <v>682</v>
      </c>
      <c r="I590" t="s">
        <v>1261</v>
      </c>
      <c r="J590" t="s">
        <v>1285</v>
      </c>
      <c r="K590">
        <v>43888</v>
      </c>
      <c r="L590">
        <v>2.131938857602574</v>
      </c>
      <c r="M590">
        <v>-0.2910407248329855</v>
      </c>
      <c r="N590">
        <v>-0.03</v>
      </c>
      <c r="O590">
        <v>-0.299452350948809</v>
      </c>
      <c r="P590" t="s">
        <v>523</v>
      </c>
      <c r="Q590" t="s">
        <v>371</v>
      </c>
      <c r="R590">
        <v>0</v>
      </c>
      <c r="S590">
        <v>9.99</v>
      </c>
      <c r="T590">
        <v>2.4</v>
      </c>
      <c r="U590">
        <v>5.583333333333334</v>
      </c>
      <c r="V590">
        <v>-87.5373</v>
      </c>
      <c r="W590">
        <v>-1</v>
      </c>
      <c r="X590">
        <v>26.5</v>
      </c>
      <c r="Y590">
        <v>-0.934751</v>
      </c>
      <c r="Z590">
        <v>1</v>
      </c>
      <c r="AA590">
        <v>0.001658374792703151</v>
      </c>
      <c r="AB590">
        <v>0.008278145695364239</v>
      </c>
      <c r="AC590">
        <v>0.004966887417218543</v>
      </c>
      <c r="AD590">
        <v>0.001655629139072848</v>
      </c>
    </row>
    <row r="591" spans="1:30">
      <c r="A591" s="1" t="s">
        <v>598</v>
      </c>
      <c r="B591">
        <f>HYPERLINK("https://www.suredividend.com/sure-analysis-UAL/","United Airlines Holdings, Inc.")</f>
        <v>0</v>
      </c>
      <c r="C591">
        <v>22.75</v>
      </c>
      <c r="D591">
        <v>6653.79712</v>
      </c>
      <c r="E591" t="s">
        <v>646</v>
      </c>
      <c r="F591" t="s">
        <v>613</v>
      </c>
      <c r="G591" t="s">
        <v>653</v>
      </c>
      <c r="H591" t="s">
        <v>683</v>
      </c>
      <c r="I591" t="s">
        <v>1262</v>
      </c>
      <c r="J591" t="s">
        <v>1278</v>
      </c>
      <c r="K591">
        <v>43856</v>
      </c>
      <c r="M591">
        <v>0.362951730344121</v>
      </c>
      <c r="N591">
        <v>0.07000000000000001</v>
      </c>
      <c r="O591">
        <v>0.4583583514682095</v>
      </c>
      <c r="P591" t="s">
        <v>619</v>
      </c>
      <c r="Q591" t="s">
        <v>619</v>
      </c>
      <c r="R591">
        <v>0</v>
      </c>
      <c r="T591">
        <v>107</v>
      </c>
      <c r="U591">
        <v>0.2126168224299065</v>
      </c>
      <c r="V591">
        <v>3.7238</v>
      </c>
      <c r="W591">
        <v>12.55</v>
      </c>
      <c r="Y591">
        <v>-0.7326100000000001</v>
      </c>
      <c r="AA591">
        <v>0.02487562189054726</v>
      </c>
      <c r="AB591">
        <v>0.7442052980132451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12</v>
      </c>
      <c r="D592">
        <v>2385.518</v>
      </c>
      <c r="E592" t="s">
        <v>644</v>
      </c>
      <c r="F592" t="s">
        <v>613</v>
      </c>
      <c r="G592" t="s">
        <v>653</v>
      </c>
      <c r="H592" t="s">
        <v>682</v>
      </c>
      <c r="I592" t="s">
        <v>1263</v>
      </c>
      <c r="J592" t="s">
        <v>1280</v>
      </c>
      <c r="K592">
        <v>43888</v>
      </c>
      <c r="M592">
        <v>0.3195079107728942</v>
      </c>
      <c r="N592">
        <v>0.08</v>
      </c>
      <c r="O592">
        <v>0.4250685436347259</v>
      </c>
      <c r="P592" t="s">
        <v>619</v>
      </c>
      <c r="Q592" t="s">
        <v>619</v>
      </c>
      <c r="R592">
        <v>0</v>
      </c>
      <c r="T592">
        <v>48</v>
      </c>
      <c r="U592">
        <v>0.25</v>
      </c>
      <c r="V592">
        <v>4.3232</v>
      </c>
      <c r="W592">
        <v>5</v>
      </c>
      <c r="Y592">
        <v>-0.8055600000000001</v>
      </c>
      <c r="AA592">
        <v>0.004975124378109453</v>
      </c>
      <c r="AB592">
        <v>0.8228476821192053</v>
      </c>
      <c r="AC592">
        <v>0.9950331125827815</v>
      </c>
      <c r="AD592">
        <v>0.9950331125827815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32.37</v>
      </c>
      <c r="D593">
        <v>4355.96655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0.08586019789339201</v>
      </c>
      <c r="M593">
        <v>0.1118443616178766</v>
      </c>
      <c r="N593">
        <v>0.03</v>
      </c>
      <c r="O593">
        <v>0.1942174529640426</v>
      </c>
      <c r="P593" t="s">
        <v>619</v>
      </c>
      <c r="Q593" t="s">
        <v>619</v>
      </c>
      <c r="R593">
        <v>11</v>
      </c>
      <c r="T593">
        <v>55</v>
      </c>
      <c r="U593">
        <v>0.5885454545454545</v>
      </c>
      <c r="V593">
        <v>5.3448</v>
      </c>
      <c r="W593">
        <v>0</v>
      </c>
      <c r="X593">
        <v>2.69</v>
      </c>
      <c r="Y593">
        <v>-0.5904039999999999</v>
      </c>
      <c r="Z593">
        <v>0.805414551607445</v>
      </c>
      <c r="AA593">
        <v>0.087893864013267</v>
      </c>
      <c r="AB593">
        <v>0.2185430463576159</v>
      </c>
      <c r="AC593">
        <v>0.8609271523178808</v>
      </c>
      <c r="AD593">
        <v>0.8493377483443709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173.48</v>
      </c>
      <c r="D594">
        <v>418889.86425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43886</v>
      </c>
      <c r="M594">
        <v>0.1004789089611764</v>
      </c>
      <c r="N594">
        <v>0.05</v>
      </c>
      <c r="O594">
        <v>0.1555028544092352</v>
      </c>
      <c r="P594" t="s">
        <v>619</v>
      </c>
      <c r="Q594" t="s">
        <v>619</v>
      </c>
      <c r="R594">
        <v>0</v>
      </c>
      <c r="T594">
        <v>280</v>
      </c>
      <c r="U594">
        <v>0.6195714285714286</v>
      </c>
      <c r="V594">
        <v>3.994</v>
      </c>
      <c r="W594">
        <v>10.5</v>
      </c>
      <c r="Y594">
        <v>-0.176909</v>
      </c>
      <c r="AA594">
        <v>0.5621890547263682</v>
      </c>
      <c r="AB594">
        <v>0.5033112582781457</v>
      </c>
      <c r="AC594">
        <v>0.8311258278145695</v>
      </c>
      <c r="AD594">
        <v>0.7400662251655629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6.42</v>
      </c>
      <c r="D595">
        <v>12561.186465</v>
      </c>
      <c r="E595" t="s">
        <v>649</v>
      </c>
      <c r="F595" t="s">
        <v>613</v>
      </c>
      <c r="G595" t="s">
        <v>668</v>
      </c>
      <c r="H595" t="s">
        <v>684</v>
      </c>
      <c r="I595" t="s">
        <v>1266</v>
      </c>
      <c r="J595" t="s">
        <v>1280</v>
      </c>
      <c r="K595">
        <v>43921</v>
      </c>
      <c r="M595">
        <v>-0.2161305938585805</v>
      </c>
      <c r="N595">
        <v>0.38</v>
      </c>
      <c r="O595">
        <v>0.1138969615295153</v>
      </c>
      <c r="P595" t="s">
        <v>619</v>
      </c>
      <c r="Q595" t="s">
        <v>619</v>
      </c>
      <c r="R595">
        <v>0</v>
      </c>
      <c r="T595">
        <v>1.9</v>
      </c>
      <c r="U595">
        <v>3.378947368421053</v>
      </c>
      <c r="V595">
        <v>0.1993</v>
      </c>
      <c r="W595">
        <v>0.25</v>
      </c>
      <c r="Y595">
        <v>-0.591343</v>
      </c>
      <c r="AA595">
        <v>0.08457711442786069</v>
      </c>
      <c r="AB595">
        <v>0.9925496688741723</v>
      </c>
      <c r="AC595">
        <v>0.01158940397350993</v>
      </c>
      <c r="AD595">
        <v>0.5397350993377483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196.49</v>
      </c>
      <c r="D596">
        <v>523587.43825</v>
      </c>
      <c r="E596" t="s">
        <v>644</v>
      </c>
      <c r="F596" t="s">
        <v>613</v>
      </c>
      <c r="G596" t="s">
        <v>657</v>
      </c>
      <c r="H596" t="s">
        <v>682</v>
      </c>
      <c r="I596" t="s">
        <v>1267</v>
      </c>
      <c r="J596" t="s">
        <v>1280</v>
      </c>
      <c r="K596">
        <v>43882</v>
      </c>
      <c r="M596">
        <v>-0.07647916932281074</v>
      </c>
      <c r="N596">
        <v>0.2</v>
      </c>
      <c r="O596">
        <v>0.1082249968126272</v>
      </c>
      <c r="P596" t="s">
        <v>619</v>
      </c>
      <c r="Q596" t="s">
        <v>619</v>
      </c>
      <c r="R596">
        <v>0</v>
      </c>
      <c r="T596">
        <v>132</v>
      </c>
      <c r="U596">
        <v>1.488560606060606</v>
      </c>
      <c r="V596">
        <v>9.4811</v>
      </c>
      <c r="W596">
        <v>27.54</v>
      </c>
      <c r="Y596">
        <v>0.07573199999999999</v>
      </c>
      <c r="AA596">
        <v>0.8358208955223881</v>
      </c>
      <c r="AB596">
        <v>0.9768211920529801</v>
      </c>
      <c r="AC596">
        <v>0.09933774834437087</v>
      </c>
      <c r="AD596">
        <v>0.5115894039735099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16.41</v>
      </c>
      <c r="D597">
        <v>14109.73011</v>
      </c>
      <c r="E597" t="s">
        <v>641</v>
      </c>
      <c r="F597" t="s">
        <v>613</v>
      </c>
      <c r="G597" t="s">
        <v>653</v>
      </c>
      <c r="H597" t="s">
        <v>682</v>
      </c>
      <c r="I597" t="s">
        <v>1268</v>
      </c>
      <c r="J597" t="s">
        <v>1278</v>
      </c>
      <c r="K597">
        <v>43930</v>
      </c>
      <c r="M597">
        <v>0.01866828423184286</v>
      </c>
      <c r="N597">
        <v>0.05</v>
      </c>
      <c r="O597">
        <v>0.1003132664857993</v>
      </c>
      <c r="P597" t="s">
        <v>619</v>
      </c>
      <c r="Q597" t="s">
        <v>619</v>
      </c>
      <c r="R597">
        <v>26</v>
      </c>
      <c r="T597">
        <v>18</v>
      </c>
      <c r="U597">
        <v>0.9116666666666666</v>
      </c>
      <c r="W597">
        <v>1.5</v>
      </c>
      <c r="Y597">
        <v>0.3575</v>
      </c>
      <c r="AA597">
        <v>0.9651741293532338</v>
      </c>
      <c r="AB597">
        <v>0.5033112582781457</v>
      </c>
      <c r="AC597">
        <v>0.5190397350993378</v>
      </c>
      <c r="AD597">
        <v>0.4619205298013245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</v>
      </c>
      <c r="D598">
        <v>4620</v>
      </c>
      <c r="E598" t="s">
        <v>643</v>
      </c>
      <c r="F598" t="s">
        <v>613</v>
      </c>
      <c r="G598" t="s">
        <v>681</v>
      </c>
      <c r="H598" t="s">
        <v>684</v>
      </c>
      <c r="I598" t="s">
        <v>1269</v>
      </c>
      <c r="J598" t="s">
        <v>1277</v>
      </c>
      <c r="K598">
        <v>43913</v>
      </c>
      <c r="M598">
        <v>0.04941452284458392</v>
      </c>
      <c r="N598">
        <v>0.04</v>
      </c>
      <c r="O598">
        <v>0.09139110375836723</v>
      </c>
      <c r="P598" t="s">
        <v>619</v>
      </c>
      <c r="Q598" t="s">
        <v>619</v>
      </c>
      <c r="R598">
        <v>0</v>
      </c>
      <c r="T598">
        <v>1.4</v>
      </c>
      <c r="U598">
        <v>0.7857142857142858</v>
      </c>
      <c r="V598">
        <v>0.2598</v>
      </c>
      <c r="W598">
        <v>0.28</v>
      </c>
      <c r="Y598">
        <v>-0.133858</v>
      </c>
      <c r="AA598">
        <v>0.6185737976782754</v>
      </c>
      <c r="AB598">
        <v>0.3501655629139073</v>
      </c>
      <c r="AC598">
        <v>0.6556291390728477</v>
      </c>
      <c r="AD598">
        <v>0.4072847682119206</v>
      </c>
    </row>
    <row r="599" spans="1:30">
      <c r="A599" s="1" t="s">
        <v>606</v>
      </c>
      <c r="B599">
        <f>HYPERLINK("https://www.suredividend.com/sure-analysis-ORC/","Orchid Island Capital, Inc.")</f>
        <v>0</v>
      </c>
      <c r="C599">
        <v>3.73</v>
      </c>
      <c r="D599">
        <v>240.44031</v>
      </c>
      <c r="E599" t="s">
        <v>649</v>
      </c>
      <c r="F599" t="s">
        <v>614</v>
      </c>
      <c r="G599" t="s">
        <v>653</v>
      </c>
      <c r="H599" t="s">
        <v>682</v>
      </c>
      <c r="I599" t="s">
        <v>1270</v>
      </c>
      <c r="J599" t="s">
        <v>1282</v>
      </c>
      <c r="K599">
        <v>43921</v>
      </c>
      <c r="L599">
        <v>0.264462809917355</v>
      </c>
      <c r="M599">
        <v>-0.0183559986183971</v>
      </c>
      <c r="N599">
        <v>0.015</v>
      </c>
      <c r="O599">
        <v>0.08338946574734574</v>
      </c>
      <c r="P599" t="s">
        <v>619</v>
      </c>
      <c r="Q599" t="s">
        <v>619</v>
      </c>
      <c r="R599">
        <v>0</v>
      </c>
      <c r="T599">
        <v>3.4</v>
      </c>
      <c r="U599">
        <v>1.097058823529412</v>
      </c>
      <c r="V599">
        <v>-1.1902</v>
      </c>
      <c r="W599">
        <v>0</v>
      </c>
      <c r="X599">
        <v>0.96</v>
      </c>
      <c r="Y599">
        <v>-0.443252</v>
      </c>
      <c r="Z599">
        <v>0.9746192893401014</v>
      </c>
      <c r="AA599">
        <v>0.2072968490878939</v>
      </c>
      <c r="AB599">
        <v>0.07615894039735099</v>
      </c>
      <c r="AC599">
        <v>0.3460264900662252</v>
      </c>
      <c r="AD599">
        <v>0.3427152317880794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211.24</v>
      </c>
      <c r="D600">
        <v>594045.6885</v>
      </c>
      <c r="E600" t="s">
        <v>641</v>
      </c>
      <c r="F600" t="s">
        <v>613</v>
      </c>
      <c r="G600" t="s">
        <v>653</v>
      </c>
      <c r="H600" t="s">
        <v>683</v>
      </c>
      <c r="I600" t="s">
        <v>1271</v>
      </c>
      <c r="J600" t="s">
        <v>1279</v>
      </c>
      <c r="K600">
        <v>43951</v>
      </c>
      <c r="M600">
        <v>-0.01286214583560108</v>
      </c>
      <c r="N600">
        <v>0.09</v>
      </c>
      <c r="O600">
        <v>0.07598026103919486</v>
      </c>
      <c r="P600" t="s">
        <v>619</v>
      </c>
      <c r="Q600" t="s">
        <v>619</v>
      </c>
      <c r="R600">
        <v>0</v>
      </c>
      <c r="T600">
        <v>198</v>
      </c>
      <c r="U600">
        <v>1.066868686868687</v>
      </c>
      <c r="V600">
        <v>7.3458</v>
      </c>
      <c r="W600">
        <v>7.5</v>
      </c>
      <c r="Y600">
        <v>0.09854</v>
      </c>
      <c r="AA600">
        <v>0.8623548922056385</v>
      </c>
      <c r="AB600">
        <v>0.8766556291390728</v>
      </c>
      <c r="AC600">
        <v>0.3725165562913907</v>
      </c>
      <c r="AD600">
        <v>0.3096026490066225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2365.67</v>
      </c>
      <c r="D601">
        <v>1172752.05776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1280</v>
      </c>
      <c r="K601">
        <v>43863</v>
      </c>
      <c r="M601">
        <v>-0.04088780451307195</v>
      </c>
      <c r="N601">
        <v>0.1</v>
      </c>
      <c r="O601">
        <v>0.05502341503562103</v>
      </c>
      <c r="P601" t="s">
        <v>619</v>
      </c>
      <c r="Q601" t="s">
        <v>619</v>
      </c>
      <c r="R601">
        <v>0</v>
      </c>
      <c r="T601">
        <v>1920</v>
      </c>
      <c r="U601">
        <v>1.232119791666667</v>
      </c>
      <c r="V601">
        <v>21.3147</v>
      </c>
      <c r="W601">
        <v>80</v>
      </c>
      <c r="Y601">
        <v>0.223977</v>
      </c>
      <c r="AA601">
        <v>0.9286898839137645</v>
      </c>
      <c r="AB601">
        <v>0.9097682119205298</v>
      </c>
      <c r="AC601">
        <v>0.2201986754966887</v>
      </c>
      <c r="AD601">
        <v>0.2168874172185431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1372.575</v>
      </c>
      <c r="D602">
        <v>919693.240224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1279</v>
      </c>
      <c r="K602">
        <v>43951</v>
      </c>
      <c r="M602">
        <v>-0.06325836833052645</v>
      </c>
      <c r="N602">
        <v>0.12</v>
      </c>
      <c r="O602">
        <v>0.04915062746981036</v>
      </c>
      <c r="P602" t="s">
        <v>619</v>
      </c>
      <c r="Q602" t="s">
        <v>619</v>
      </c>
      <c r="R602">
        <v>0</v>
      </c>
      <c r="T602">
        <v>990</v>
      </c>
      <c r="U602">
        <v>1.386439393939394</v>
      </c>
      <c r="V602">
        <v>49.9867</v>
      </c>
      <c r="W602">
        <v>45</v>
      </c>
      <c r="Y602">
        <v>0.147517</v>
      </c>
      <c r="AA602">
        <v>0.8955223880597015</v>
      </c>
      <c r="AB602">
        <v>0.9354304635761589</v>
      </c>
      <c r="AC602">
        <v>0.1407284768211921</v>
      </c>
      <c r="AD602">
        <v>0.195364238410596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51.81</v>
      </c>
      <c r="D603">
        <v>20922.04649</v>
      </c>
      <c r="E603" t="s">
        <v>641</v>
      </c>
      <c r="F603" t="s">
        <v>613</v>
      </c>
      <c r="G603" t="s">
        <v>653</v>
      </c>
      <c r="H603" t="s">
        <v>682</v>
      </c>
      <c r="I603" t="s">
        <v>1274</v>
      </c>
      <c r="J603" t="s">
        <v>1278</v>
      </c>
      <c r="K603">
        <v>43931</v>
      </c>
      <c r="M603">
        <v>-0.07544896222746644</v>
      </c>
      <c r="N603">
        <v>0.06</v>
      </c>
      <c r="O603">
        <v>0.0008269341543645226</v>
      </c>
      <c r="P603" t="s">
        <v>619</v>
      </c>
      <c r="Q603" t="s">
        <v>619</v>
      </c>
      <c r="R603">
        <v>26</v>
      </c>
      <c r="T603">
        <v>35</v>
      </c>
      <c r="U603">
        <v>1.480285714285714</v>
      </c>
      <c r="W603">
        <v>2.18</v>
      </c>
      <c r="Y603">
        <v>0.097955</v>
      </c>
      <c r="AA603">
        <v>0.8606965174129353</v>
      </c>
      <c r="AB603">
        <v>0.6423841059602649</v>
      </c>
      <c r="AC603">
        <v>0.1059602649006623</v>
      </c>
      <c r="AD603">
        <v>0.05794701986754967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780.11</v>
      </c>
      <c r="D604">
        <v>145067.63718</v>
      </c>
      <c r="E604" t="s">
        <v>644</v>
      </c>
      <c r="F604" t="s">
        <v>613</v>
      </c>
      <c r="G604" t="s">
        <v>653</v>
      </c>
      <c r="H604" t="s">
        <v>683</v>
      </c>
      <c r="I604" t="s">
        <v>1275</v>
      </c>
      <c r="J604" t="s">
        <v>1280</v>
      </c>
      <c r="K604">
        <v>43955</v>
      </c>
      <c r="M604">
        <v>-0.1739752086288654</v>
      </c>
      <c r="N604">
        <v>0.18</v>
      </c>
      <c r="O604">
        <v>-0.02529074618206117</v>
      </c>
      <c r="P604" t="s">
        <v>619</v>
      </c>
      <c r="Q604" t="s">
        <v>619</v>
      </c>
      <c r="R604">
        <v>0</v>
      </c>
      <c r="T604">
        <v>300</v>
      </c>
      <c r="U604">
        <v>2.600366666666666</v>
      </c>
      <c r="V604">
        <v>-0.8418</v>
      </c>
      <c r="W604">
        <v>0</v>
      </c>
      <c r="Y604">
        <v>2.167571</v>
      </c>
      <c r="AA604">
        <v>1</v>
      </c>
      <c r="AB604">
        <v>0.9701986754966887</v>
      </c>
      <c r="AC604">
        <v>0.01821192052980132</v>
      </c>
      <c r="AD604">
        <v>0.02980132450331126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436.41</v>
      </c>
      <c r="D605">
        <v>190989.28504</v>
      </c>
      <c r="E605" t="s">
        <v>651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43857</v>
      </c>
      <c r="M605">
        <v>-0.1240938716887831</v>
      </c>
      <c r="N605">
        <v>0.05</v>
      </c>
      <c r="O605">
        <v>-0.0802985652732221</v>
      </c>
      <c r="P605" t="s">
        <v>619</v>
      </c>
      <c r="Q605" t="s">
        <v>619</v>
      </c>
      <c r="R605">
        <v>0</v>
      </c>
      <c r="T605">
        <v>225</v>
      </c>
      <c r="U605">
        <v>1.9396</v>
      </c>
      <c r="V605">
        <v>5.0908</v>
      </c>
      <c r="W605">
        <v>4.5</v>
      </c>
      <c r="Y605">
        <v>0.172218</v>
      </c>
      <c r="AA605">
        <v>0.9038142620232172</v>
      </c>
      <c r="AB605">
        <v>0.5033112582781457</v>
      </c>
      <c r="AC605">
        <v>0.04139072847682119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530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585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606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587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364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511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499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575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500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264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139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555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544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512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486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497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387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494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331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372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501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533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551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557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552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487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518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435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572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536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365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485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369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483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415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366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493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573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588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532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495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442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270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380</v>
      </c>
      <c r="B1099">
        <v>43805</v>
      </c>
    </row>
    <row r="1100" spans="1:2">
      <c r="A1100" s="1" t="s">
        <v>484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519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440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559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523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454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506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396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302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567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277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431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262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541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553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381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268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556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260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405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436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564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193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316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388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147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565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524</v>
      </c>
      <c r="B1676">
        <v>43830</v>
      </c>
    </row>
    <row r="1677" spans="1:2">
      <c r="A1677" s="1" t="s">
        <v>517</v>
      </c>
      <c r="B1677">
        <v>43741</v>
      </c>
    </row>
    <row r="1678" spans="1:2">
      <c r="A1678" s="1" t="s">
        <v>535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461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413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513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545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447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531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451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473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289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137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135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392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409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527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424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426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324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569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471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393</v>
      </c>
      <c r="B2046">
        <v>43819</v>
      </c>
    </row>
    <row r="2047" spans="1:2">
      <c r="A2047" s="1" t="s">
        <v>509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538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449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279</v>
      </c>
      <c r="B2100">
        <v>43802</v>
      </c>
    </row>
    <row r="2101" spans="1:2">
      <c r="A2101" s="1" t="s">
        <v>452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382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579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441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474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460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330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429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427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525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265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472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327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165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406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273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136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148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383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307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550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566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181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521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141</v>
      </c>
      <c r="B2438">
        <v>43861</v>
      </c>
    </row>
    <row r="2439" spans="1:2">
      <c r="A2439" s="1" t="s">
        <v>253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444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420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313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334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284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489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580</v>
      </c>
      <c r="B2493">
        <v>43844</v>
      </c>
    </row>
    <row r="2494" spans="1:2">
      <c r="A2494" s="1" t="s">
        <v>205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272</v>
      </c>
      <c r="B2523">
        <v>43845</v>
      </c>
    </row>
    <row r="2524" spans="1:2">
      <c r="A2524" s="1" t="s">
        <v>133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61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560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503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528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337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547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296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510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211</v>
      </c>
      <c r="B2650">
        <v>43832</v>
      </c>
    </row>
    <row r="2651" spans="1:2">
      <c r="A2651" s="1" t="s">
        <v>562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514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291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345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341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276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177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338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73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450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534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24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561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22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144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25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287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542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515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300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398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142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537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278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82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402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476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170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421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339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437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520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323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464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326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346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321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162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389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254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39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571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16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428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94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342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149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394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164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407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563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206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191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168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422</v>
      </c>
      <c r="B3461">
        <v>43845</v>
      </c>
    </row>
    <row r="3462" spans="1:2">
      <c r="A3462" s="1" t="s">
        <v>29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425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318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209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432</v>
      </c>
      <c r="B3527">
        <v>43801</v>
      </c>
    </row>
    <row r="3528" spans="1:2">
      <c r="A3528" s="1" t="s">
        <v>89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214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463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41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151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271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280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350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418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401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522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237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160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91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167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202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496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247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226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288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290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282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88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349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93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458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224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448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20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228</v>
      </c>
      <c r="B3955">
        <v>43784</v>
      </c>
    </row>
    <row r="3956" spans="1:2">
      <c r="A3956" s="1" t="s">
        <v>243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96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53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163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153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195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416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77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49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459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50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56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72</v>
      </c>
      <c r="B4197">
        <v>43812</v>
      </c>
    </row>
    <row r="4198" spans="1:2">
      <c r="A4198" s="1" t="s">
        <v>310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86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227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419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158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186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66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400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17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68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259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183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42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216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333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67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62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28</v>
      </c>
      <c r="B4407">
        <v>43840</v>
      </c>
    </row>
    <row r="4408" spans="1:2">
      <c r="A4408" s="1" t="s">
        <v>328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30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19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433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446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172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231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79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37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306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203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51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223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220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295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166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417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201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81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78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548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304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27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65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462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274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581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498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298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465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55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577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48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38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63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234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188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40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35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152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492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236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263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281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157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154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192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414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347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182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319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74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107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297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189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285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315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60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309</v>
      </c>
      <c r="B5926">
        <v>43784</v>
      </c>
    </row>
    <row r="5927" spans="1:2">
      <c r="A5927" s="1" t="s">
        <v>292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586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85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110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457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69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490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404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489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423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266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2020-05-07T20:46:02Z</dcterms:created>
  <dcterms:modified xsi:type="dcterms:W3CDTF">2020-05-07T20:46:02Z</dcterms:modified>
</cp:coreProperties>
</file>