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<sst xmlns="http://schemas.openxmlformats.org/spreadsheetml/2006/main" count="8077" uniqueCount="1331">
  <si>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</si>
  <si>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</si>
  <si>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</si>
  <si>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</si>
  <si>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</si>
  <si>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</si>
  <si>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</si>
  <si>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</si>
  <si>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</si>
  <si>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</si>
  <si>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</si>
  <si>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</si>
  <si>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WBA</t>
  </si>
  <si>
    <t>AMP</t>
  </si>
  <si>
    <t>GS</t>
  </si>
  <si>
    <t>ORI</t>
  </si>
  <si>
    <t>MCK</t>
  </si>
  <si>
    <t>ABC</t>
  </si>
  <si>
    <t>NFG</t>
  </si>
  <si>
    <t>FDX</t>
  </si>
  <si>
    <t>ALB</t>
  </si>
  <si>
    <t>PNGAY</t>
  </si>
  <si>
    <t>IMO</t>
  </si>
  <si>
    <t>ALLY</t>
  </si>
  <si>
    <t>BEN</t>
  </si>
  <si>
    <t>SYK</t>
  </si>
  <si>
    <t>DCI</t>
  </si>
  <si>
    <t>UMBF</t>
  </si>
  <si>
    <t>CAT</t>
  </si>
  <si>
    <t>WEYS</t>
  </si>
  <si>
    <t>ADM</t>
  </si>
  <si>
    <t>PRGO</t>
  </si>
  <si>
    <t>CPKF</t>
  </si>
  <si>
    <t>NOC</t>
  </si>
  <si>
    <t>BDX</t>
  </si>
  <si>
    <t>GWW</t>
  </si>
  <si>
    <t>LUV</t>
  </si>
  <si>
    <t>XRX</t>
  </si>
  <si>
    <t>NC</t>
  </si>
  <si>
    <t>BAM</t>
  </si>
  <si>
    <t>PCAR</t>
  </si>
  <si>
    <t>CP</t>
  </si>
  <si>
    <t>SRCE</t>
  </si>
  <si>
    <t>TDS</t>
  </si>
  <si>
    <t>CSX</t>
  </si>
  <si>
    <t>JNJ</t>
  </si>
  <si>
    <t>LHX</t>
  </si>
  <si>
    <t>GD</t>
  </si>
  <si>
    <t>LOW</t>
  </si>
  <si>
    <t>PH</t>
  </si>
  <si>
    <t>PNR</t>
  </si>
  <si>
    <t>UBSI</t>
  </si>
  <si>
    <t>BANF</t>
  </si>
  <si>
    <t>TROW</t>
  </si>
  <si>
    <t>V</t>
  </si>
  <si>
    <t>EBTC</t>
  </si>
  <si>
    <t>CNI</t>
  </si>
  <si>
    <t>ABM</t>
  </si>
  <si>
    <t>GPC</t>
  </si>
  <si>
    <t>CTBI</t>
  </si>
  <si>
    <t>SON</t>
  </si>
  <si>
    <t>SEIC</t>
  </si>
  <si>
    <t>ADP</t>
  </si>
  <si>
    <t>SWK</t>
  </si>
  <si>
    <t>MMM</t>
  </si>
  <si>
    <t>CSL</t>
  </si>
  <si>
    <t>EV</t>
  </si>
  <si>
    <t>OSK</t>
  </si>
  <si>
    <t>PSBQ</t>
  </si>
  <si>
    <t>AON</t>
  </si>
  <si>
    <t>PPG</t>
  </si>
  <si>
    <t>EMR</t>
  </si>
  <si>
    <t>CB</t>
  </si>
  <si>
    <t>AFL</t>
  </si>
  <si>
    <t>FUL</t>
  </si>
  <si>
    <t>SYY</t>
  </si>
  <si>
    <t>THFF</t>
  </si>
  <si>
    <t>SPGI</t>
  </si>
  <si>
    <t>MA</t>
  </si>
  <si>
    <t>BKH</t>
  </si>
  <si>
    <t>DOV</t>
  </si>
  <si>
    <t>ROST</t>
  </si>
  <si>
    <t>ATR</t>
  </si>
  <si>
    <t>CSVI</t>
  </si>
  <si>
    <t>PG</t>
  </si>
  <si>
    <t>MDT</t>
  </si>
  <si>
    <t>ITW</t>
  </si>
  <si>
    <t>BRC</t>
  </si>
  <si>
    <t>CBSH</t>
  </si>
  <si>
    <t>BRO</t>
  </si>
  <si>
    <t>TGT</t>
  </si>
  <si>
    <t>MKC</t>
  </si>
  <si>
    <t>ROP</t>
  </si>
  <si>
    <t>SHW</t>
  </si>
  <si>
    <t>MSA</t>
  </si>
  <si>
    <t>FELE</t>
  </si>
  <si>
    <t>CL</t>
  </si>
  <si>
    <t>TNC</t>
  </si>
  <si>
    <t>RPM</t>
  </si>
  <si>
    <t>AAP</t>
  </si>
  <si>
    <t>GE</t>
  </si>
  <si>
    <t>NVDA</t>
  </si>
  <si>
    <t>ECL</t>
  </si>
  <si>
    <t>SNE</t>
  </si>
  <si>
    <t>AUY</t>
  </si>
  <si>
    <t>TR</t>
  </si>
  <si>
    <t>HRL</t>
  </si>
  <si>
    <t>SJW</t>
  </si>
  <si>
    <t>SCL</t>
  </si>
  <si>
    <t>GRC</t>
  </si>
  <si>
    <t>TMP</t>
  </si>
  <si>
    <t>NDSN</t>
  </si>
  <si>
    <t>BF.B</t>
  </si>
  <si>
    <t>WMT</t>
  </si>
  <si>
    <t>DDS</t>
  </si>
  <si>
    <t>NUE</t>
  </si>
  <si>
    <t>CTAS</t>
  </si>
  <si>
    <t>MSEX</t>
  </si>
  <si>
    <t>CINF</t>
  </si>
  <si>
    <t>BMI</t>
  </si>
  <si>
    <t>LANC</t>
  </si>
  <si>
    <t>CWT</t>
  </si>
  <si>
    <t>AWR</t>
  </si>
  <si>
    <t>WST</t>
  </si>
  <si>
    <t>RLI</t>
  </si>
  <si>
    <t>SKM</t>
  </si>
  <si>
    <t>RDEIY</t>
  </si>
  <si>
    <t>FLR</t>
  </si>
  <si>
    <t>MO</t>
  </si>
  <si>
    <t>EBAY</t>
  </si>
  <si>
    <t>ERF</t>
  </si>
  <si>
    <t>TSCO</t>
  </si>
  <si>
    <t>PFG</t>
  </si>
  <si>
    <t>SYF</t>
  </si>
  <si>
    <t>PKX</t>
  </si>
  <si>
    <t>CAH</t>
  </si>
  <si>
    <t>T</t>
  </si>
  <si>
    <t>NAVI</t>
  </si>
  <si>
    <t>RCL</t>
  </si>
  <si>
    <t>FRT</t>
  </si>
  <si>
    <t>MTB</t>
  </si>
  <si>
    <t>WHR</t>
  </si>
  <si>
    <t>RY</t>
  </si>
  <si>
    <t>PRU</t>
  </si>
  <si>
    <t>CMI</t>
  </si>
  <si>
    <t>LMT</t>
  </si>
  <si>
    <t>ORCL</t>
  </si>
  <si>
    <t>FL</t>
  </si>
  <si>
    <t>MGA</t>
  </si>
  <si>
    <t>PBCT</t>
  </si>
  <si>
    <t>HFC</t>
  </si>
  <si>
    <t>FMS</t>
  </si>
  <si>
    <t>PII</t>
  </si>
  <si>
    <t>CTSH</t>
  </si>
  <si>
    <t>SNA</t>
  </si>
  <si>
    <t>IBM</t>
  </si>
  <si>
    <t>CMCSA</t>
  </si>
  <si>
    <t>HPQ</t>
  </si>
  <si>
    <t>TTC</t>
  </si>
  <si>
    <t>CVS</t>
  </si>
  <si>
    <t>UNH</t>
  </si>
  <si>
    <t>AOS</t>
  </si>
  <si>
    <t>ALK</t>
  </si>
  <si>
    <t>TM</t>
  </si>
  <si>
    <t>UGI</t>
  </si>
  <si>
    <t>INTC</t>
  </si>
  <si>
    <t>FTS</t>
  </si>
  <si>
    <t>FRFHF</t>
  </si>
  <si>
    <t>BK</t>
  </si>
  <si>
    <t>PBR</t>
  </si>
  <si>
    <t>HA</t>
  </si>
  <si>
    <t>ICE</t>
  </si>
  <si>
    <t>DAL</t>
  </si>
  <si>
    <t>DPZ</t>
  </si>
  <si>
    <t>AXP</t>
  </si>
  <si>
    <t>TRV</t>
  </si>
  <si>
    <t>USB</t>
  </si>
  <si>
    <t>WSM</t>
  </si>
  <si>
    <t>NEP</t>
  </si>
  <si>
    <t>HMC</t>
  </si>
  <si>
    <t>TJX</t>
  </si>
  <si>
    <t>FOXA</t>
  </si>
  <si>
    <t>BAC</t>
  </si>
  <si>
    <t>KSU</t>
  </si>
  <si>
    <t>XYL</t>
  </si>
  <si>
    <t>AIZ</t>
  </si>
  <si>
    <t>KR</t>
  </si>
  <si>
    <t>MDU</t>
  </si>
  <si>
    <t>DG</t>
  </si>
  <si>
    <t>LEG</t>
  </si>
  <si>
    <t>BMY</t>
  </si>
  <si>
    <t>KMB</t>
  </si>
  <si>
    <t>CFR</t>
  </si>
  <si>
    <t>NVS</t>
  </si>
  <si>
    <t>DIS</t>
  </si>
  <si>
    <t>NSC</t>
  </si>
  <si>
    <t>CHD</t>
  </si>
  <si>
    <t>UTX</t>
  </si>
  <si>
    <t>AMAT</t>
  </si>
  <si>
    <t>KLAC</t>
  </si>
  <si>
    <t>JPM</t>
  </si>
  <si>
    <t>ALL</t>
  </si>
  <si>
    <t>RRD</t>
  </si>
  <si>
    <t>LRCX</t>
  </si>
  <si>
    <t>RTN</t>
  </si>
  <si>
    <t>OMI</t>
  </si>
  <si>
    <t>RE</t>
  </si>
  <si>
    <t>BBY</t>
  </si>
  <si>
    <t>SWKS</t>
  </si>
  <si>
    <t>IR</t>
  </si>
  <si>
    <t>MSFT</t>
  </si>
  <si>
    <t>KO</t>
  </si>
  <si>
    <t>AROW</t>
  </si>
  <si>
    <t>COST</t>
  </si>
  <si>
    <t>PEP</t>
  </si>
  <si>
    <t>UNP</t>
  </si>
  <si>
    <t>APTV</t>
  </si>
  <si>
    <t>TSN</t>
  </si>
  <si>
    <t>MCD</t>
  </si>
  <si>
    <t>BAH</t>
  </si>
  <si>
    <t>CLX</t>
  </si>
  <si>
    <t>MAR</t>
  </si>
  <si>
    <t>HII</t>
  </si>
  <si>
    <t>ED</t>
  </si>
  <si>
    <t>CAE</t>
  </si>
  <si>
    <t>MORN</t>
  </si>
  <si>
    <t>CBU</t>
  </si>
  <si>
    <t>ACN</t>
  </si>
  <si>
    <t>MGRC</t>
  </si>
  <si>
    <t>VFC</t>
  </si>
  <si>
    <t>LIN</t>
  </si>
  <si>
    <t>AAPL</t>
  </si>
  <si>
    <t>NKE</t>
  </si>
  <si>
    <t>WABC</t>
  </si>
  <si>
    <t>APD</t>
  </si>
  <si>
    <t>JKHY</t>
  </si>
  <si>
    <t>ATO</t>
  </si>
  <si>
    <t>MCO</t>
  </si>
  <si>
    <t>RACE</t>
  </si>
  <si>
    <t>NWN</t>
  </si>
  <si>
    <t>MGEE</t>
  </si>
  <si>
    <t>SKT</t>
  </si>
  <si>
    <t>GEL</t>
  </si>
  <si>
    <t>ET</t>
  </si>
  <si>
    <t>ABBV</t>
  </si>
  <si>
    <t>CHL</t>
  </si>
  <si>
    <t>SAN</t>
  </si>
  <si>
    <t>EPD</t>
  </si>
  <si>
    <t>FTI</t>
  </si>
  <si>
    <t>BNS</t>
  </si>
  <si>
    <t>SUN</t>
  </si>
  <si>
    <t>BBT</t>
  </si>
  <si>
    <t>PSO</t>
  </si>
  <si>
    <t>GILD</t>
  </si>
  <si>
    <t>KSS</t>
  </si>
  <si>
    <t>TAP</t>
  </si>
  <si>
    <t>TD</t>
  </si>
  <si>
    <t>CWCO</t>
  </si>
  <si>
    <t>IVZ</t>
  </si>
  <si>
    <t>HBI</t>
  </si>
  <si>
    <t>SLF</t>
  </si>
  <si>
    <t>HNI</t>
  </si>
  <si>
    <t>CSCO</t>
  </si>
  <si>
    <t>KMI</t>
  </si>
  <si>
    <t>MRVL</t>
  </si>
  <si>
    <t>MPC</t>
  </si>
  <si>
    <t>EFSI</t>
  </si>
  <si>
    <t>CCL</t>
  </si>
  <si>
    <t>BMO</t>
  </si>
  <si>
    <t>UPS</t>
  </si>
  <si>
    <t>CEO</t>
  </si>
  <si>
    <t>ENB</t>
  </si>
  <si>
    <t>LAZ</t>
  </si>
  <si>
    <t>AVGO</t>
  </si>
  <si>
    <t>BNPQF</t>
  </si>
  <si>
    <t>SJM</t>
  </si>
  <si>
    <t>JACK</t>
  </si>
  <si>
    <t>VZ</t>
  </si>
  <si>
    <t>WFC</t>
  </si>
  <si>
    <t>R</t>
  </si>
  <si>
    <t>KEY</t>
  </si>
  <si>
    <t>GLW</t>
  </si>
  <si>
    <t>WRK</t>
  </si>
  <si>
    <t>CVX</t>
  </si>
  <si>
    <t>MSM</t>
  </si>
  <si>
    <t>HBAN</t>
  </si>
  <si>
    <t>NTAP</t>
  </si>
  <si>
    <t>KTB</t>
  </si>
  <si>
    <t>LYB</t>
  </si>
  <si>
    <t>BLK</t>
  </si>
  <si>
    <t>HOG</t>
  </si>
  <si>
    <t>PSX</t>
  </si>
  <si>
    <t>HRB</t>
  </si>
  <si>
    <t>TYCB</t>
  </si>
  <si>
    <t>PB</t>
  </si>
  <si>
    <t>OMC</t>
  </si>
  <si>
    <t>STI</t>
  </si>
  <si>
    <t>BUD</t>
  </si>
  <si>
    <t>MET</t>
  </si>
  <si>
    <t>GEF</t>
  </si>
  <si>
    <t>NTIOF</t>
  </si>
  <si>
    <t>MDLZ</t>
  </si>
  <si>
    <t>HD</t>
  </si>
  <si>
    <t>SUUIF</t>
  </si>
  <si>
    <t>BAYRY</t>
  </si>
  <si>
    <t>LM</t>
  </si>
  <si>
    <t>SAP</t>
  </si>
  <si>
    <t>CBRL</t>
  </si>
  <si>
    <t>IFF</t>
  </si>
  <si>
    <t>DNKN</t>
  </si>
  <si>
    <t>ERIC</t>
  </si>
  <si>
    <t>STZ</t>
  </si>
  <si>
    <t>SBUX</t>
  </si>
  <si>
    <t>AMGN</t>
  </si>
  <si>
    <t>NVO</t>
  </si>
  <si>
    <t>YUM</t>
  </si>
  <si>
    <t>AJG</t>
  </si>
  <si>
    <t>K</t>
  </si>
  <si>
    <t>AXS</t>
  </si>
  <si>
    <t>ESS</t>
  </si>
  <si>
    <t>DEO</t>
  </si>
  <si>
    <t>IP</t>
  </si>
  <si>
    <t>LOGI</t>
  </si>
  <si>
    <t>OGZPY</t>
  </si>
  <si>
    <t>JW.A</t>
  </si>
  <si>
    <t>FAST</t>
  </si>
  <si>
    <t>GM</t>
  </si>
  <si>
    <t>ETN</t>
  </si>
  <si>
    <t>ARTNA</t>
  </si>
  <si>
    <t>QCOM</t>
  </si>
  <si>
    <t>HON</t>
  </si>
  <si>
    <t>UVV</t>
  </si>
  <si>
    <t>ROK</t>
  </si>
  <si>
    <t>MRK</t>
  </si>
  <si>
    <t>CAG</t>
  </si>
  <si>
    <t>DE</t>
  </si>
  <si>
    <t>COP</t>
  </si>
  <si>
    <t>EIX</t>
  </si>
  <si>
    <t>ALV</t>
  </si>
  <si>
    <t>AMX</t>
  </si>
  <si>
    <t>HSY</t>
  </si>
  <si>
    <t>ABT</t>
  </si>
  <si>
    <t>TIF</t>
  </si>
  <si>
    <t>RMD</t>
  </si>
  <si>
    <t>AMT</t>
  </si>
  <si>
    <t>ERIE</t>
  </si>
  <si>
    <t>WM</t>
  </si>
  <si>
    <t>NEE</t>
  </si>
  <si>
    <t>NSRGY</t>
  </si>
  <si>
    <t>CME</t>
  </si>
  <si>
    <t>WTR</t>
  </si>
  <si>
    <t>LLY</t>
  </si>
  <si>
    <t>NEM</t>
  </si>
  <si>
    <t>WU</t>
  </si>
  <si>
    <t>ETR</t>
  </si>
  <si>
    <t>GOLD</t>
  </si>
  <si>
    <t>AM</t>
  </si>
  <si>
    <t>SAXPY</t>
  </si>
  <si>
    <t>LB</t>
  </si>
  <si>
    <t>MMP</t>
  </si>
  <si>
    <t>MPLX</t>
  </si>
  <si>
    <t>TS</t>
  </si>
  <si>
    <t>IMBBY</t>
  </si>
  <si>
    <t>SPH</t>
  </si>
  <si>
    <t>SPG</t>
  </si>
  <si>
    <t>TCO</t>
  </si>
  <si>
    <t>AAL</t>
  </si>
  <si>
    <t>SNP</t>
  </si>
  <si>
    <t>PACW</t>
  </si>
  <si>
    <t>BPY</t>
  </si>
  <si>
    <t>SVC</t>
  </si>
  <si>
    <t>TOT</t>
  </si>
  <si>
    <t>NOK</t>
  </si>
  <si>
    <t>NTR</t>
  </si>
  <si>
    <t>HAL</t>
  </si>
  <si>
    <t>DRI</t>
  </si>
  <si>
    <t>DFS</t>
  </si>
  <si>
    <t>NWL</t>
  </si>
  <si>
    <t>DTEGY</t>
  </si>
  <si>
    <t>BTI</t>
  </si>
  <si>
    <t>CNP</t>
  </si>
  <si>
    <t>BRX</t>
  </si>
  <si>
    <t>F</t>
  </si>
  <si>
    <t>CM</t>
  </si>
  <si>
    <t>GWLIF</t>
  </si>
  <si>
    <t>E</t>
  </si>
  <si>
    <t>WMB</t>
  </si>
  <si>
    <t>GPS</t>
  </si>
  <si>
    <t>BIP</t>
  </si>
  <si>
    <t>PFE</t>
  </si>
  <si>
    <t>TPR</t>
  </si>
  <si>
    <t>MT</t>
  </si>
  <si>
    <t>MDP</t>
  </si>
  <si>
    <t>M</t>
  </si>
  <si>
    <t>SNY</t>
  </si>
  <si>
    <t>HTA</t>
  </si>
  <si>
    <t>INN</t>
  </si>
  <si>
    <t>WPP</t>
  </si>
  <si>
    <t>OKE</t>
  </si>
  <si>
    <t>TRP</t>
  </si>
  <si>
    <t>GIS</t>
  </si>
  <si>
    <t>MPW</t>
  </si>
  <si>
    <t>BXP</t>
  </si>
  <si>
    <t>PSA</t>
  </si>
  <si>
    <t>DLR</t>
  </si>
  <si>
    <t>D</t>
  </si>
  <si>
    <t>LAMR</t>
  </si>
  <si>
    <t>STAG</t>
  </si>
  <si>
    <t>TXN</t>
  </si>
  <si>
    <t>GSK</t>
  </si>
  <si>
    <t>WDR</t>
  </si>
  <si>
    <t>JCI</t>
  </si>
  <si>
    <t>DUK</t>
  </si>
  <si>
    <t>INFY</t>
  </si>
  <si>
    <t>UL</t>
  </si>
  <si>
    <t>SCGLY</t>
  </si>
  <si>
    <t>PPRQF</t>
  </si>
  <si>
    <t>HST</t>
  </si>
  <si>
    <t>STOR</t>
  </si>
  <si>
    <t>KHC</t>
  </si>
  <si>
    <t>RCI</t>
  </si>
  <si>
    <t>QSR</t>
  </si>
  <si>
    <t>OUT</t>
  </si>
  <si>
    <t>SU</t>
  </si>
  <si>
    <t>UFS</t>
  </si>
  <si>
    <t>BEP</t>
  </si>
  <si>
    <t>BA</t>
  </si>
  <si>
    <t>KIM</t>
  </si>
  <si>
    <t>KDP</t>
  </si>
  <si>
    <t>OPI</t>
  </si>
  <si>
    <t>JWN</t>
  </si>
  <si>
    <t>AEP</t>
  </si>
  <si>
    <t>BHP</t>
  </si>
  <si>
    <t>CNQ</t>
  </si>
  <si>
    <t>SRE</t>
  </si>
  <si>
    <t>VOD</t>
  </si>
  <si>
    <t>FLO</t>
  </si>
  <si>
    <t>OTTR</t>
  </si>
  <si>
    <t>WPC</t>
  </si>
  <si>
    <t>CF</t>
  </si>
  <si>
    <t>TCP</t>
  </si>
  <si>
    <t>DDAIF</t>
  </si>
  <si>
    <t>O</t>
  </si>
  <si>
    <t>UBA</t>
  </si>
  <si>
    <t>ABB</t>
  </si>
  <si>
    <t>DOW</t>
  </si>
  <si>
    <t>SIEGY</t>
  </si>
  <si>
    <t>RIO</t>
  </si>
  <si>
    <t>DTE</t>
  </si>
  <si>
    <t>VLO</t>
  </si>
  <si>
    <t>CODI</t>
  </si>
  <si>
    <t>PAYX</t>
  </si>
  <si>
    <t>TRSWF</t>
  </si>
  <si>
    <t>WEN</t>
  </si>
  <si>
    <t>STX</t>
  </si>
  <si>
    <t>AVB</t>
  </si>
  <si>
    <t>NNN</t>
  </si>
  <si>
    <t>EQR</t>
  </si>
  <si>
    <t>SO</t>
  </si>
  <si>
    <t>DRETF</t>
  </si>
  <si>
    <t>MGM</t>
  </si>
  <si>
    <t>CPB</t>
  </si>
  <si>
    <t>HAS</t>
  </si>
  <si>
    <t>WEC</t>
  </si>
  <si>
    <t>WYNN</t>
  </si>
  <si>
    <t>PPL</t>
  </si>
  <si>
    <t>XEL</t>
  </si>
  <si>
    <t>SCHL</t>
  </si>
  <si>
    <t>GRMN</t>
  </si>
  <si>
    <t>WPM</t>
  </si>
  <si>
    <t>UHT</t>
  </si>
  <si>
    <t>KLIC</t>
  </si>
  <si>
    <t>EQM</t>
  </si>
  <si>
    <t>PRT</t>
  </si>
  <si>
    <t>FCAU</t>
  </si>
  <si>
    <t>SIX</t>
  </si>
  <si>
    <t>BPR</t>
  </si>
  <si>
    <t>SLB</t>
  </si>
  <si>
    <t>PTR</t>
  </si>
  <si>
    <t>MAC</t>
  </si>
  <si>
    <t>CRT</t>
  </si>
  <si>
    <t>CMA</t>
  </si>
  <si>
    <t>HEP</t>
  </si>
  <si>
    <t>OXY</t>
  </si>
  <si>
    <t>OXLC</t>
  </si>
  <si>
    <t>EPR</t>
  </si>
  <si>
    <t>RDS.B</t>
  </si>
  <si>
    <t>HSBC</t>
  </si>
  <si>
    <t>MFGP</t>
  </si>
  <si>
    <t>NLSN</t>
  </si>
  <si>
    <t>XOM</t>
  </si>
  <si>
    <t>BGS</t>
  </si>
  <si>
    <t>IPPLF</t>
  </si>
  <si>
    <t>TEF</t>
  </si>
  <si>
    <t>C</t>
  </si>
  <si>
    <t>AB</t>
  </si>
  <si>
    <t>BKR</t>
  </si>
  <si>
    <t>APAM</t>
  </si>
  <si>
    <t>AEG</t>
  </si>
  <si>
    <t>AGNC</t>
  </si>
  <si>
    <t>DX</t>
  </si>
  <si>
    <t>CTL</t>
  </si>
  <si>
    <t>COR</t>
  </si>
  <si>
    <t>CPTA</t>
  </si>
  <si>
    <t>ARR</t>
  </si>
  <si>
    <t>BP</t>
  </si>
  <si>
    <t>DIN</t>
  </si>
  <si>
    <t>SBRA</t>
  </si>
  <si>
    <t>APA</t>
  </si>
  <si>
    <t>USAC</t>
  </si>
  <si>
    <t>CHRRF</t>
  </si>
  <si>
    <t>LMRK</t>
  </si>
  <si>
    <t>VER</t>
  </si>
  <si>
    <t>HP</t>
  </si>
  <si>
    <t>MIC</t>
  </si>
  <si>
    <t>LADR</t>
  </si>
  <si>
    <t>SNH</t>
  </si>
  <si>
    <t>DD</t>
  </si>
  <si>
    <t>SSREY</t>
  </si>
  <si>
    <t>MAIN</t>
  </si>
  <si>
    <t>CCI</t>
  </si>
  <si>
    <t>DUNDF</t>
  </si>
  <si>
    <t>PM</t>
  </si>
  <si>
    <t>BMWYY</t>
  </si>
  <si>
    <t>NRZ</t>
  </si>
  <si>
    <t>IRM</t>
  </si>
  <si>
    <t>ARCC</t>
  </si>
  <si>
    <t>CIM</t>
  </si>
  <si>
    <t>GLPI</t>
  </si>
  <si>
    <t>ARI</t>
  </si>
  <si>
    <t>LTC</t>
  </si>
  <si>
    <t>VET</t>
  </si>
  <si>
    <t>OHI</t>
  </si>
  <si>
    <t>MCY</t>
  </si>
  <si>
    <t>CLDT</t>
  </si>
  <si>
    <t>GNL</t>
  </si>
  <si>
    <t>TRGP</t>
  </si>
  <si>
    <t>VTR</t>
  </si>
  <si>
    <t>SJR</t>
  </si>
  <si>
    <t>APLE</t>
  </si>
  <si>
    <t>PSEC</t>
  </si>
  <si>
    <t>SCM</t>
  </si>
  <si>
    <t>FUN</t>
  </si>
  <si>
    <t>PBA</t>
  </si>
  <si>
    <t>AQN</t>
  </si>
  <si>
    <t>BCE</t>
  </si>
  <si>
    <t>NLY</t>
  </si>
  <si>
    <t>BXMT</t>
  </si>
  <si>
    <t>PEGI</t>
  </si>
  <si>
    <t>ECC</t>
  </si>
  <si>
    <t>CORR</t>
  </si>
  <si>
    <t>SPKE</t>
  </si>
  <si>
    <t>STWD</t>
  </si>
  <si>
    <t>PDCO</t>
  </si>
  <si>
    <t>ALARF</t>
  </si>
  <si>
    <t>WY</t>
  </si>
  <si>
    <t>MGP</t>
  </si>
  <si>
    <t>VGR</t>
  </si>
  <si>
    <t>DREUF</t>
  </si>
  <si>
    <t>LVS</t>
  </si>
  <si>
    <t>DOC</t>
  </si>
  <si>
    <t>OLN</t>
  </si>
  <si>
    <t>NYCB</t>
  </si>
  <si>
    <t>GLAD</t>
  </si>
  <si>
    <t>ANF</t>
  </si>
  <si>
    <t>ABEV</t>
  </si>
  <si>
    <t>DEA</t>
  </si>
  <si>
    <t>BBBY</t>
  </si>
  <si>
    <t>GRP-UN</t>
  </si>
  <si>
    <t>SFL</t>
  </si>
  <si>
    <t>GAIN</t>
  </si>
  <si>
    <t>WSR</t>
  </si>
  <si>
    <t>HTGC</t>
  </si>
  <si>
    <t>WELL</t>
  </si>
  <si>
    <t>GOOD</t>
  </si>
  <si>
    <t>SBR</t>
  </si>
  <si>
    <t>ASML</t>
  </si>
  <si>
    <t>BX</t>
  </si>
  <si>
    <t>APO</t>
  </si>
  <si>
    <t>LAND</t>
  </si>
  <si>
    <t>ABR</t>
  </si>
  <si>
    <t>TSM</t>
  </si>
  <si>
    <t>SJT</t>
  </si>
  <si>
    <t>CAJ</t>
  </si>
  <si>
    <t>AZN</t>
  </si>
  <si>
    <t>WDC</t>
  </si>
  <si>
    <t>TRI</t>
  </si>
  <si>
    <t>GME</t>
  </si>
  <si>
    <t>TKGBY</t>
  </si>
  <si>
    <t>ACB</t>
  </si>
  <si>
    <t>TEVA</t>
  </si>
  <si>
    <t>DLPH</t>
  </si>
  <si>
    <t>CELG</t>
  </si>
  <si>
    <t>CRM</t>
  </si>
  <si>
    <t>ADBE</t>
  </si>
  <si>
    <t>NCLH</t>
  </si>
  <si>
    <t>UAL</t>
  </si>
  <si>
    <t>MU</t>
  </si>
  <si>
    <t>UBS</t>
  </si>
  <si>
    <t>BRK.B</t>
  </si>
  <si>
    <t>BABA</t>
  </si>
  <si>
    <t>ORC</t>
  </si>
  <si>
    <t>SQ</t>
  </si>
  <si>
    <t>NSANY</t>
  </si>
  <si>
    <t>AMZN</t>
  </si>
  <si>
    <t>ORLY</t>
  </si>
  <si>
    <t>FB</t>
  </si>
  <si>
    <t>GOOG</t>
  </si>
  <si>
    <t>TMUS</t>
  </si>
  <si>
    <t>S</t>
  </si>
  <si>
    <t>SHOP</t>
  </si>
  <si>
    <t>MKL</t>
  </si>
  <si>
    <t>NBR</t>
  </si>
  <si>
    <t>AZO</t>
  </si>
  <si>
    <t>PTEN</t>
  </si>
  <si>
    <t>VALE</t>
  </si>
  <si>
    <t>NOV</t>
  </si>
  <si>
    <t>PEAK</t>
  </si>
  <si>
    <t>KTOS</t>
  </si>
  <si>
    <t>JCP</t>
  </si>
  <si>
    <t>TTM</t>
  </si>
  <si>
    <t>LPL</t>
  </si>
  <si>
    <t>CMG</t>
  </si>
  <si>
    <t>TSLA</t>
  </si>
  <si>
    <t>AMD</t>
  </si>
  <si>
    <t>NFLX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</si>
  <si>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</si>
  <si>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</si>
  <si>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</si>
  <si>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</si>
  <si>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</si>
  <si>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</si>
  <si>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</si>
  <si>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</si>
  <si>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</si>
  <si>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</si>
  <si>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</si>
  <si>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</si>
  <si>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</si>
  <si>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</si>
  <si>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</si>
  <si>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</si>
  <si>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</si>
  <si>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</si>
  <si>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</si>
  <si>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</si>
  <si>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</si>
  <si>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</si>
  <si>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</si>
  <si>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</si>
  <si>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</si>
  <si>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</si>
  <si>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</si>
  <si>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</si>
  <si>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</si>
  <si>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</si>
  <si>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</si>
  <si>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</si>
  <si>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</si>
  <si>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</si>
  <si>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</si>
  <si>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</si>
  <si>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</si>
  <si>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</si>
  <si>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</si>
  <si>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</si>
  <si>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</si>
  <si>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</si>
  <si>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</si>
  <si>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</si>
  <si>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Ignatius Quek</t>
  </si>
  <si>
    <t>Noah Horwood</t>
  </si>
  <si>
    <t>Christopher VanWert</t>
  </si>
  <si>
    <t>United States</t>
  </si>
  <si>
    <t>China</t>
  </si>
  <si>
    <t>Canada</t>
  </si>
  <si>
    <t>Ireland</t>
  </si>
  <si>
    <t>United Kingdom</t>
  </si>
  <si>
    <t>Switzerland</t>
  </si>
  <si>
    <t>Japan</t>
  </si>
  <si>
    <t>South Korea</t>
  </si>
  <si>
    <t>Spain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</si>
  <si>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</si>
  <si>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</si>
  <si>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</si>
  <si>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</si>
  <si>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</si>
  <si>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</si>
  <si>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</si>
  <si>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</si>
  <si>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</si>
  <si>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</si>
  <si>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</si>
  <si>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</si>
  <si>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</si>
  <si>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</si>
  <si>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</si>
  <si>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</si>
  <si>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</si>
  <si>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</si>
  <si>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</si>
  <si>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Turkey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</si>
  <si>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</si>
  <si>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</si>
  <si>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</si>
  <si>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</si>
  <si>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</si>
  <si>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</si>
  <si>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</si>
  <si>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</si>
  <si>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</si>
  <si>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</si>
  <si>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</si>
  <si>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</si>
  <si>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Craig R. Smiddy</t>
  </si>
  <si>
    <t>Brian Scott Tyler</t>
  </si>
  <si>
    <t>Steven H. Collis</t>
  </si>
  <si>
    <t>David P. Bauer</t>
  </si>
  <si>
    <t>Frederick Wallace Smith</t>
  </si>
  <si>
    <t>Luke C. Kissam</t>
  </si>
  <si>
    <t>Yong Lin Xie / Ming Zhe Ma / Yuan Xiang Li / Sin Ying Tan</t>
  </si>
  <si>
    <t>Richard Michael Kruger</t>
  </si>
  <si>
    <t>Jeffrey Jonathan Brown</t>
  </si>
  <si>
    <t>Gregory Eugene Johnson</t>
  </si>
  <si>
    <t>Kevin A. Lobo</t>
  </si>
  <si>
    <t>Tod E. Carpenter</t>
  </si>
  <si>
    <t>Mariner Kemper</t>
  </si>
  <si>
    <t>Donald James Umpleby</t>
  </si>
  <si>
    <t>Thomas W. Florsheim</t>
  </si>
  <si>
    <t>Juan Ricardo Luciano</t>
  </si>
  <si>
    <t>Murray S. Kessler</t>
  </si>
  <si>
    <t>Jeffrey M. Szyperski</t>
  </si>
  <si>
    <t>Kathy J. Warden</t>
  </si>
  <si>
    <t>Vincent A. Forlenza</t>
  </si>
  <si>
    <t>Donald G. Macpherson</t>
  </si>
  <si>
    <t>Gary C. Kelly</t>
  </si>
  <si>
    <t>John Visentin</t>
  </si>
  <si>
    <t>John C. Butler</t>
  </si>
  <si>
    <t>James Bruce Flatt</t>
  </si>
  <si>
    <t>Preston R. Feight</t>
  </si>
  <si>
    <t>Keith Edward Creel</t>
  </si>
  <si>
    <t>Christopher J. Murphy</t>
  </si>
  <si>
    <t>LeRoy T. Carlson</t>
  </si>
  <si>
    <t>James M. Foote</t>
  </si>
  <si>
    <t>Alex Gorsky</t>
  </si>
  <si>
    <t>William M. Brown</t>
  </si>
  <si>
    <t>Phebe N. Novakovic</t>
  </si>
  <si>
    <t>Marvin R. Ellison</t>
  </si>
  <si>
    <t>Thomas L. Williams</t>
  </si>
  <si>
    <t>John L. Stauch</t>
  </si>
  <si>
    <t>Richard M. Adams</t>
  </si>
  <si>
    <t>David R. Harlow</t>
  </si>
  <si>
    <t>William Joseph Stromberg</t>
  </si>
  <si>
    <t>Alfred F. Kelly</t>
  </si>
  <si>
    <t>John P. Clancy</t>
  </si>
  <si>
    <t>Jean-Jacques Ruest</t>
  </si>
  <si>
    <t>Scott Salmirs</t>
  </si>
  <si>
    <t>Paul D. Donahue</t>
  </si>
  <si>
    <t>Jean R. Hale</t>
  </si>
  <si>
    <t>Robert C. Tiede</t>
  </si>
  <si>
    <t>Alfred P. West</t>
  </si>
  <si>
    <t>Carlos A. Rodriguez</t>
  </si>
  <si>
    <t>James M. Loree</t>
  </si>
  <si>
    <t>Michael F. Roman</t>
  </si>
  <si>
    <t>D. Christian Koch</t>
  </si>
  <si>
    <t>Thomas Ewart Faust</t>
  </si>
  <si>
    <t>Wilson R. Jones</t>
  </si>
  <si>
    <t>Scott M. Cattanach</t>
  </si>
  <si>
    <t>Gregory C. Case</t>
  </si>
  <si>
    <t>Michael H. McGarry</t>
  </si>
  <si>
    <t>David N. Farr</t>
  </si>
  <si>
    <t>Evan G. Greenberg</t>
  </si>
  <si>
    <t>Daniel Paul Amos</t>
  </si>
  <si>
    <t>James J. Owens</t>
  </si>
  <si>
    <t>Thomas L. Bené</t>
  </si>
  <si>
    <t>Norman L. Lowery</t>
  </si>
  <si>
    <t>Douglas L. Peterson</t>
  </si>
  <si>
    <t>Ajaypal S. Banga</t>
  </si>
  <si>
    <t>Linden R. Evans</t>
  </si>
  <si>
    <t>Richard Joseph Tobin</t>
  </si>
  <si>
    <t>Barbara Rentler</t>
  </si>
  <si>
    <t>Stephan B. Tanda</t>
  </si>
  <si>
    <t>Steven A. Powless</t>
  </si>
  <si>
    <t>David S. Taylor</t>
  </si>
  <si>
    <t>Omar S. Ishrak</t>
  </si>
  <si>
    <t>Ernest Scott Santi</t>
  </si>
  <si>
    <t>J. Michael Nauman</t>
  </si>
  <si>
    <t>John W. Kemper</t>
  </si>
  <si>
    <t>J. Powell Brown</t>
  </si>
  <si>
    <t>Brian C. Cornell</t>
  </si>
  <si>
    <t>Lawrence Erik Kurzius</t>
  </si>
  <si>
    <t>Laurence Neil Hunn</t>
  </si>
  <si>
    <t>John George Morikis</t>
  </si>
  <si>
    <t>Nishan J. Vartanian</t>
  </si>
  <si>
    <t>Gregg C. Sengstack</t>
  </si>
  <si>
    <t>Noel R. Wallace</t>
  </si>
  <si>
    <t>H. Chris Killingstad</t>
  </si>
  <si>
    <t>Frank C. Sullivan</t>
  </si>
  <si>
    <t>Thomas R. Greco</t>
  </si>
  <si>
    <t>H. Lawrence Culp</t>
  </si>
  <si>
    <t>Jen-Hsun Huang</t>
  </si>
  <si>
    <t>Douglas M. Baker</t>
  </si>
  <si>
    <t>Kenichiro Yoshida</t>
  </si>
  <si>
    <t>Daniel Racine</t>
  </si>
  <si>
    <t>Ellen R. Gordon</t>
  </si>
  <si>
    <t>James P. Snee</t>
  </si>
  <si>
    <t>Eric W. Thornburg</t>
  </si>
  <si>
    <t>F. Quinn Stepan</t>
  </si>
  <si>
    <t>Jeffrey S. Gorman</t>
  </si>
  <si>
    <t>Stephen S. Romaine</t>
  </si>
  <si>
    <t>Sundaram Nagarajan</t>
  </si>
  <si>
    <t>Lawson E. Whiting</t>
  </si>
  <si>
    <t>C. Douglas McMillon</t>
  </si>
  <si>
    <t>William Thomas Dillard</t>
  </si>
  <si>
    <t>John J. Ferriola</t>
  </si>
  <si>
    <t>Scott Douglas Farmer</t>
  </si>
  <si>
    <t>Dennis W. Doll</t>
  </si>
  <si>
    <t>Steven J. Johnston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</si>
  <si>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</si>
  <si>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</si>
  <si>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</si>
  <si>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</si>
  <si>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</si>
  <si>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</si>
  <si>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Jung-Ho Park</t>
  </si>
  <si>
    <t>Roberto Garcia Merino</t>
  </si>
  <si>
    <t>Carlos Manuel Hernandez</t>
  </si>
  <si>
    <t>Howard A. Willard</t>
  </si>
  <si>
    <t>Scott F. Schenkel</t>
  </si>
  <si>
    <t>Ian C. Dundas</t>
  </si>
  <si>
    <t>Gregory A. Sandfort</t>
  </si>
  <si>
    <t>Daniel Joseph Houston</t>
  </si>
  <si>
    <t>Margaret M. Keane</t>
  </si>
  <si>
    <t>Jeong-Woo Choi / In-Hwa Chang</t>
  </si>
  <si>
    <t>Michael C. Kaufmann</t>
  </si>
  <si>
    <t>Randall L. Stephenson</t>
  </si>
  <si>
    <t>John F. Remondi</t>
  </si>
  <si>
    <t>Richard D. Fain</t>
  </si>
  <si>
    <t>Donald C. Wood</t>
  </si>
  <si>
    <t>René F. Jones</t>
  </si>
  <si>
    <t>Marc Robert Bitzer</t>
  </si>
  <si>
    <t>David Ian McKay</t>
  </si>
  <si>
    <t>Charlie F. Lowrey</t>
  </si>
  <si>
    <t>Norman Thomas Linebarger</t>
  </si>
  <si>
    <t>Marillyn A. Hewson</t>
  </si>
  <si>
    <t>Safra Ada Catz</t>
  </si>
  <si>
    <t>Richard A. Johnson</t>
  </si>
  <si>
    <t>Donald J. Walker</t>
  </si>
  <si>
    <t>John P. Barnes</t>
  </si>
  <si>
    <t>George J. Damiris</t>
  </si>
  <si>
    <t>Rice Powell</t>
  </si>
  <si>
    <t>Scott Wellington Wine</t>
  </si>
  <si>
    <t>Brian J. Humphries</t>
  </si>
  <si>
    <t>Nicholas T. Pinchuk</t>
  </si>
  <si>
    <t>Virginia M. Rometty</t>
  </si>
  <si>
    <t>Brian L. Roberts</t>
  </si>
  <si>
    <t>Enrique Lores</t>
  </si>
  <si>
    <t>Richard M. Olson</t>
  </si>
  <si>
    <t>Larry J. Merlo</t>
  </si>
  <si>
    <t>David Scott Wichmann</t>
  </si>
  <si>
    <t>Kevin J. Wheeler</t>
  </si>
  <si>
    <t>Bradley D. Tilden</t>
  </si>
  <si>
    <t>Akio Toyoda</t>
  </si>
  <si>
    <t>John L. Walsh</t>
  </si>
  <si>
    <t>Robert Holmes Swan</t>
  </si>
  <si>
    <t>Barry V. Perry</t>
  </si>
  <si>
    <t>Vivian Prem Watsa</t>
  </si>
  <si>
    <t>Thomas P. Gibbons</t>
  </si>
  <si>
    <t>Roberto da Cunha Castello Branco</t>
  </si>
  <si>
    <t>Peter R. Ingram</t>
  </si>
  <si>
    <t>Jeffrey Craig Sprecher</t>
  </si>
  <si>
    <t>Edward Herman Bastian</t>
  </si>
  <si>
    <t>Richard E. Allison</t>
  </si>
  <si>
    <t>Stephen J. Squeri</t>
  </si>
  <si>
    <t>Alan D. Schnitzer</t>
  </si>
  <si>
    <t>Andrew J. Cecere</t>
  </si>
  <si>
    <t>Laura Jean Alber</t>
  </si>
  <si>
    <t>James L. Robo</t>
  </si>
  <si>
    <t>Takahiro Hachigo</t>
  </si>
  <si>
    <t>Ernie L. Herrman</t>
  </si>
  <si>
    <t>Lachlan Keith Murdoch</t>
  </si>
  <si>
    <t>Brian T. Moynihan</t>
  </si>
  <si>
    <t>Patrick J. Ottensmeyer</t>
  </si>
  <si>
    <t>Patrick K. Decker</t>
  </si>
  <si>
    <t>Alan B. Colberg</t>
  </si>
  <si>
    <t>W. Rodney McMullen</t>
  </si>
  <si>
    <t>David L. Goodin</t>
  </si>
  <si>
    <t>Todd J. Vasos</t>
  </si>
  <si>
    <t>Karl G. Glassman</t>
  </si>
  <si>
    <t>Giovanni Caforio</t>
  </si>
  <si>
    <t>Michael D. Hsu</t>
  </si>
  <si>
    <t>Phillip D. Green</t>
  </si>
  <si>
    <t>Vasant Narasimhan</t>
  </si>
  <si>
    <t>Robert A. Iger</t>
  </si>
  <si>
    <t>James A. Squires</t>
  </si>
  <si>
    <t>Matthew Thomas Farrell</t>
  </si>
  <si>
    <t>Gregory J. Hayes</t>
  </si>
  <si>
    <t>Gary E. Dickerson</t>
  </si>
  <si>
    <t>Richard P. Wallace</t>
  </si>
  <si>
    <t>James Dimon</t>
  </si>
  <si>
    <t>Thomas Joseph Wilson</t>
  </si>
  <si>
    <t>Daniel L. Knotts</t>
  </si>
  <si>
    <t>Timothy M. Archer</t>
  </si>
  <si>
    <t>Thomas A. Kennedy</t>
  </si>
  <si>
    <t>Edward A. Pesicka</t>
  </si>
  <si>
    <t>Dominic James Addesso</t>
  </si>
  <si>
    <t>Corie Sue Barry</t>
  </si>
  <si>
    <t>Liam K. Griffin</t>
  </si>
  <si>
    <t>Michael W. Lamach</t>
  </si>
  <si>
    <t>Satya Nadella</t>
  </si>
  <si>
    <t>James Quincey</t>
  </si>
  <si>
    <t>Thomas J. Murphy</t>
  </si>
  <si>
    <t>Walter Craig Jelinek</t>
  </si>
  <si>
    <t>Ramon Luis Laguarta</t>
  </si>
  <si>
    <t>Lance M. Fritz</t>
  </si>
  <si>
    <t>Kevin P. Clark</t>
  </si>
  <si>
    <t>Noel W. White</t>
  </si>
  <si>
    <t>Chris Kempczinski</t>
  </si>
  <si>
    <t>Horacio D. Rozanski</t>
  </si>
  <si>
    <t>Benno O. Dorer</t>
  </si>
  <si>
    <t>Arne M. Sorenson</t>
  </si>
  <si>
    <t>C. Michael Petters</t>
  </si>
  <si>
    <t>John J. McAvoy</t>
  </si>
  <si>
    <t>Marc Parent</t>
  </si>
  <si>
    <t>Kunal Kapoor</t>
  </si>
  <si>
    <t>Mark E. Tryniski</t>
  </si>
  <si>
    <t>Julie Spellman Sweet</t>
  </si>
  <si>
    <t>Joseph F. Hanna</t>
  </si>
  <si>
    <t>Steven E. Rendle</t>
  </si>
  <si>
    <t>Stephen F. Angel</t>
  </si>
  <si>
    <t>Timothy Donald Cook</t>
  </si>
  <si>
    <t>Mark G. Parker</t>
  </si>
  <si>
    <t>David L. Payne</t>
  </si>
  <si>
    <t>Seifollah Ghasemi</t>
  </si>
  <si>
    <t>David B. Foss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</si>
  <si>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</si>
  <si>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</si>
  <si>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</si>
  <si>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</si>
  <si>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</si>
  <si>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</si>
  <si>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Grant E. Sims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</si>
  <si>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</si>
  <si>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</si>
  <si>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</si>
  <si>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</si>
  <si>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</si>
  <si>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</si>
  <si>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Joseph Kim</t>
  </si>
  <si>
    <t>Kelly S. King</t>
  </si>
  <si>
    <t>John Joseph Fallon</t>
  </si>
  <si>
    <t>Daniel O'Day</t>
  </si>
  <si>
    <t>Michelle D. Gass</t>
  </si>
  <si>
    <t>Gavin D. K. Hattersley</t>
  </si>
  <si>
    <t>Bharat B. Masrani</t>
  </si>
  <si>
    <t>Frederick W. McTaggart</t>
  </si>
  <si>
    <t>Martin L. Flanagan</t>
  </si>
  <si>
    <t>Gerald W. Evans</t>
  </si>
  <si>
    <t>Dean A. Connor</t>
  </si>
  <si>
    <t>Jeffrey D. Lorenger</t>
  </si>
  <si>
    <t>Charles H. Robbins</t>
  </si>
  <si>
    <t>Steven J. Kean</t>
  </si>
  <si>
    <t>Matthew J. Murphy</t>
  </si>
  <si>
    <t>Gary R. Heminger</t>
  </si>
  <si>
    <t>Brandon Craig Lorey</t>
  </si>
  <si>
    <t>Arnold W. Donald</t>
  </si>
  <si>
    <t>Darryl White</t>
  </si>
  <si>
    <t>David P. Abney</t>
  </si>
  <si>
    <t>Ke Qiang Xu</t>
  </si>
  <si>
    <t>Albert Monaco</t>
  </si>
  <si>
    <t>Kenneth Marc Jacobs</t>
  </si>
  <si>
    <t>Hock E. Tan</t>
  </si>
  <si>
    <t>Jean-Laurent Bonnafé</t>
  </si>
  <si>
    <t>Mark T. Smucker</t>
  </si>
  <si>
    <t>Leonard A. Comma</t>
  </si>
  <si>
    <t>Hans Erik Vestberg</t>
  </si>
  <si>
    <t>Charles William Scharf</t>
  </si>
  <si>
    <t>Robert E. Sanchez</t>
  </si>
  <si>
    <t>Beth Elaine Mooney</t>
  </si>
  <si>
    <t>Wendell P. Weeks</t>
  </si>
  <si>
    <t>Steven C. Voorhees</t>
  </si>
  <si>
    <t>Michael K. Wirth</t>
  </si>
  <si>
    <t>Erik David Gershwind</t>
  </si>
  <si>
    <t>Stephen D. Steinour</t>
  </si>
  <si>
    <t>George Kurian</t>
  </si>
  <si>
    <t>Scott H. Baxter</t>
  </si>
  <si>
    <t>Bhavesh Vaghjibhai Patel</t>
  </si>
  <si>
    <t>Laurence Douglas Fink</t>
  </si>
  <si>
    <t>Matthew S. Levatich</t>
  </si>
  <si>
    <t>Greg C. Garland</t>
  </si>
  <si>
    <t>Jeffrey J. Jones</t>
  </si>
  <si>
    <t>Raymond M. Thompson</t>
  </si>
  <si>
    <t>David E. Zalman</t>
  </si>
  <si>
    <t>John D. Wren</t>
  </si>
  <si>
    <t>Carlos Alves de Brito</t>
  </si>
  <si>
    <t>Michel A. Khalaf</t>
  </si>
  <si>
    <t>Peter G. Watson</t>
  </si>
  <si>
    <t>Louis Vachon</t>
  </si>
  <si>
    <t>Dirk van de Put</t>
  </si>
  <si>
    <t>Craig A. Menear</t>
  </si>
  <si>
    <t>Luc Desjardins</t>
  </si>
  <si>
    <t>Werner Baumann</t>
  </si>
  <si>
    <t>Joseph Andrew Sullivan</t>
  </si>
  <si>
    <t>Jennifer B. Morgan / Christian Klein</t>
  </si>
  <si>
    <t>Sandra B. Cochran</t>
  </si>
  <si>
    <t>Andreas Fibig</t>
  </si>
  <si>
    <t>David L. Hoffmann</t>
  </si>
  <si>
    <t>Erik Börje Ekholm</t>
  </si>
  <si>
    <t>William A. Newlands</t>
  </si>
  <si>
    <t>Kevin Johnson</t>
  </si>
  <si>
    <t>Robert A. Bradway</t>
  </si>
  <si>
    <t>Lars Fruergaard Jørgensen</t>
  </si>
  <si>
    <t>Greg Creed / David W. Gibbs</t>
  </si>
  <si>
    <t>Patrick J. Gallagher</t>
  </si>
  <si>
    <t>Steven A. Cahillane</t>
  </si>
  <si>
    <t>Albert A. Benchimol</t>
  </si>
  <si>
    <t>Michael J. Schall</t>
  </si>
  <si>
    <t>Ivan M. Menezes</t>
  </si>
  <si>
    <t>Mark S. Sutton</t>
  </si>
  <si>
    <t>Bracken P. Darrell</t>
  </si>
  <si>
    <t>Alexei Borisovich Miller</t>
  </si>
  <si>
    <t>Brian A. Napack</t>
  </si>
  <si>
    <t>Daniel Lars Florness</t>
  </si>
  <si>
    <t>Mary Teresa Barra</t>
  </si>
  <si>
    <t>Craig Arnold</t>
  </si>
  <si>
    <t>Dian C. Taylor</t>
  </si>
  <si>
    <t>Steven M. Mollenkopf</t>
  </si>
  <si>
    <t>Darius Adamczyk</t>
  </si>
  <si>
    <t>George C. Freeman</t>
  </si>
  <si>
    <t>Blake D. Moret</t>
  </si>
  <si>
    <t>Kenneth C. Frazier</t>
  </si>
  <si>
    <t>Sean M. Connolly</t>
  </si>
  <si>
    <t>John C. May</t>
  </si>
  <si>
    <t>Ryan M. Lance</t>
  </si>
  <si>
    <t>Pedro J. Pizarro</t>
  </si>
  <si>
    <t>Mikael Bratt</t>
  </si>
  <si>
    <t>Daniel Hajj Aboumrad</t>
  </si>
  <si>
    <t>Michele G. Buck</t>
  </si>
  <si>
    <t>Miles D. White</t>
  </si>
  <si>
    <t>Alessandro Bogliolo</t>
  </si>
  <si>
    <t>Michael J. Farrell</t>
  </si>
  <si>
    <t>James D. Taiclet</t>
  </si>
  <si>
    <t>Timothy G. NeCastro</t>
  </si>
  <si>
    <t>James C. Fish</t>
  </si>
  <si>
    <t>Ulf Mark Schneider</t>
  </si>
  <si>
    <t>Terrence A. Duffy</t>
  </si>
  <si>
    <t>Christopher H. Franklin</t>
  </si>
  <si>
    <t>David A. Ricks</t>
  </si>
  <si>
    <t>Thomas R. Palmer</t>
  </si>
  <si>
    <t>Hikmet Ersek</t>
  </si>
  <si>
    <t>Leo P. Denault</t>
  </si>
  <si>
    <t>Dennis Mark Bristow</t>
  </si>
  <si>
    <t>Paul M. Rady</t>
  </si>
  <si>
    <t>Kari Henrik Stadigh</t>
  </si>
  <si>
    <t>Leslie Herbert Wexner</t>
  </si>
  <si>
    <t>Michael N. Mears</t>
  </si>
  <si>
    <t>Michael J. Hennigan</t>
  </si>
  <si>
    <t>Paolo Rocca</t>
  </si>
  <si>
    <t>Alison J. Cooper</t>
  </si>
  <si>
    <t>Michael A. Stivala</t>
  </si>
  <si>
    <t>David E. Simon</t>
  </si>
  <si>
    <t>Robert S. Taubman</t>
  </si>
  <si>
    <t>William Douglas Parker</t>
  </si>
  <si>
    <t>Yong Sheng Ma</t>
  </si>
  <si>
    <t>Matthew P. Wagner</t>
  </si>
  <si>
    <t>Brian William Kingston</t>
  </si>
  <si>
    <t>John G. Murray</t>
  </si>
  <si>
    <t>Patrick Pouyanné</t>
  </si>
  <si>
    <t>Rajeev Suri</t>
  </si>
  <si>
    <t>Charles V. Magro</t>
  </si>
  <si>
    <t>Jeffrey Allen Miller</t>
  </si>
  <si>
    <t>Eugene I. Lee</t>
  </si>
  <si>
    <t>Roger C. Hochschild</t>
  </si>
  <si>
    <t>Ravichandra K. Saligram</t>
  </si>
  <si>
    <t>Timotheus Höttges</t>
  </si>
  <si>
    <t>Jack Marie Henry David Bowles</t>
  </si>
  <si>
    <t>Scott M. Prochazka</t>
  </si>
  <si>
    <t>James M. Taylor</t>
  </si>
  <si>
    <t>James P. Hackett</t>
  </si>
  <si>
    <t>Victor Dodig</t>
  </si>
  <si>
    <t>Paul Anthony Mahon</t>
  </si>
  <si>
    <t>Claudio Descalzi</t>
  </si>
  <si>
    <t>Alan S. Armstrong</t>
  </si>
  <si>
    <t>Bob J. Fisher</t>
  </si>
  <si>
    <t>Samuel J. B. Pollock</t>
  </si>
  <si>
    <t>Albert Bourla</t>
  </si>
  <si>
    <t>Olajide James Zeitlin</t>
  </si>
  <si>
    <t>Lakshmi Niwas Mittal</t>
  </si>
  <si>
    <t>Thomas H. Harty</t>
  </si>
  <si>
    <t>Jeffrey Gennette</t>
  </si>
  <si>
    <t>Paul Hudson</t>
  </si>
  <si>
    <t>Scott D. Peters</t>
  </si>
  <si>
    <t>Daniel P. Hansen</t>
  </si>
  <si>
    <t>Mark Julian Read</t>
  </si>
  <si>
    <t>Terry K. Spencer</t>
  </si>
  <si>
    <t>Russell K. Girling</t>
  </si>
  <si>
    <t>Jeffrey L. Harmening</t>
  </si>
  <si>
    <t>Edward K. Aldag</t>
  </si>
  <si>
    <t>Owen D. Thomas</t>
  </si>
  <si>
    <t>Joseph D. Russell</t>
  </si>
  <si>
    <t>Arthur William Stein</t>
  </si>
  <si>
    <t>Thomas F. Farrell</t>
  </si>
  <si>
    <t>Sean Eugene Reilly</t>
  </si>
  <si>
    <t>Benjamin S. Butcher</t>
  </si>
  <si>
    <t>Richard K. Templeton</t>
  </si>
  <si>
    <t>Emma Walmsley</t>
  </si>
  <si>
    <t>Philip James Sanders</t>
  </si>
  <si>
    <t>George R. Oliver</t>
  </si>
  <si>
    <t>Lynn J. Good</t>
  </si>
  <si>
    <t>Salil S. Parekh</t>
  </si>
  <si>
    <t>Alan Jope</t>
  </si>
  <si>
    <t>Frédéric Oudéa</t>
  </si>
  <si>
    <t>Rael L. Diamond</t>
  </si>
  <si>
    <t>James F. Risoleo</t>
  </si>
  <si>
    <t>Christopher H. Volk</t>
  </si>
  <si>
    <t>Miguel Patricio</t>
  </si>
  <si>
    <t>Joseph M. Natale</t>
  </si>
  <si>
    <t>José Eduardo Cil</t>
  </si>
  <si>
    <t>Jeremy John Male</t>
  </si>
  <si>
    <t>Mark S. Little</t>
  </si>
  <si>
    <t>John David Williams</t>
  </si>
  <si>
    <t>Sachin G. Shah</t>
  </si>
  <si>
    <t>Dennis A. Muilenburg</t>
  </si>
  <si>
    <t>Conor C. Flynn</t>
  </si>
  <si>
    <t>Robert James Gamgort</t>
  </si>
  <si>
    <t>David M. Blackman</t>
  </si>
  <si>
    <t>Erik B. Nordstrom</t>
  </si>
  <si>
    <t>Nicholas K. Akins</t>
  </si>
  <si>
    <t>Mike Henry / Andrew Mackenzie</t>
  </si>
  <si>
    <t>Jeffrey Walker Martin</t>
  </si>
  <si>
    <t>Nicholas Jonathan Read</t>
  </si>
  <si>
    <t>Amos Ryals McMullian</t>
  </si>
  <si>
    <t>Charles S. MacFarlane</t>
  </si>
  <si>
    <t>Jason E. Fox</t>
  </si>
  <si>
    <t>W. Anthony Will</t>
  </si>
  <si>
    <t>Nathan A. Brown</t>
  </si>
  <si>
    <t>Ola Kaellenius</t>
  </si>
  <si>
    <t>Sumit Roy</t>
  </si>
  <si>
    <t>Willing L. Biddle</t>
  </si>
  <si>
    <t>Peter R. Voser / Björn Klas Otto Rosengren</t>
  </si>
  <si>
    <t>James R. Fitterling</t>
  </si>
  <si>
    <t>Josef Kaeser</t>
  </si>
  <si>
    <t>Jean-Sébastien Jacques</t>
  </si>
  <si>
    <t>Gerardo Norcia</t>
  </si>
  <si>
    <t>Joseph W. Gorder</t>
  </si>
  <si>
    <t>Martin Mucci</t>
  </si>
  <si>
    <t>Todd A. Penegor</t>
  </si>
  <si>
    <t>William David Mosley</t>
  </si>
  <si>
    <t>Timothy J. Naughton</t>
  </si>
  <si>
    <t>Julian E. Whitehurst</t>
  </si>
  <si>
    <t>Mark J. Parrell</t>
  </si>
  <si>
    <t>Thomas A. Fanning</t>
  </si>
  <si>
    <t>Michael J. Cooper / P. Jane Gavan</t>
  </si>
  <si>
    <t>James Joseph Murren</t>
  </si>
  <si>
    <t>Mark A. Clouse</t>
  </si>
  <si>
    <t>Brian D. Goldner</t>
  </si>
  <si>
    <t>Joseph Kevin Fletcher</t>
  </si>
  <si>
    <t>Matthew O. Maddox</t>
  </si>
  <si>
    <t>William Harold Spence</t>
  </si>
  <si>
    <t>Benjamin G. S. Fowke</t>
  </si>
  <si>
    <t>Richard Robinson</t>
  </si>
  <si>
    <t>Clifton Albert Pemble</t>
  </si>
  <si>
    <t>Randy Vernon Joseph Smallwood</t>
  </si>
  <si>
    <t>Alan B. Miller</t>
  </si>
  <si>
    <t>Fusen Ernie Chen</t>
  </si>
  <si>
    <t>Thomas F. Karam</t>
  </si>
  <si>
    <t>Michael Mark Manley</t>
  </si>
  <si>
    <t>Michael Spanos</t>
  </si>
  <si>
    <t>Olivier Le Peuch</t>
  </si>
  <si>
    <t>Thomas E. O'Hern</t>
  </si>
  <si>
    <t>Curtis Chatman Farmer</t>
  </si>
  <si>
    <t>Vicki A. Hollub</t>
  </si>
  <si>
    <t>Jonathan H. Cohen</t>
  </si>
  <si>
    <t>Gregory K. Silvers</t>
  </si>
  <si>
    <t>Bernardus Cornelis Adriana Margriet van Beurden</t>
  </si>
  <si>
    <t>Noel Quinn</t>
  </si>
  <si>
    <t>Stephen Murdoch</t>
  </si>
  <si>
    <t>David W. Kenny</t>
  </si>
  <si>
    <t>Darren W. Woods</t>
  </si>
  <si>
    <t>Kenneth G. Romanzi</t>
  </si>
  <si>
    <t>Christian P. Bayle</t>
  </si>
  <si>
    <t>José María Álvarez-Pallete López</t>
  </si>
  <si>
    <t>Michael Louis Corbat</t>
  </si>
  <si>
    <t>Seth Perry Bernstein</t>
  </si>
  <si>
    <t>Lorenzo Simonelli</t>
  </si>
  <si>
    <t>Eric Richard Colson</t>
  </si>
  <si>
    <t>Alexander Rijn Wynaendts</t>
  </si>
  <si>
    <t>Gary D. Kain</t>
  </si>
  <si>
    <t>Byron L. Boston</t>
  </si>
  <si>
    <t>Jeffrey K. Storey</t>
  </si>
  <si>
    <t>Paul E. Szurek</t>
  </si>
  <si>
    <t>Joe B. Alala</t>
  </si>
  <si>
    <t>Scott J. Ulm / Jeffrey J. Zimmer</t>
  </si>
  <si>
    <t>Robert W. Dudley</t>
  </si>
  <si>
    <t>Stephen P. Joyce</t>
  </si>
  <si>
    <t>Richard K. Matros</t>
  </si>
  <si>
    <t>John J. Christmann</t>
  </si>
  <si>
    <t>Eric Dee Long</t>
  </si>
  <si>
    <t>Joseph D. Randell</t>
  </si>
  <si>
    <t>Arthur P. Brazy</t>
  </si>
  <si>
    <t>Glenn J. Rufrano</t>
  </si>
  <si>
    <t>John W. Lindsay</t>
  </si>
  <si>
    <t>Christopher Timothy Frost</t>
  </si>
  <si>
    <t>Brian Richard Harris</t>
  </si>
  <si>
    <t>C. Marc Doyle</t>
  </si>
  <si>
    <t>Christian Mumenthaler</t>
  </si>
  <si>
    <t>Dwayne Louis Hyzak</t>
  </si>
  <si>
    <t>Jay A. Brown</t>
  </si>
  <si>
    <t>P. Jane Gavan</t>
  </si>
  <si>
    <t>André Calantzopoulos</t>
  </si>
  <si>
    <t>Oliver Zipse</t>
  </si>
  <si>
    <t>Michael Nierenberg</t>
  </si>
  <si>
    <t>William Leo Meaney</t>
  </si>
  <si>
    <t>R. Kipp deVeer</t>
  </si>
  <si>
    <t>Matthew John Lambiase</t>
  </si>
  <si>
    <t>Peter M. Carlino</t>
  </si>
  <si>
    <t>Stuart A. Rothstein</t>
  </si>
  <si>
    <t>Wendy L. Simpson</t>
  </si>
  <si>
    <t>Anthony W. Marino</t>
  </si>
  <si>
    <t>Taylor C. Pickett</t>
  </si>
  <si>
    <t>Gabriel Tirador</t>
  </si>
  <si>
    <t>Jeffrey H. Fisher</t>
  </si>
  <si>
    <t>James Larry Nelson</t>
  </si>
  <si>
    <t>Joe Robert Perkins</t>
  </si>
  <si>
    <t>Debra A. Cafaro</t>
  </si>
  <si>
    <t>Bradley S. Shaw</t>
  </si>
  <si>
    <t>Justin G. Knight</t>
  </si>
  <si>
    <t>John Francis Barry</t>
  </si>
  <si>
    <t>Rob Thomsen Ladd</t>
  </si>
  <si>
    <t>Richard A. Zimmerman</t>
  </si>
  <si>
    <t>Michael H. Dilger</t>
  </si>
  <si>
    <t>Ian E. Robertson</t>
  </si>
  <si>
    <t>George Alexander Cope</t>
  </si>
  <si>
    <t>Glenn A. Votek</t>
  </si>
  <si>
    <t>Stephen D. Plavin</t>
  </si>
  <si>
    <t>Mike M. Garland</t>
  </si>
  <si>
    <t>Thomas Philip Majewski</t>
  </si>
  <si>
    <t>David John Schulte</t>
  </si>
  <si>
    <t>Nathan Grant Kroeker</t>
  </si>
  <si>
    <t>Barry Stuart Sternlicht</t>
  </si>
  <si>
    <t>Mark Steven Walchirk</t>
  </si>
  <si>
    <t>Stephen Walter King</t>
  </si>
  <si>
    <t>Devin W. Stockfish</t>
  </si>
  <si>
    <t>James C. Stewart</t>
  </si>
  <si>
    <t>Howard Mark Lorber</t>
  </si>
  <si>
    <t>Brian Pauls</t>
  </si>
  <si>
    <t>Sheldon Gary Adelson</t>
  </si>
  <si>
    <t>John T. Thomas</t>
  </si>
  <si>
    <t>John E. Fischer</t>
  </si>
  <si>
    <t>Joseph R. Ficalora</t>
  </si>
  <si>
    <t>David J. Gladstone</t>
  </si>
  <si>
    <t>Fran Horowitz-Bonadies</t>
  </si>
  <si>
    <t>Bernardo Pinto Paiva</t>
  </si>
  <si>
    <t>William Cattell Trimble</t>
  </si>
  <si>
    <t>Mark J. Tritton</t>
  </si>
  <si>
    <t>Ole Bjarte Bjarte Hjertaker</t>
  </si>
  <si>
    <t>James C. Mastandrea</t>
  </si>
  <si>
    <t>Scott Bluestein</t>
  </si>
  <si>
    <t>Thomas J. DeRosa</t>
  </si>
  <si>
    <t>Peter T. F. M. Wennink</t>
  </si>
  <si>
    <t>Stephen Allen Schwarzman</t>
  </si>
  <si>
    <t>Leon David Black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</si>
  <si>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</si>
  <si>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</si>
  <si>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</si>
  <si>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</si>
  <si>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</si>
  <si>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</si>
  <si>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</si>
  <si>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Recep Bastug</t>
  </si>
  <si>
    <t>Terry Booth</t>
  </si>
  <si>
    <t>Kåre Schultz</t>
  </si>
  <si>
    <t>Richard F. Dauch</t>
  </si>
  <si>
    <t>Marc Russell Benioff / Keith G. Block</t>
  </si>
  <si>
    <t>Shantanu Narayen</t>
  </si>
  <si>
    <t>Frank J. Del Rio</t>
  </si>
  <si>
    <t>Oscar Munoz</t>
  </si>
  <si>
    <t>Sanjay Mehrotra</t>
  </si>
  <si>
    <t>Sergio P. Ermotti</t>
  </si>
  <si>
    <t>Warren Edward Buffett</t>
  </si>
  <si>
    <t>Yong Zhang</t>
  </si>
  <si>
    <t>Robert E. Cauley</t>
  </si>
  <si>
    <t>Jack Dorsey</t>
  </si>
  <si>
    <t>Makoto Uchida</t>
  </si>
  <si>
    <t>Jeffrey P. Bezos</t>
  </si>
  <si>
    <t>Gregory D. Johnson</t>
  </si>
  <si>
    <t>Mark Elliot Zuckerberg</t>
  </si>
  <si>
    <t>Sundar Pichai</t>
  </si>
  <si>
    <t>John J. Legere</t>
  </si>
  <si>
    <t>Michel Combes</t>
  </si>
  <si>
    <t>Tobias Albin Lütke</t>
  </si>
  <si>
    <t>Thomas Sinnickson Gayner / Richard Reeves Whitt</t>
  </si>
  <si>
    <t>Anthony G. Petrello</t>
  </si>
  <si>
    <t>William C. Rhodes</t>
  </si>
  <si>
    <t>William Andrew Hendricks</t>
  </si>
  <si>
    <t>Eduardo Bartolomeo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</si>
  <si>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</si>
  <si>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</si>
  <si>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</si>
  <si>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</si>
  <si>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</si>
  <si>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</si>
  <si>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</si>
  <si>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Elon Reeve Musk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</si>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</sst>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629</v>
      </c>
      <c r="D2">
        <v>0.001769911504424</v>
      </c>
      <c r="E2">
        <v>0.07203337901454931</v>
      </c>
      <c r="F2">
        <v>0.08</v>
      </c>
      <c r="G2">
        <v>0.1587793483849356</v>
      </c>
      <c r="H2" t="s">
        <v>633</v>
      </c>
      <c r="I2" t="s">
        <v>405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629</v>
      </c>
      <c r="D3">
        <v>0.02909796314258</v>
      </c>
      <c r="E3">
        <v>0.04745877023974199</v>
      </c>
      <c r="F3">
        <v>0.06</v>
      </c>
      <c r="G3">
        <v>0.1349457040853803</v>
      </c>
      <c r="H3" t="s">
        <v>633</v>
      </c>
      <c r="I3" t="s">
        <v>633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629</v>
      </c>
      <c r="D4">
        <v>0.018152454780361</v>
      </c>
      <c r="E4">
        <v>0.06289329562524149</v>
      </c>
      <c r="F4">
        <v>0.05</v>
      </c>
      <c r="G4">
        <v>0.1284647824318386</v>
      </c>
      <c r="H4" t="s">
        <v>633</v>
      </c>
      <c r="I4" t="s">
        <v>633</v>
      </c>
    </row>
    <row r="5" spans="1:9">
      <c r="A5" s="1" t="s">
        <v>12</v>
      </c>
      <c r="B5">
        <f>HYPERLINK("https://www.suredividend.com/sure-analysis-WBA","Walgreens Boots Alliance, Inc.")</f>
        <v>0</v>
      </c>
      <c r="C5" t="s">
        <v>629</v>
      </c>
      <c r="D5">
        <v>0.030441856482274</v>
      </c>
      <c r="E5">
        <v>0.04279467366953882</v>
      </c>
      <c r="F5">
        <v>0.05</v>
      </c>
      <c r="G5">
        <v>0.1218801108272836</v>
      </c>
      <c r="H5" t="s">
        <v>633</v>
      </c>
      <c r="I5" t="s">
        <v>633</v>
      </c>
    </row>
    <row r="6" spans="1:9">
      <c r="A6" s="1" t="s">
        <v>13</v>
      </c>
      <c r="B6">
        <f>HYPERLINK("https://www.suredividend.com/sure-analysis-AMP","Ameriprise Financial, Inc.")</f>
        <v>0</v>
      </c>
      <c r="C6" t="s">
        <v>629</v>
      </c>
      <c r="D6">
        <v>0.022249985127015</v>
      </c>
      <c r="E6">
        <v>0.01935620348287292</v>
      </c>
      <c r="F6">
        <v>0.08</v>
      </c>
      <c r="G6">
        <v>0.1201318324841862</v>
      </c>
      <c r="H6" t="s">
        <v>633</v>
      </c>
      <c r="I6" t="s">
        <v>634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629</v>
      </c>
      <c r="D7">
        <v>0.016162145634036</v>
      </c>
      <c r="E7">
        <v>0.01531043328313264</v>
      </c>
      <c r="F7">
        <v>0.08</v>
      </c>
      <c r="G7">
        <v>0.1148943599916632</v>
      </c>
      <c r="H7" t="s">
        <v>633</v>
      </c>
      <c r="I7" t="s">
        <v>494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629</v>
      </c>
      <c r="D8">
        <v>0.03550692273336301</v>
      </c>
      <c r="E8">
        <v>0.01398476453982189</v>
      </c>
      <c r="F8">
        <v>0.07000000000000001</v>
      </c>
      <c r="G8">
        <v>0.1123503219568034</v>
      </c>
      <c r="H8" t="s">
        <v>633</v>
      </c>
      <c r="I8" t="s">
        <v>633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629</v>
      </c>
      <c r="D9">
        <v>0.01147922115664</v>
      </c>
      <c r="E9">
        <v>0.04557877019519951</v>
      </c>
      <c r="F9">
        <v>0.05</v>
      </c>
      <c r="G9">
        <v>0.1079816936317539</v>
      </c>
      <c r="H9" t="s">
        <v>633</v>
      </c>
      <c r="I9" t="s">
        <v>494</v>
      </c>
    </row>
    <row r="10" spans="1:9">
      <c r="A10" s="1" t="s">
        <v>17</v>
      </c>
      <c r="B10">
        <f>HYPERLINK("https://www.suredividend.com/sure-analysis-ABC","AmerisourceBergen Corp.")</f>
        <v>0</v>
      </c>
      <c r="C10" t="s">
        <v>629</v>
      </c>
      <c r="D10">
        <v>0.018676316096649</v>
      </c>
      <c r="E10">
        <v>0.02934577324903853</v>
      </c>
      <c r="F10">
        <v>0.06</v>
      </c>
      <c r="G10">
        <v>0.1073539613441277</v>
      </c>
      <c r="H10" t="s">
        <v>633</v>
      </c>
      <c r="I10" t="s">
        <v>634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629</v>
      </c>
      <c r="D11">
        <v>0.036332910857625</v>
      </c>
      <c r="E11">
        <v>0.05882078772010413</v>
      </c>
      <c r="F11">
        <v>0.02</v>
      </c>
      <c r="G11">
        <v>0.1071400932106632</v>
      </c>
      <c r="H11" t="s">
        <v>633</v>
      </c>
      <c r="I11" t="s">
        <v>633</v>
      </c>
    </row>
    <row r="12" spans="1:9">
      <c r="A12" s="1" t="s">
        <v>19</v>
      </c>
      <c r="B12">
        <f>HYPERLINK("https://www.suredividend.com/sure-analysis-FDX","FedEx Corp.")</f>
        <v>0</v>
      </c>
      <c r="C12" t="s">
        <v>629</v>
      </c>
      <c r="D12">
        <v>0.017553335133675</v>
      </c>
      <c r="E12">
        <v>0.01932993907468838</v>
      </c>
      <c r="F12">
        <v>0.07000000000000001</v>
      </c>
      <c r="G12">
        <v>0.106862832910001</v>
      </c>
      <c r="H12" t="s">
        <v>633</v>
      </c>
      <c r="I12" t="s">
        <v>634</v>
      </c>
    </row>
    <row r="13" spans="1:9">
      <c r="A13" s="1" t="s">
        <v>20</v>
      </c>
      <c r="B13">
        <f>HYPERLINK("https://www.suredividend.com/sure-analysis-ALB","Albemarle Corp.")</f>
        <v>0</v>
      </c>
      <c r="C13" t="s">
        <v>629</v>
      </c>
      <c r="D13">
        <v>0.02043064241046</v>
      </c>
      <c r="E13">
        <v>0.007394106653087151</v>
      </c>
      <c r="F13">
        <v>0.08</v>
      </c>
      <c r="G13">
        <v>0.1062567192505164</v>
      </c>
      <c r="H13" t="s">
        <v>633</v>
      </c>
      <c r="I13" t="s">
        <v>634</v>
      </c>
    </row>
    <row r="14" spans="1:9">
      <c r="A14" s="1" t="s">
        <v>21</v>
      </c>
      <c r="B14">
        <f>HYPERLINK("https://www.suredividend.com/sure-analysis-PNGAY","Ping An Insurance (Group) Co. of China Ltd.")</f>
        <v>0</v>
      </c>
      <c r="C14" t="s">
        <v>629</v>
      </c>
      <c r="D14">
        <v>0.00742266384778</v>
      </c>
      <c r="E14">
        <v>0.002942463654836747</v>
      </c>
      <c r="F14">
        <v>0.08</v>
      </c>
      <c r="G14">
        <v>0.1035764478594559</v>
      </c>
      <c r="H14" t="s">
        <v>633</v>
      </c>
      <c r="I14" t="s">
        <v>405</v>
      </c>
    </row>
    <row r="15" spans="1:9">
      <c r="A15" s="1" t="s">
        <v>22</v>
      </c>
      <c r="B15">
        <f>HYPERLINK("https://www.suredividend.com/sure-analysis-IMO","Imperial Oil Ltd.")</f>
        <v>0</v>
      </c>
      <c r="C15" t="s">
        <v>629</v>
      </c>
      <c r="D15">
        <v>0.023909360746147</v>
      </c>
      <c r="E15">
        <v>0.0088213179340495</v>
      </c>
      <c r="F15">
        <v>0.07000000000000001</v>
      </c>
      <c r="G15">
        <v>0.1015219123892543</v>
      </c>
      <c r="H15" t="s">
        <v>633</v>
      </c>
      <c r="I15" t="s">
        <v>633</v>
      </c>
    </row>
    <row r="16" spans="1:9">
      <c r="A16" s="1" t="s">
        <v>23</v>
      </c>
      <c r="B16">
        <f>HYPERLINK("https://www.suredividend.com/sure-analysis-ALLY","Ally Financial, Inc.")</f>
        <v>0</v>
      </c>
      <c r="C16" t="s">
        <v>629</v>
      </c>
      <c r="D16">
        <v>0.021421616358325</v>
      </c>
      <c r="E16">
        <v>0.007608113773898584</v>
      </c>
      <c r="F16">
        <v>0.06</v>
      </c>
      <c r="G16">
        <v>0.08998957578367306</v>
      </c>
      <c r="H16" t="s">
        <v>633</v>
      </c>
      <c r="I16" t="s">
        <v>634</v>
      </c>
    </row>
    <row r="17" spans="1:9">
      <c r="A17" s="1" t="s">
        <v>24</v>
      </c>
      <c r="B17">
        <f>HYPERLINK("https://www.suredividend.com/sure-analysis-BEN","Franklin Resources, Inc.")</f>
        <v>0</v>
      </c>
      <c r="C17" t="s">
        <v>629</v>
      </c>
      <c r="D17">
        <v>0.040310077519379</v>
      </c>
      <c r="E17">
        <v>0.03062413800126618</v>
      </c>
      <c r="F17">
        <v>0.02</v>
      </c>
      <c r="G17">
        <v>0.08690299964209891</v>
      </c>
      <c r="H17" t="s">
        <v>633</v>
      </c>
      <c r="I17" t="s">
        <v>633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629</v>
      </c>
      <c r="D18">
        <v>0.009904761904761</v>
      </c>
      <c r="E18">
        <v>-0.0282144910993144</v>
      </c>
      <c r="F18">
        <v>0.1</v>
      </c>
      <c r="G18">
        <v>0.08632009553195341</v>
      </c>
      <c r="H18" t="s">
        <v>633</v>
      </c>
      <c r="I18" t="s">
        <v>494</v>
      </c>
    </row>
    <row r="19" spans="1:9">
      <c r="A19" s="1" t="s">
        <v>26</v>
      </c>
      <c r="B19">
        <f>HYPERLINK("https://www.suredividend.com/sure-analysis-DCI","Donaldson Co., Inc.")</f>
        <v>0</v>
      </c>
      <c r="C19" t="s">
        <v>629</v>
      </c>
      <c r="D19">
        <v>0.014130622092021</v>
      </c>
      <c r="E19">
        <v>-0.02549623555878733</v>
      </c>
      <c r="F19">
        <v>0.1</v>
      </c>
      <c r="G19">
        <v>0.08526736917684219</v>
      </c>
      <c r="H19" t="s">
        <v>633</v>
      </c>
      <c r="I19" t="s">
        <v>494</v>
      </c>
    </row>
    <row r="20" spans="1:9">
      <c r="A20" s="1" t="s">
        <v>27</v>
      </c>
      <c r="B20">
        <f>HYPERLINK("https://www.suredividend.com/sure-analysis-UMBF","UMB Financial Corp.")</f>
        <v>0</v>
      </c>
      <c r="C20" t="s">
        <v>629</v>
      </c>
      <c r="D20">
        <v>0.017241379310344</v>
      </c>
      <c r="E20">
        <v>-0.001730114172607378</v>
      </c>
      <c r="F20">
        <v>0.07000000000000001</v>
      </c>
      <c r="G20">
        <v>0.08463591719936869</v>
      </c>
      <c r="H20" t="s">
        <v>633</v>
      </c>
      <c r="I20" t="s">
        <v>634</v>
      </c>
    </row>
    <row r="21" spans="1:9">
      <c r="A21" s="1" t="s">
        <v>28</v>
      </c>
      <c r="B21">
        <f>HYPERLINK("https://www.suredividend.com/sure-analysis-CAT","Caterpillar, Inc.")</f>
        <v>0</v>
      </c>
      <c r="C21" t="s">
        <v>629</v>
      </c>
      <c r="D21">
        <v>0.024462966727654</v>
      </c>
      <c r="E21">
        <v>0.009872914278072464</v>
      </c>
      <c r="F21">
        <v>0.05</v>
      </c>
      <c r="G21">
        <v>0.0819836996879828</v>
      </c>
      <c r="H21" t="s">
        <v>633</v>
      </c>
      <c r="I21" t="s">
        <v>634</v>
      </c>
    </row>
    <row r="22" spans="1:9">
      <c r="A22" s="1" t="s">
        <v>29</v>
      </c>
      <c r="B22">
        <f>HYPERLINK("https://www.suredividend.com/sure-analysis-WEYS","Weyco Group, Inc.")</f>
        <v>0</v>
      </c>
      <c r="C22" t="s">
        <v>629</v>
      </c>
      <c r="D22">
        <v>0.03561955286093201</v>
      </c>
      <c r="E22">
        <v>0.03930284856375876</v>
      </c>
      <c r="F22">
        <v>0.01</v>
      </c>
      <c r="G22">
        <v>0.08106453600431895</v>
      </c>
      <c r="H22" t="s">
        <v>633</v>
      </c>
      <c r="I22" t="s">
        <v>633</v>
      </c>
    </row>
    <row r="23" spans="1:9">
      <c r="A23" s="1" t="s">
        <v>30</v>
      </c>
      <c r="B23">
        <f>HYPERLINK("https://www.suredividend.com/sure-analysis-ADM","Archer-Daniels-Midland Co.")</f>
        <v>0</v>
      </c>
      <c r="C23" t="s">
        <v>629</v>
      </c>
      <c r="D23">
        <v>0.030246778772657</v>
      </c>
      <c r="E23">
        <v>-0.007943500869174835</v>
      </c>
      <c r="F23">
        <v>0.061</v>
      </c>
      <c r="G23">
        <v>0.07994605036973246</v>
      </c>
      <c r="H23" t="s">
        <v>633</v>
      </c>
      <c r="I23" t="s">
        <v>633</v>
      </c>
    </row>
    <row r="24" spans="1:9">
      <c r="A24" s="1" t="s">
        <v>31</v>
      </c>
      <c r="B24">
        <f>HYPERLINK("https://www.suredividend.com/sure-analysis-PRGO","Perrigo Co. Plc")</f>
        <v>0</v>
      </c>
      <c r="C24" t="s">
        <v>629</v>
      </c>
      <c r="D24">
        <v>0.014619883040935</v>
      </c>
      <c r="E24">
        <v>0.01517563214254336</v>
      </c>
      <c r="F24">
        <v>0.05</v>
      </c>
      <c r="G24">
        <v>0.07937260828247661</v>
      </c>
      <c r="H24" t="s">
        <v>633</v>
      </c>
      <c r="I24" t="s">
        <v>494</v>
      </c>
    </row>
    <row r="25" spans="1:9">
      <c r="A25" s="1" t="s">
        <v>32</v>
      </c>
      <c r="B25">
        <f>HYPERLINK("https://www.suredividend.com/sure-analysis-CPKF","Chesapeake Financial Shares, Inc. (Maryland)")</f>
        <v>0</v>
      </c>
      <c r="C25" t="s">
        <v>629</v>
      </c>
      <c r="D25">
        <v>0.01996513876302</v>
      </c>
      <c r="E25">
        <v>0.01613736474159566</v>
      </c>
      <c r="F25">
        <v>0.04</v>
      </c>
      <c r="G25">
        <v>0.07801427393413851</v>
      </c>
      <c r="H25" t="s">
        <v>633</v>
      </c>
      <c r="I25" t="s">
        <v>633</v>
      </c>
    </row>
    <row r="26" spans="1:9">
      <c r="A26" s="1" t="s">
        <v>33</v>
      </c>
      <c r="B26">
        <f>HYPERLINK("https://www.suredividend.com/sure-analysis-NOC","Northrop Grumman Corp.")</f>
        <v>0</v>
      </c>
      <c r="C26" t="s">
        <v>629</v>
      </c>
      <c r="D26">
        <v>0.014570263941487</v>
      </c>
      <c r="E26">
        <v>-0.03398031940332924</v>
      </c>
      <c r="F26">
        <v>0.1</v>
      </c>
      <c r="G26">
        <v>0.07704804405639054</v>
      </c>
      <c r="H26" t="s">
        <v>633</v>
      </c>
      <c r="I26" t="s">
        <v>494</v>
      </c>
    </row>
    <row r="27" spans="1:9">
      <c r="A27" s="1" t="s">
        <v>34</v>
      </c>
      <c r="B27">
        <f>HYPERLINK("https://www.suredividend.com/sure-analysis-BDX","Becton, Dickinson &amp; Co.")</f>
        <v>0</v>
      </c>
      <c r="C27" t="s">
        <v>629</v>
      </c>
      <c r="D27">
        <v>0.011337701538688</v>
      </c>
      <c r="E27">
        <v>-0.03190660582562455</v>
      </c>
      <c r="F27">
        <v>0.1</v>
      </c>
      <c r="G27">
        <v>0.07648864304270253</v>
      </c>
      <c r="H27" t="s">
        <v>633</v>
      </c>
      <c r="I27" t="s">
        <v>634</v>
      </c>
    </row>
    <row r="28" spans="1:9">
      <c r="A28" s="1" t="s">
        <v>35</v>
      </c>
      <c r="B28">
        <f>HYPERLINK("https://www.suredividend.com/sure-analysis-GWW","W.W. Grainger, Inc.")</f>
        <v>0</v>
      </c>
      <c r="C28" t="s">
        <v>629</v>
      </c>
      <c r="D28">
        <v>0.016588169080837</v>
      </c>
      <c r="E28">
        <v>-0.009411550674497282</v>
      </c>
      <c r="F28">
        <v>0.07000000000000001</v>
      </c>
      <c r="G28">
        <v>0.07589822096644649</v>
      </c>
      <c r="H28" t="s">
        <v>633</v>
      </c>
      <c r="I28" t="s">
        <v>634</v>
      </c>
    </row>
    <row r="29" spans="1:9">
      <c r="A29" s="1" t="s">
        <v>36</v>
      </c>
      <c r="B29">
        <f>HYPERLINK("https://www.suredividend.com/sure-analysis-LUV","Southwest Airlines Co.")</f>
        <v>0</v>
      </c>
      <c r="C29" t="s">
        <v>629</v>
      </c>
      <c r="D29">
        <v>0.012447373238147</v>
      </c>
      <c r="E29">
        <v>0.001350912225932976</v>
      </c>
      <c r="F29">
        <v>0.06</v>
      </c>
      <c r="G29">
        <v>0.07531873725566363</v>
      </c>
      <c r="H29" t="s">
        <v>633</v>
      </c>
      <c r="I29" t="s">
        <v>494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629</v>
      </c>
      <c r="D30">
        <v>0.006693440428380001</v>
      </c>
      <c r="E30">
        <v>0.02857406568409582</v>
      </c>
      <c r="F30">
        <v>0.025</v>
      </c>
      <c r="G30">
        <v>0.07511945203002979</v>
      </c>
      <c r="H30" t="s">
        <v>633</v>
      </c>
      <c r="I30" t="s">
        <v>405</v>
      </c>
    </row>
    <row r="31" spans="1:9">
      <c r="A31" s="1" t="s">
        <v>38</v>
      </c>
      <c r="B31">
        <f>HYPERLINK("https://www.suredividend.com/sure-analysis-NC","NACCO Industries, Inc.")</f>
        <v>0</v>
      </c>
      <c r="C31" t="s">
        <v>629</v>
      </c>
      <c r="D31">
        <v>0.01489718841796</v>
      </c>
      <c r="E31">
        <v>0.04712720380092872</v>
      </c>
      <c r="F31">
        <v>0.01</v>
      </c>
      <c r="G31">
        <v>0.07490363601969463</v>
      </c>
      <c r="H31" t="s">
        <v>633</v>
      </c>
      <c r="I31" t="s">
        <v>634</v>
      </c>
    </row>
    <row r="32" spans="1:9">
      <c r="A32" s="1" t="s">
        <v>39</v>
      </c>
      <c r="B32">
        <f>HYPERLINK("https://www.suredividend.com/sure-analysis-BAM","Brookfield Asset Management, Inc.")</f>
        <v>0</v>
      </c>
      <c r="C32" t="s">
        <v>629</v>
      </c>
      <c r="D32">
        <v>0.010839741965659</v>
      </c>
      <c r="E32">
        <v>-0.01513921906588067</v>
      </c>
      <c r="F32">
        <v>0.08</v>
      </c>
      <c r="G32">
        <v>0.07330115272673798</v>
      </c>
      <c r="H32" t="s">
        <v>633</v>
      </c>
      <c r="I32" t="s">
        <v>494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629</v>
      </c>
      <c r="D33">
        <v>0.015966072096794</v>
      </c>
      <c r="E33">
        <v>0.0188122488630531</v>
      </c>
      <c r="F33">
        <v>0.02</v>
      </c>
      <c r="G33">
        <v>0.07211659856389763</v>
      </c>
      <c r="H33" t="s">
        <v>633</v>
      </c>
      <c r="I33" t="s">
        <v>494</v>
      </c>
    </row>
    <row r="34" spans="1:9">
      <c r="A34" s="1" t="s">
        <v>41</v>
      </c>
      <c r="B34">
        <f>HYPERLINK("https://www.suredividend.com/sure-analysis-CP","Canadian Pacific Railway Ltd.")</f>
        <v>0</v>
      </c>
      <c r="C34" t="s">
        <v>629</v>
      </c>
      <c r="D34">
        <v>0.008801358373388002</v>
      </c>
      <c r="E34">
        <v>-0.02087997894623606</v>
      </c>
      <c r="F34">
        <v>0.08500000000000001</v>
      </c>
      <c r="G34">
        <v>0.07126007539189172</v>
      </c>
      <c r="H34" t="s">
        <v>633</v>
      </c>
      <c r="I34" t="s">
        <v>405</v>
      </c>
    </row>
    <row r="35" spans="1:9">
      <c r="A35" s="1" t="s">
        <v>42</v>
      </c>
      <c r="B35">
        <f>HYPERLINK("https://www.suredividend.com/sure-analysis-SRCE","1st Source Corp.")</f>
        <v>0</v>
      </c>
      <c r="C35" t="s">
        <v>629</v>
      </c>
      <c r="D35">
        <v>0.020056764427625</v>
      </c>
      <c r="E35">
        <v>-0.02738140580424719</v>
      </c>
      <c r="F35">
        <v>0.08</v>
      </c>
      <c r="G35">
        <v>0.07067411919494782</v>
      </c>
      <c r="H35" t="s">
        <v>633</v>
      </c>
      <c r="I35" t="s">
        <v>634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629</v>
      </c>
      <c r="D36">
        <v>0.026284109149277</v>
      </c>
      <c r="E36">
        <v>0.03078951415516062</v>
      </c>
      <c r="F36">
        <v>0.015</v>
      </c>
      <c r="G36">
        <v>0.06999314892830322</v>
      </c>
      <c r="H36" t="s">
        <v>633</v>
      </c>
      <c r="I36" t="s">
        <v>633</v>
      </c>
    </row>
    <row r="37" spans="1:9">
      <c r="A37" s="1" t="s">
        <v>44</v>
      </c>
      <c r="B37">
        <f>HYPERLINK("https://www.suredividend.com/sure-analysis-CSX","CSX Corp.")</f>
        <v>0</v>
      </c>
      <c r="C37" t="s">
        <v>629</v>
      </c>
      <c r="D37">
        <v>0.012845039628313</v>
      </c>
      <c r="E37">
        <v>-0.03261386885262563</v>
      </c>
      <c r="F37">
        <v>0.09</v>
      </c>
      <c r="G37">
        <v>0.06972082150077274</v>
      </c>
      <c r="H37" t="s">
        <v>633</v>
      </c>
      <c r="I37" t="s">
        <v>494</v>
      </c>
    </row>
    <row r="38" spans="1:9">
      <c r="A38" s="1" t="s">
        <v>45</v>
      </c>
      <c r="B38">
        <f>HYPERLINK("https://www.suredividend.com/sure-analysis-JNJ","Johnson &amp; Johnson")</f>
        <v>0</v>
      </c>
      <c r="C38" t="s">
        <v>629</v>
      </c>
      <c r="D38">
        <v>0.025332055319731</v>
      </c>
      <c r="E38">
        <v>-0.01417115248744727</v>
      </c>
      <c r="F38">
        <v>0.06</v>
      </c>
      <c r="G38">
        <v>0.06921187487923164</v>
      </c>
      <c r="H38" t="s">
        <v>633</v>
      </c>
      <c r="I38" t="s">
        <v>633</v>
      </c>
    </row>
    <row r="39" spans="1:9">
      <c r="A39" s="1" t="s">
        <v>46</v>
      </c>
      <c r="B39">
        <f>HYPERLINK("https://www.suredividend.com/sure-analysis-LHX","L3Harris Technologies, Inc.")</f>
        <v>0</v>
      </c>
      <c r="C39" t="s">
        <v>629</v>
      </c>
      <c r="D39">
        <v>0.014025701285064</v>
      </c>
      <c r="E39">
        <v>-0.04244546129142779</v>
      </c>
      <c r="F39">
        <v>0.1</v>
      </c>
      <c r="G39">
        <v>0.06918895504295097</v>
      </c>
      <c r="H39" t="s">
        <v>633</v>
      </c>
      <c r="I39" t="s">
        <v>494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629</v>
      </c>
      <c r="D40">
        <v>0.022374249985981</v>
      </c>
      <c r="E40">
        <v>-0.01422741561455554</v>
      </c>
      <c r="F40">
        <v>0.06</v>
      </c>
      <c r="G40">
        <v>0.06804638792049333</v>
      </c>
      <c r="H40" t="s">
        <v>633</v>
      </c>
      <c r="I40" t="s">
        <v>634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629</v>
      </c>
      <c r="D41">
        <v>0.017205378768896</v>
      </c>
      <c r="E41">
        <v>-0.03345143973610565</v>
      </c>
      <c r="F41">
        <v>0.082</v>
      </c>
      <c r="G41">
        <v>0.06565736158452085</v>
      </c>
      <c r="H41" t="s">
        <v>633</v>
      </c>
      <c r="I41" t="s">
        <v>634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629</v>
      </c>
      <c r="D42">
        <v>0.015856134583776</v>
      </c>
      <c r="E42">
        <v>-0.02743374474364602</v>
      </c>
      <c r="F42">
        <v>0.078</v>
      </c>
      <c r="G42">
        <v>0.06492826625562276</v>
      </c>
      <c r="H42" t="s">
        <v>633</v>
      </c>
      <c r="I42" t="s">
        <v>634</v>
      </c>
    </row>
    <row r="43" spans="1:9">
      <c r="A43" s="1" t="s">
        <v>50</v>
      </c>
      <c r="B43">
        <f>HYPERLINK("https://www.suredividend.com/sure-analysis-PNR","Pentair Plc")</f>
        <v>0</v>
      </c>
      <c r="C43" t="s">
        <v>629</v>
      </c>
      <c r="D43">
        <v>0.015710832784003</v>
      </c>
      <c r="E43">
        <v>-0.01592433813729432</v>
      </c>
      <c r="F43">
        <v>0.065</v>
      </c>
      <c r="G43">
        <v>0.06398704937037536</v>
      </c>
      <c r="H43" t="s">
        <v>633</v>
      </c>
      <c r="I43" t="s">
        <v>634</v>
      </c>
    </row>
    <row r="44" spans="1:9">
      <c r="A44" s="1" t="s">
        <v>51</v>
      </c>
      <c r="B44">
        <f>HYPERLINK("https://www.suredividend.com/sure-analysis-UBSI","United Bankshares, Inc. (West Virginia)")</f>
        <v>0</v>
      </c>
      <c r="C44" t="s">
        <v>629</v>
      </c>
      <c r="D44">
        <v>0.035024465619366</v>
      </c>
      <c r="E44">
        <v>-0.03201347906401708</v>
      </c>
      <c r="F44">
        <v>0.06</v>
      </c>
      <c r="G44">
        <v>0.06199532749955283</v>
      </c>
      <c r="H44" t="s">
        <v>633</v>
      </c>
      <c r="I44" t="s">
        <v>633</v>
      </c>
    </row>
    <row r="45" spans="1:9">
      <c r="A45" s="1" t="s">
        <v>52</v>
      </c>
      <c r="B45">
        <f>HYPERLINK("https://www.suredividend.com/sure-analysis-BANF","BancFirst Corp. (Oklahoma)")</f>
        <v>0</v>
      </c>
      <c r="C45" t="s">
        <v>629</v>
      </c>
      <c r="D45">
        <v>0.019420566698503</v>
      </c>
      <c r="E45">
        <v>-0.009143725926620938</v>
      </c>
      <c r="F45">
        <v>0.05</v>
      </c>
      <c r="G45">
        <v>0.06107681527548503</v>
      </c>
      <c r="H45" t="s">
        <v>633</v>
      </c>
      <c r="I45" t="s">
        <v>634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629</v>
      </c>
      <c r="D46">
        <v>0.024318589848212</v>
      </c>
      <c r="E46">
        <v>-0.01434394297531139</v>
      </c>
      <c r="F46">
        <v>0.05</v>
      </c>
      <c r="G46">
        <v>0.06040760528466937</v>
      </c>
      <c r="H46" t="s">
        <v>633</v>
      </c>
      <c r="I46" t="s">
        <v>634</v>
      </c>
    </row>
    <row r="47" spans="1:9">
      <c r="A47" s="1" t="s">
        <v>54</v>
      </c>
      <c r="B47">
        <f>HYPERLINK("https://www.suredividend.com/sure-analysis-V","Visa, Inc.")</f>
        <v>0</v>
      </c>
      <c r="C47" t="s">
        <v>629</v>
      </c>
      <c r="D47">
        <v>0.00531914893617</v>
      </c>
      <c r="E47">
        <v>-0.05996451603775044</v>
      </c>
      <c r="F47">
        <v>0.12</v>
      </c>
      <c r="G47">
        <v>0.05961485120503651</v>
      </c>
      <c r="H47" t="s">
        <v>633</v>
      </c>
      <c r="I47" t="s">
        <v>405</v>
      </c>
    </row>
    <row r="48" spans="1:9">
      <c r="A48" s="1" t="s">
        <v>55</v>
      </c>
      <c r="B48">
        <f>HYPERLINK("https://www.suredividend.com/sure-analysis-EBTC","Enterprise Bancorp, Inc.")</f>
        <v>0</v>
      </c>
      <c r="C48" t="s">
        <v>629</v>
      </c>
      <c r="D48">
        <v>0.018006338231057</v>
      </c>
      <c r="E48">
        <v>-0.01005317922131321</v>
      </c>
      <c r="F48">
        <v>0.05</v>
      </c>
      <c r="G48">
        <v>0.05719959439184308</v>
      </c>
      <c r="H48" t="s">
        <v>633</v>
      </c>
      <c r="I48" t="s">
        <v>634</v>
      </c>
    </row>
    <row r="49" spans="1:9">
      <c r="A49" s="1" t="s">
        <v>56</v>
      </c>
      <c r="B49">
        <f>HYPERLINK("https://www.suredividend.com/sure-analysis-CNI","Canadian National Railway Co.")</f>
        <v>0</v>
      </c>
      <c r="C49" t="s">
        <v>629</v>
      </c>
      <c r="D49">
        <v>0.0171731734231</v>
      </c>
      <c r="E49">
        <v>-0.02971914299125678</v>
      </c>
      <c r="F49">
        <v>0.07000000000000001</v>
      </c>
      <c r="G49">
        <v>0.05604965017648755</v>
      </c>
      <c r="H49" t="s">
        <v>633</v>
      </c>
      <c r="I49" t="s">
        <v>494</v>
      </c>
    </row>
    <row r="50" spans="1:9">
      <c r="A50" s="1" t="s">
        <v>57</v>
      </c>
      <c r="B50">
        <f>HYPERLINK("https://www.suredividend.com/sure-analysis-ABM","ABM Industries, Inc.")</f>
        <v>0</v>
      </c>
      <c r="C50" t="s">
        <v>629</v>
      </c>
      <c r="D50">
        <v>0.01860465116279</v>
      </c>
      <c r="E50">
        <v>-0.01989768304307793</v>
      </c>
      <c r="F50">
        <v>0.06</v>
      </c>
      <c r="G50">
        <v>0.05563891830360257</v>
      </c>
      <c r="H50" t="s">
        <v>633</v>
      </c>
      <c r="I50" t="s">
        <v>634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629</v>
      </c>
      <c r="D51">
        <v>0.028375318426266</v>
      </c>
      <c r="E51">
        <v>-0.03217792550664944</v>
      </c>
      <c r="F51">
        <v>0.06</v>
      </c>
      <c r="G51">
        <v>0.05529159739966794</v>
      </c>
      <c r="H51" t="s">
        <v>633</v>
      </c>
      <c r="I51" t="s">
        <v>633</v>
      </c>
    </row>
    <row r="52" spans="1:9">
      <c r="A52" s="1" t="s">
        <v>59</v>
      </c>
      <c r="B52">
        <f>HYPERLINK("https://www.suredividend.com/sure-analysis-CTBI","Community Trust Bancorp, Inc. (Kentucky)")</f>
        <v>0</v>
      </c>
      <c r="C52" t="s">
        <v>629</v>
      </c>
      <c r="D52">
        <v>0.031083670427932</v>
      </c>
      <c r="E52">
        <v>-0.01750674152868748</v>
      </c>
      <c r="F52">
        <v>0.04</v>
      </c>
      <c r="G52">
        <v>0.0519082581308874</v>
      </c>
      <c r="H52" t="s">
        <v>633</v>
      </c>
      <c r="I52" t="s">
        <v>633</v>
      </c>
    </row>
    <row r="53" spans="1:9">
      <c r="A53" s="1" t="s">
        <v>60</v>
      </c>
      <c r="B53">
        <f>HYPERLINK("https://www.suredividend.com/sure-analysis-SON","Sonoco Products Co.")</f>
        <v>0</v>
      </c>
      <c r="C53" t="s">
        <v>629</v>
      </c>
      <c r="D53">
        <v>0.02700964630225</v>
      </c>
      <c r="E53">
        <v>-0.0243041428468711</v>
      </c>
      <c r="F53">
        <v>0.05</v>
      </c>
      <c r="G53">
        <v>0.05177938064339171</v>
      </c>
      <c r="H53" t="s">
        <v>633</v>
      </c>
      <c r="I53" t="s">
        <v>633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629</v>
      </c>
      <c r="D54">
        <v>0.009977324263038</v>
      </c>
      <c r="E54">
        <v>-0.03624516867165128</v>
      </c>
      <c r="F54">
        <v>0.08</v>
      </c>
      <c r="G54">
        <v>0.05093680101962006</v>
      </c>
      <c r="H54" t="s">
        <v>633</v>
      </c>
      <c r="I54" t="s">
        <v>494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629</v>
      </c>
      <c r="D55">
        <v>0.018469811210474</v>
      </c>
      <c r="E55">
        <v>-0.04486918575981746</v>
      </c>
      <c r="F55">
        <v>0.08</v>
      </c>
      <c r="G55">
        <v>0.05087210642797046</v>
      </c>
      <c r="H55" t="s">
        <v>633</v>
      </c>
      <c r="I55" t="s">
        <v>634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629</v>
      </c>
      <c r="D56">
        <v>0.016119294856314</v>
      </c>
      <c r="E56">
        <v>-0.04438767620451634</v>
      </c>
      <c r="F56">
        <v>0.08</v>
      </c>
      <c r="G56">
        <v>0.0500475273627301</v>
      </c>
      <c r="H56" t="s">
        <v>633</v>
      </c>
      <c r="I56" t="s">
        <v>634</v>
      </c>
    </row>
    <row r="57" spans="1:9">
      <c r="A57" s="1" t="s">
        <v>64</v>
      </c>
      <c r="B57">
        <f>HYPERLINK("https://www.suredividend.com/sure-analysis-MMM","3M Co.")</f>
        <v>0</v>
      </c>
      <c r="C57" t="s">
        <v>629</v>
      </c>
      <c r="D57">
        <v>0.032388663967611</v>
      </c>
      <c r="E57">
        <v>-0.03206500157451941</v>
      </c>
      <c r="F57">
        <v>0.05</v>
      </c>
      <c r="G57">
        <v>0.04977433090249406</v>
      </c>
      <c r="H57" t="s">
        <v>633</v>
      </c>
      <c r="I57" t="s">
        <v>633</v>
      </c>
    </row>
    <row r="58" spans="1:9">
      <c r="A58" s="1" t="s">
        <v>65</v>
      </c>
      <c r="B58">
        <f>HYPERLINK("https://www.suredividend.com/sure-analysis-CSL","Carlisle Cos., Inc.")</f>
        <v>0</v>
      </c>
      <c r="C58" t="s">
        <v>629</v>
      </c>
      <c r="D58">
        <v>0.010424970871404</v>
      </c>
      <c r="E58">
        <v>-0.03283403960035591</v>
      </c>
      <c r="F58">
        <v>0.07000000000000001</v>
      </c>
      <c r="G58">
        <v>0.04905955363349324</v>
      </c>
      <c r="H58" t="s">
        <v>633</v>
      </c>
      <c r="I58" t="s">
        <v>494</v>
      </c>
    </row>
    <row r="59" spans="1:9">
      <c r="A59" s="1" t="s">
        <v>66</v>
      </c>
      <c r="B59">
        <f>HYPERLINK("https://www.suredividend.com/sure-analysis-EV","Eaton Vance Corp.")</f>
        <v>0</v>
      </c>
      <c r="C59" t="s">
        <v>629</v>
      </c>
      <c r="D59">
        <v>0.030306252658443</v>
      </c>
      <c r="E59">
        <v>-0.04680046929454995</v>
      </c>
      <c r="F59">
        <v>0.065</v>
      </c>
      <c r="G59">
        <v>0.04883998553410196</v>
      </c>
      <c r="H59" t="s">
        <v>633</v>
      </c>
      <c r="I59" t="s">
        <v>633</v>
      </c>
    </row>
    <row r="60" spans="1:9">
      <c r="A60" s="1" t="s">
        <v>67</v>
      </c>
      <c r="B60">
        <f>HYPERLINK("https://www.suredividend.com/sure-analysis-OSK","Oshkosh Corp.")</f>
        <v>0</v>
      </c>
      <c r="C60" t="s">
        <v>629</v>
      </c>
      <c r="D60">
        <v>0.011424944462075</v>
      </c>
      <c r="E60">
        <v>-0.005411040770679776</v>
      </c>
      <c r="F60">
        <v>0.04</v>
      </c>
      <c r="G60">
        <v>0.04841260897313737</v>
      </c>
      <c r="H60" t="s">
        <v>633</v>
      </c>
      <c r="I60" t="s">
        <v>405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629</v>
      </c>
      <c r="D61">
        <v>0.013843351548269</v>
      </c>
      <c r="E61">
        <v>-0.02650488048558397</v>
      </c>
      <c r="F61">
        <v>0.06</v>
      </c>
      <c r="G61">
        <v>0.04790048682270398</v>
      </c>
      <c r="H61" t="s">
        <v>633</v>
      </c>
      <c r="I61" t="s">
        <v>494</v>
      </c>
    </row>
    <row r="62" spans="1:9">
      <c r="A62" s="1" t="s">
        <v>69</v>
      </c>
      <c r="B62">
        <f>HYPERLINK("https://www.suredividend.com/sure-analysis-AON","Aon Plc")</f>
        <v>0</v>
      </c>
      <c r="C62" t="s">
        <v>629</v>
      </c>
      <c r="D62">
        <v>0.008002667555851</v>
      </c>
      <c r="E62">
        <v>-0.05765480917091215</v>
      </c>
      <c r="F62">
        <v>0.1</v>
      </c>
      <c r="G62">
        <v>0.04650188756017637</v>
      </c>
      <c r="H62" t="s">
        <v>633</v>
      </c>
      <c r="I62" t="s">
        <v>405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629</v>
      </c>
      <c r="D63">
        <v>0.014720314033366</v>
      </c>
      <c r="E63">
        <v>-0.03825089168001394</v>
      </c>
      <c r="F63">
        <v>0.07000000000000001</v>
      </c>
      <c r="G63">
        <v>0.04515815238016008</v>
      </c>
      <c r="H63" t="s">
        <v>633</v>
      </c>
      <c r="I63" t="s">
        <v>634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629</v>
      </c>
      <c r="D64">
        <v>0.025698177527205</v>
      </c>
      <c r="E64">
        <v>-0.02851066377181455</v>
      </c>
      <c r="F64">
        <v>0.05</v>
      </c>
      <c r="G64">
        <v>0.04433331451223843</v>
      </c>
      <c r="H64" t="s">
        <v>633</v>
      </c>
      <c r="I64" t="s">
        <v>633</v>
      </c>
    </row>
    <row r="65" spans="1:9">
      <c r="A65" s="1" t="s">
        <v>72</v>
      </c>
      <c r="B65">
        <f>HYPERLINK("https://www.suredividend.com/sure-analysis-CB","Chubb Ltd.")</f>
        <v>0</v>
      </c>
      <c r="C65" t="s">
        <v>629</v>
      </c>
      <c r="D65">
        <v>0.019030474476019</v>
      </c>
      <c r="E65">
        <v>-0.03523786143704688</v>
      </c>
      <c r="F65">
        <v>0.06</v>
      </c>
      <c r="G65">
        <v>0.04285983570672536</v>
      </c>
      <c r="H65" t="s">
        <v>633</v>
      </c>
      <c r="I65" t="s">
        <v>634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629</v>
      </c>
      <c r="D66">
        <v>0.020135491155438</v>
      </c>
      <c r="E66">
        <v>-0.03704448388956449</v>
      </c>
      <c r="F66">
        <v>0.06</v>
      </c>
      <c r="G66">
        <v>0.04178202696351874</v>
      </c>
      <c r="H66" t="s">
        <v>633</v>
      </c>
      <c r="I66" t="s">
        <v>633</v>
      </c>
    </row>
    <row r="67" spans="1:9">
      <c r="A67" s="1" t="s">
        <v>74</v>
      </c>
      <c r="B67">
        <f>HYPERLINK("https://www.suredividend.com/sure-analysis-FUL","H.B. Fuller Co.")</f>
        <v>0</v>
      </c>
      <c r="C67" t="s">
        <v>629</v>
      </c>
      <c r="D67">
        <v>0.012287887653598</v>
      </c>
      <c r="E67">
        <v>-0.02575129033651014</v>
      </c>
      <c r="F67">
        <v>0.05</v>
      </c>
      <c r="G67">
        <v>0.03607966796194306</v>
      </c>
      <c r="H67" t="s">
        <v>633</v>
      </c>
      <c r="I67" t="s">
        <v>634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629</v>
      </c>
      <c r="D68">
        <v>0.018258426966292</v>
      </c>
      <c r="E68">
        <v>-0.05032164617410684</v>
      </c>
      <c r="F68">
        <v>0.07000000000000001</v>
      </c>
      <c r="G68">
        <v>0.03599921622486835</v>
      </c>
      <c r="H68" t="s">
        <v>633</v>
      </c>
      <c r="I68" t="s">
        <v>634</v>
      </c>
    </row>
    <row r="69" spans="1:9">
      <c r="A69" s="1" t="s">
        <v>76</v>
      </c>
      <c r="B69">
        <f>HYPERLINK("https://www.suredividend.com/sure-analysis-THFF","First Financial Corp. (Indiana)")</f>
        <v>0</v>
      </c>
      <c r="C69" t="s">
        <v>629</v>
      </c>
      <c r="D69">
        <v>0.022203061004526</v>
      </c>
      <c r="E69">
        <v>-0.0105230976581655</v>
      </c>
      <c r="F69">
        <v>0.02</v>
      </c>
      <c r="G69">
        <v>0.03498329885377394</v>
      </c>
      <c r="H69" t="s">
        <v>633</v>
      </c>
      <c r="I69" t="s">
        <v>633</v>
      </c>
    </row>
    <row r="70" spans="1:9">
      <c r="A70" s="1" t="s">
        <v>77</v>
      </c>
      <c r="B70">
        <f>HYPERLINK("https://www.suredividend.com/sure-analysis-SPGI","S&amp;P Global, Inc.")</f>
        <v>0</v>
      </c>
      <c r="C70" t="s">
        <v>629</v>
      </c>
      <c r="D70">
        <v>0.008135168961201001</v>
      </c>
      <c r="E70">
        <v>-0.07097707584748003</v>
      </c>
      <c r="F70">
        <v>0.1</v>
      </c>
      <c r="G70">
        <v>0.03344921231940012</v>
      </c>
      <c r="H70" t="s">
        <v>633</v>
      </c>
      <c r="I70" t="s">
        <v>494</v>
      </c>
    </row>
    <row r="71" spans="1:9">
      <c r="A71" s="1" t="s">
        <v>78</v>
      </c>
      <c r="B71">
        <f>HYPERLINK("https://www.suredividend.com/sure-analysis-MA","Mastercard, Inc.")</f>
        <v>0</v>
      </c>
      <c r="C71" t="s">
        <v>629</v>
      </c>
      <c r="D71">
        <v>0.004421073785042</v>
      </c>
      <c r="E71">
        <v>-0.106528815310555</v>
      </c>
      <c r="F71">
        <v>0.15</v>
      </c>
      <c r="G71">
        <v>0.03338179487321913</v>
      </c>
      <c r="H71" t="s">
        <v>633</v>
      </c>
      <c r="I71" t="s">
        <v>405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629</v>
      </c>
      <c r="D72">
        <v>0.025755450720387</v>
      </c>
      <c r="E72">
        <v>-0.04286837343483341</v>
      </c>
      <c r="F72">
        <v>0.045</v>
      </c>
      <c r="G72">
        <v>0.02920303625908249</v>
      </c>
      <c r="H72" t="s">
        <v>633</v>
      </c>
      <c r="I72" t="s">
        <v>634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629</v>
      </c>
      <c r="D73">
        <v>0.016784068179841</v>
      </c>
      <c r="E73">
        <v>-0.037473475513643</v>
      </c>
      <c r="F73">
        <v>0.05</v>
      </c>
      <c r="G73">
        <v>0.02857466380164642</v>
      </c>
      <c r="H73" t="s">
        <v>633</v>
      </c>
      <c r="I73" t="s">
        <v>634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629</v>
      </c>
      <c r="D74">
        <v>0.008591512626920001</v>
      </c>
      <c r="E74">
        <v>-0.07746036741122475</v>
      </c>
      <c r="F74">
        <v>0.1</v>
      </c>
      <c r="G74">
        <v>0.02641265440434215</v>
      </c>
      <c r="H74" t="s">
        <v>633</v>
      </c>
      <c r="I74" t="s">
        <v>494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629</v>
      </c>
      <c r="D75">
        <v>0.012178148921363</v>
      </c>
      <c r="E75">
        <v>-0.05421047548174551</v>
      </c>
      <c r="F75">
        <v>0.07000000000000001</v>
      </c>
      <c r="G75">
        <v>0.02619798259923267</v>
      </c>
      <c r="H75" t="s">
        <v>633</v>
      </c>
      <c r="I75" t="s">
        <v>494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629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633</v>
      </c>
      <c r="I76" t="s">
        <v>634</v>
      </c>
    </row>
    <row r="77" spans="1:9">
      <c r="A77" s="1" t="s">
        <v>84</v>
      </c>
      <c r="B77">
        <f>HYPERLINK("https://www.suredividend.com/sure-analysis-PG","Procter &amp; Gamble Co.")</f>
        <v>0</v>
      </c>
      <c r="C77" t="s">
        <v>629</v>
      </c>
      <c r="D77">
        <v>0.023342373962986</v>
      </c>
      <c r="E77">
        <v>-0.05196919384972276</v>
      </c>
      <c r="F77">
        <v>0.05</v>
      </c>
      <c r="G77">
        <v>0.02171383508172653</v>
      </c>
      <c r="H77" t="s">
        <v>633</v>
      </c>
      <c r="I77" t="s">
        <v>633</v>
      </c>
    </row>
    <row r="78" spans="1:9">
      <c r="A78" s="1" t="s">
        <v>85</v>
      </c>
      <c r="B78">
        <f>HYPERLINK("https://www.suredividend.com/sure-analysis-MDT","Medtronic Plc")</f>
        <v>0</v>
      </c>
      <c r="C78" t="s">
        <v>629</v>
      </c>
      <c r="D78">
        <v>0.01828732196237</v>
      </c>
      <c r="E78">
        <v>-0.0588188675561091</v>
      </c>
      <c r="F78">
        <v>0.06</v>
      </c>
      <c r="G78">
        <v>0.02060346701749971</v>
      </c>
      <c r="H78" t="s">
        <v>633</v>
      </c>
      <c r="I78" t="s">
        <v>634</v>
      </c>
    </row>
    <row r="79" spans="1:9">
      <c r="A79" s="1" t="s">
        <v>86</v>
      </c>
      <c r="B79">
        <f>HYPERLINK("https://www.suredividend.com/sure-analysis-ITW","Illinois Tool Works, Inc.")</f>
        <v>0</v>
      </c>
      <c r="C79" t="s">
        <v>629</v>
      </c>
      <c r="D79">
        <v>0.022572236703455</v>
      </c>
      <c r="E79">
        <v>-0.06189749326886496</v>
      </c>
      <c r="F79">
        <v>0.06</v>
      </c>
      <c r="G79">
        <v>0.02018068199172185</v>
      </c>
      <c r="H79" t="s">
        <v>633</v>
      </c>
      <c r="I79" t="s">
        <v>634</v>
      </c>
    </row>
    <row r="80" spans="1:9">
      <c r="A80" s="1" t="s">
        <v>87</v>
      </c>
      <c r="B80">
        <f>HYPERLINK("https://www.suredividend.com/sure-analysis-BRC","Brady Corp.")</f>
        <v>0</v>
      </c>
      <c r="C80" t="s">
        <v>629</v>
      </c>
      <c r="D80">
        <v>0.014866979655712</v>
      </c>
      <c r="E80">
        <v>-0.04368076117410946</v>
      </c>
      <c r="F80">
        <v>0.05</v>
      </c>
      <c r="G80">
        <v>0.01875076215184279</v>
      </c>
      <c r="H80" t="s">
        <v>633</v>
      </c>
      <c r="I80" t="s">
        <v>494</v>
      </c>
    </row>
    <row r="81" spans="1:9">
      <c r="A81" s="1" t="s">
        <v>88</v>
      </c>
      <c r="B81">
        <f>HYPERLINK("https://www.suredividend.com/sure-analysis-CBSH","Commerce Bancshares, Inc. (Missouri)")</f>
        <v>0</v>
      </c>
      <c r="C81" t="s">
        <v>629</v>
      </c>
      <c r="D81">
        <v>0.014690619054588</v>
      </c>
      <c r="E81">
        <v>-0.06055422688634371</v>
      </c>
      <c r="F81">
        <v>0.063</v>
      </c>
      <c r="G81">
        <v>0.01710222594304267</v>
      </c>
      <c r="H81" t="s">
        <v>633</v>
      </c>
      <c r="I81" t="s">
        <v>634</v>
      </c>
    </row>
    <row r="82" spans="1:9">
      <c r="A82" s="1" t="s">
        <v>89</v>
      </c>
      <c r="B82">
        <f>HYPERLINK("https://www.suredividend.com/sure-analysis-BRO","Brown &amp; Brown, Inc.")</f>
        <v>0</v>
      </c>
      <c r="C82" t="s">
        <v>629</v>
      </c>
      <c r="D82">
        <v>0.007950310559006</v>
      </c>
      <c r="E82">
        <v>-0.07000967743947428</v>
      </c>
      <c r="F82">
        <v>0.08</v>
      </c>
      <c r="G82">
        <v>0.01544190840046755</v>
      </c>
      <c r="H82" t="s">
        <v>633</v>
      </c>
      <c r="I82" t="s">
        <v>494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629</v>
      </c>
      <c r="D83">
        <v>0.020131629887727</v>
      </c>
      <c r="E83">
        <v>-0.06558740568918253</v>
      </c>
      <c r="F83">
        <v>0.06</v>
      </c>
      <c r="G83">
        <v>0.01463826200598128</v>
      </c>
      <c r="H83" t="s">
        <v>633</v>
      </c>
      <c r="I83" t="s">
        <v>633</v>
      </c>
    </row>
    <row r="84" spans="1:9">
      <c r="A84" s="1" t="s">
        <v>91</v>
      </c>
      <c r="B84">
        <f>HYPERLINK("https://www.suredividend.com/sure-analysis-MKC","McCormick &amp; Co., Inc.")</f>
        <v>0</v>
      </c>
      <c r="C84" t="s">
        <v>629</v>
      </c>
      <c r="D84">
        <v>0.013254086181277</v>
      </c>
      <c r="E84">
        <v>-0.07816628063084141</v>
      </c>
      <c r="F84">
        <v>0.08</v>
      </c>
      <c r="G84">
        <v>0.01296482775016572</v>
      </c>
      <c r="H84" t="s">
        <v>633</v>
      </c>
      <c r="I84" t="s">
        <v>494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629</v>
      </c>
      <c r="D85">
        <v>0.005246292147576001</v>
      </c>
      <c r="E85">
        <v>-0.06873015774186797</v>
      </c>
      <c r="F85">
        <v>0.08</v>
      </c>
      <c r="G85">
        <v>0.01256588766762201</v>
      </c>
      <c r="H85" t="s">
        <v>633</v>
      </c>
      <c r="I85" t="s">
        <v>494</v>
      </c>
    </row>
    <row r="86" spans="1:9">
      <c r="A86" s="1" t="s">
        <v>93</v>
      </c>
      <c r="B86">
        <f>HYPERLINK("https://www.suredividend.com/sure-analysis-SHW","The Sherwin-Williams Co.")</f>
        <v>0</v>
      </c>
      <c r="C86" t="s">
        <v>629</v>
      </c>
      <c r="D86">
        <v>0.007315225997452</v>
      </c>
      <c r="E86">
        <v>-0.06372587806434316</v>
      </c>
      <c r="F86">
        <v>0.07000000000000001</v>
      </c>
      <c r="G86">
        <v>0.01232612470308658</v>
      </c>
      <c r="H86" t="s">
        <v>633</v>
      </c>
      <c r="I86" t="s">
        <v>494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629</v>
      </c>
      <c r="D87">
        <v>0.012655224234754</v>
      </c>
      <c r="E87">
        <v>-0.06160099659160845</v>
      </c>
      <c r="F87">
        <v>0.06</v>
      </c>
      <c r="G87">
        <v>0.01116017245706669</v>
      </c>
      <c r="H87" t="s">
        <v>633</v>
      </c>
      <c r="I87" t="s">
        <v>634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629</v>
      </c>
      <c r="D88">
        <v>0.009750527055516</v>
      </c>
      <c r="E88">
        <v>-0.06812208356067861</v>
      </c>
      <c r="F88">
        <v>0.07000000000000001</v>
      </c>
      <c r="G88">
        <v>0.0093587411888294</v>
      </c>
      <c r="H88" t="s">
        <v>633</v>
      </c>
      <c r="I88" t="s">
        <v>494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629</v>
      </c>
      <c r="D89">
        <v>0.024691358024691</v>
      </c>
      <c r="E89">
        <v>-0.05825516650174434</v>
      </c>
      <c r="F89">
        <v>0.04</v>
      </c>
      <c r="G89">
        <v>0.008470722940311814</v>
      </c>
      <c r="H89" t="s">
        <v>633</v>
      </c>
      <c r="I89" t="s">
        <v>633</v>
      </c>
    </row>
    <row r="90" spans="1:9">
      <c r="A90" s="1" t="s">
        <v>97</v>
      </c>
      <c r="B90">
        <f>HYPERLINK("https://www.suredividend.com/sure-analysis-TNC","Tennant Co.")</f>
        <v>0</v>
      </c>
      <c r="C90" t="s">
        <v>629</v>
      </c>
      <c r="D90">
        <v>0.011231652839821</v>
      </c>
      <c r="E90">
        <v>-0.08228837088548568</v>
      </c>
      <c r="F90">
        <v>0.08500000000000001</v>
      </c>
      <c r="G90">
        <v>0.008123451288608807</v>
      </c>
      <c r="H90" t="s">
        <v>633</v>
      </c>
      <c r="I90" t="s">
        <v>494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629</v>
      </c>
      <c r="D91">
        <v>0.018734109460725</v>
      </c>
      <c r="E91">
        <v>-0.06291333992015491</v>
      </c>
      <c r="F91">
        <v>0.05</v>
      </c>
      <c r="G91">
        <v>0.00613569362704669</v>
      </c>
      <c r="H91" t="s">
        <v>633</v>
      </c>
      <c r="I91" t="s">
        <v>634</v>
      </c>
    </row>
    <row r="92" spans="1:9">
      <c r="A92" s="1" t="s">
        <v>99</v>
      </c>
      <c r="B92">
        <f>HYPERLINK("https://www.suredividend.com/sure-analysis-AAP","Advance Auto Parts, Inc.")</f>
        <v>0</v>
      </c>
      <c r="C92" t="s">
        <v>629</v>
      </c>
      <c r="D92">
        <v>0.001517834556033</v>
      </c>
      <c r="E92">
        <v>-0.04439866480122356</v>
      </c>
      <c r="F92">
        <v>0.05</v>
      </c>
      <c r="G92">
        <v>0.004874429406409364</v>
      </c>
      <c r="H92" t="s">
        <v>633</v>
      </c>
      <c r="I92" t="s">
        <v>405</v>
      </c>
    </row>
    <row r="93" spans="1:9">
      <c r="A93" s="1" t="s">
        <v>100</v>
      </c>
      <c r="B93">
        <f>HYPERLINK("https://www.suredividend.com/sure-analysis-GE","General Electric Co.")</f>
        <v>0</v>
      </c>
      <c r="C93" t="s">
        <v>629</v>
      </c>
      <c r="D93">
        <v>0.003626473254759</v>
      </c>
      <c r="E93">
        <v>-0.09761122453028814</v>
      </c>
      <c r="F93">
        <v>0.107</v>
      </c>
      <c r="G93">
        <v>0.002559933920775803</v>
      </c>
      <c r="H93" t="s">
        <v>633</v>
      </c>
      <c r="I93" t="s">
        <v>405</v>
      </c>
    </row>
    <row r="94" spans="1:9">
      <c r="A94" s="1" t="s">
        <v>101</v>
      </c>
      <c r="B94">
        <f>HYPERLINK("https://www.suredividend.com/sure-analysis-NVDA","NVIDIA Corp.")</f>
        <v>0</v>
      </c>
      <c r="C94" t="s">
        <v>629</v>
      </c>
      <c r="D94">
        <v>0.002673685090027</v>
      </c>
      <c r="E94">
        <v>-0.1319145890966922</v>
      </c>
      <c r="F94">
        <v>0.15</v>
      </c>
      <c r="G94">
        <v>0.002147501491519543</v>
      </c>
      <c r="H94" t="s">
        <v>633</v>
      </c>
      <c r="I94" t="s">
        <v>405</v>
      </c>
    </row>
    <row r="95" spans="1:9">
      <c r="A95" s="1" t="s">
        <v>102</v>
      </c>
      <c r="B95">
        <f>HYPERLINK("https://www.suredividend.com/sure-analysis-ECL","Ecolab, Inc.")</f>
        <v>0</v>
      </c>
      <c r="C95" t="s">
        <v>629</v>
      </c>
      <c r="D95">
        <v>0.009622424432590001</v>
      </c>
      <c r="E95">
        <v>-0.0935778503077227</v>
      </c>
      <c r="F95">
        <v>0.09</v>
      </c>
      <c r="G95">
        <v>0.0007501230281825588</v>
      </c>
      <c r="H95" t="s">
        <v>633</v>
      </c>
      <c r="I95" t="s">
        <v>405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629</v>
      </c>
      <c r="D96">
        <v>0.005399116347569</v>
      </c>
      <c r="E96">
        <v>-0.02443481057047547</v>
      </c>
      <c r="F96">
        <v>0.017</v>
      </c>
      <c r="G96">
        <v>-0.001994528947446228</v>
      </c>
      <c r="H96" t="s">
        <v>633</v>
      </c>
      <c r="I96" t="s">
        <v>405</v>
      </c>
    </row>
    <row r="97" spans="1:9">
      <c r="A97" s="1" t="s">
        <v>104</v>
      </c>
      <c r="B97">
        <f>HYPERLINK("https://www.suredividend.com/sure-analysis-AUY","Yamana Gold, Inc.")</f>
        <v>0</v>
      </c>
      <c r="C97" t="s">
        <v>629</v>
      </c>
      <c r="D97">
        <v>0.007230365220437</v>
      </c>
      <c r="E97">
        <v>-0.03054555995603603</v>
      </c>
      <c r="F97">
        <v>0.018</v>
      </c>
      <c r="G97">
        <v>-0.003907951325242687</v>
      </c>
      <c r="H97" t="s">
        <v>633</v>
      </c>
      <c r="I97" t="s">
        <v>405</v>
      </c>
    </row>
    <row r="98" spans="1:9">
      <c r="A98" s="1" t="s">
        <v>105</v>
      </c>
      <c r="B98">
        <f>HYPERLINK("https://www.suredividend.com/sure-analysis-TR","Tootsie Roll Industries, Inc.")</f>
        <v>0</v>
      </c>
      <c r="C98" t="s">
        <v>629</v>
      </c>
      <c r="D98">
        <v>0.010144695453245</v>
      </c>
      <c r="E98">
        <v>-0.04348346969894823</v>
      </c>
      <c r="F98">
        <v>0.03</v>
      </c>
      <c r="G98">
        <v>-0.004095903083054631</v>
      </c>
      <c r="H98" t="s">
        <v>633</v>
      </c>
      <c r="I98" t="s">
        <v>494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629</v>
      </c>
      <c r="D99">
        <v>0.018683274021352</v>
      </c>
      <c r="E99">
        <v>-0.06574649650043451</v>
      </c>
      <c r="F99">
        <v>0.04</v>
      </c>
      <c r="G99">
        <v>-0.004828961313187108</v>
      </c>
      <c r="H99" t="s">
        <v>633</v>
      </c>
      <c r="I99" t="s">
        <v>634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629</v>
      </c>
      <c r="D100">
        <v>0.016570706361466</v>
      </c>
      <c r="E100">
        <v>-0.09596448102483279</v>
      </c>
      <c r="F100">
        <v>0.076</v>
      </c>
      <c r="G100">
        <v>-0.007838085744109269</v>
      </c>
      <c r="H100" t="s">
        <v>633</v>
      </c>
      <c r="I100" t="s">
        <v>494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629</v>
      </c>
      <c r="D101">
        <v>0.01</v>
      </c>
      <c r="E101">
        <v>-0.05844359085326611</v>
      </c>
      <c r="F101">
        <v>0.04</v>
      </c>
      <c r="G101">
        <v>-0.008336089917134415</v>
      </c>
      <c r="H101" t="s">
        <v>633</v>
      </c>
      <c r="I101" t="s">
        <v>494</v>
      </c>
    </row>
    <row r="102" spans="1:9">
      <c r="A102" s="1" t="s">
        <v>109</v>
      </c>
      <c r="B102">
        <f>HYPERLINK("https://www.suredividend.com/sure-analysis-GRC","The Gorman-Rupp Co.")</f>
        <v>0</v>
      </c>
      <c r="C102" t="s">
        <v>629</v>
      </c>
      <c r="D102">
        <v>0.014055179593961</v>
      </c>
      <c r="E102">
        <v>-0.0681172326069327</v>
      </c>
      <c r="F102">
        <v>0.045</v>
      </c>
      <c r="G102">
        <v>-0.009133104126250235</v>
      </c>
      <c r="H102" t="s">
        <v>633</v>
      </c>
      <c r="I102" t="s">
        <v>634</v>
      </c>
    </row>
    <row r="103" spans="1:9">
      <c r="A103" s="1" t="s">
        <v>110</v>
      </c>
      <c r="B103">
        <f>HYPERLINK("https://www.suredividend.com/sure-analysis-TMP","Tompkins Financial Corp.")</f>
        <v>0</v>
      </c>
      <c r="C103" t="s">
        <v>629</v>
      </c>
      <c r="D103">
        <v>0.02196112880202</v>
      </c>
      <c r="E103">
        <v>-0.07702295564937822</v>
      </c>
      <c r="F103">
        <v>0.04</v>
      </c>
      <c r="G103">
        <v>-0.01267287868407452</v>
      </c>
      <c r="H103" t="s">
        <v>633</v>
      </c>
      <c r="I103" t="s">
        <v>634</v>
      </c>
    </row>
    <row r="104" spans="1:9">
      <c r="A104" s="1" t="s">
        <v>111</v>
      </c>
      <c r="B104">
        <f>HYPERLINK("https://www.suredividend.com/sure-analysis-NDSN","Nordson Corp.")</f>
        <v>0</v>
      </c>
      <c r="C104" t="s">
        <v>629</v>
      </c>
      <c r="D104">
        <v>0.008698825962649001</v>
      </c>
      <c r="E104">
        <v>-0.08058904957686286</v>
      </c>
      <c r="F104">
        <v>0.06</v>
      </c>
      <c r="G104">
        <v>-0.0139452696378497</v>
      </c>
      <c r="H104" t="s">
        <v>633</v>
      </c>
      <c r="I104" t="s">
        <v>494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629</v>
      </c>
      <c r="D105">
        <v>0.009953530205366001</v>
      </c>
      <c r="E105">
        <v>-0.1112038664126633</v>
      </c>
      <c r="F105">
        <v>0.08799999999999999</v>
      </c>
      <c r="G105">
        <v>-0.01905747004442171</v>
      </c>
      <c r="H105" t="s">
        <v>633</v>
      </c>
      <c r="I105" t="s">
        <v>494</v>
      </c>
    </row>
    <row r="106" spans="1:9">
      <c r="A106" s="1" t="s">
        <v>113</v>
      </c>
      <c r="B106">
        <f>HYPERLINK("https://www.suredividend.com/sure-analysis-WMT","Walmart, Inc.")</f>
        <v>0</v>
      </c>
      <c r="C106" t="s">
        <v>629</v>
      </c>
      <c r="D106">
        <v>0.017540942721755</v>
      </c>
      <c r="E106">
        <v>-0.09259652320683898</v>
      </c>
      <c r="F106">
        <v>0.055</v>
      </c>
      <c r="G106">
        <v>-0.0194696717391184</v>
      </c>
      <c r="H106" t="s">
        <v>633</v>
      </c>
      <c r="I106" t="s">
        <v>634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629</v>
      </c>
      <c r="D107">
        <v>0.006298110566829</v>
      </c>
      <c r="E107">
        <v>-0.06157358884456932</v>
      </c>
      <c r="F107">
        <v>0.03</v>
      </c>
      <c r="G107">
        <v>-0.0222128091632442</v>
      </c>
      <c r="H107" t="s">
        <v>633</v>
      </c>
      <c r="I107" t="s">
        <v>405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629</v>
      </c>
      <c r="D108">
        <v>0.028124450694322</v>
      </c>
      <c r="E108">
        <v>-0.09258402209004535</v>
      </c>
      <c r="F108">
        <v>0.03</v>
      </c>
      <c r="G108">
        <v>-0.02807942774135341</v>
      </c>
      <c r="H108" t="s">
        <v>633</v>
      </c>
      <c r="I108" t="s">
        <v>633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629</v>
      </c>
      <c r="D109">
        <v>0.007550644567219001</v>
      </c>
      <c r="E109">
        <v>-0.1154762465545123</v>
      </c>
      <c r="F109">
        <v>0.08</v>
      </c>
      <c r="G109">
        <v>-0.03218754105244859</v>
      </c>
      <c r="H109" t="s">
        <v>633</v>
      </c>
      <c r="I109" t="s">
        <v>494</v>
      </c>
    </row>
    <row r="110" spans="1:9">
      <c r="A110" s="1" t="s">
        <v>117</v>
      </c>
      <c r="B110">
        <f>HYPERLINK("https://www.suredividend.com/sure-analysis-MSEX","Middlesex Water Co.")</f>
        <v>0</v>
      </c>
      <c r="C110" t="s">
        <v>629</v>
      </c>
      <c r="D110">
        <v>0.015267175572519</v>
      </c>
      <c r="E110">
        <v>-0.0775404072903223</v>
      </c>
      <c r="F110">
        <v>0.022</v>
      </c>
      <c r="G110">
        <v>-0.0360785118579996</v>
      </c>
      <c r="H110" t="s">
        <v>633</v>
      </c>
      <c r="I110" t="s">
        <v>494</v>
      </c>
    </row>
    <row r="111" spans="1:9">
      <c r="A111" s="1" t="s">
        <v>118</v>
      </c>
      <c r="B111">
        <f>HYPERLINK("https://www.suredividend.com/sure-analysis-CINF","Cincinnati Financial Corp.")</f>
        <v>0</v>
      </c>
      <c r="C111" t="s">
        <v>629</v>
      </c>
      <c r="D111">
        <v>0.021223470661672</v>
      </c>
      <c r="E111">
        <v>-0.110449875016192</v>
      </c>
      <c r="F111">
        <v>0.05</v>
      </c>
      <c r="G111">
        <v>-0.03613644694864471</v>
      </c>
      <c r="H111" t="s">
        <v>633</v>
      </c>
      <c r="I111" t="s">
        <v>634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629</v>
      </c>
      <c r="D112">
        <v>0.009477224090492</v>
      </c>
      <c r="E112">
        <v>-0.08921752935099936</v>
      </c>
      <c r="F112">
        <v>0.034</v>
      </c>
      <c r="G112">
        <v>-0.04334251019756508</v>
      </c>
      <c r="H112" t="s">
        <v>633</v>
      </c>
      <c r="I112" t="s">
        <v>405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629</v>
      </c>
      <c r="D113">
        <v>0.015845928815212</v>
      </c>
      <c r="E113">
        <v>-0.1035344773784772</v>
      </c>
      <c r="F113">
        <v>0.03</v>
      </c>
      <c r="G113">
        <v>-0.05330719543268692</v>
      </c>
      <c r="H113" t="s">
        <v>633</v>
      </c>
      <c r="I113" t="s">
        <v>634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629</v>
      </c>
      <c r="D114">
        <v>0.015321154979375</v>
      </c>
      <c r="E114">
        <v>-0.1191293630044997</v>
      </c>
      <c r="F114">
        <v>0.04</v>
      </c>
      <c r="G114">
        <v>-0.06062400892629982</v>
      </c>
      <c r="H114" t="s">
        <v>633</v>
      </c>
      <c r="I114" t="s">
        <v>494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629</v>
      </c>
      <c r="D115">
        <v>0.012856980316304</v>
      </c>
      <c r="E115">
        <v>-0.1499880555389428</v>
      </c>
      <c r="F115">
        <v>0.049</v>
      </c>
      <c r="G115">
        <v>-0.08672651481661464</v>
      </c>
      <c r="H115" t="s">
        <v>633</v>
      </c>
      <c r="I115" t="s">
        <v>494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629</v>
      </c>
      <c r="D116">
        <v>0.004044020153805001</v>
      </c>
      <c r="E116">
        <v>-0.1797725476982489</v>
      </c>
      <c r="F116">
        <v>0.07000000000000001</v>
      </c>
      <c r="G116">
        <v>-0.1143131934617171</v>
      </c>
      <c r="H116" t="s">
        <v>633</v>
      </c>
      <c r="I116" t="s">
        <v>494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629</v>
      </c>
      <c r="D117">
        <v>0.009837140671111001</v>
      </c>
      <c r="E117">
        <v>-0.1567852480172413</v>
      </c>
      <c r="F117">
        <v>0.012</v>
      </c>
      <c r="G117">
        <v>-0.1265045538127076</v>
      </c>
      <c r="H117" t="s">
        <v>633</v>
      </c>
      <c r="I117" t="s">
        <v>494</v>
      </c>
    </row>
    <row r="118" spans="1:9">
      <c r="A118" s="1" t="s">
        <v>125</v>
      </c>
      <c r="B118">
        <f>HYPERLINK("https://www.suredividend.com/sure-analysis-SKM","SK Telecom Co., Ltd.")</f>
        <v>0</v>
      </c>
      <c r="C118" t="s">
        <v>629</v>
      </c>
      <c r="D118">
        <v>0.04146666666666601</v>
      </c>
      <c r="E118">
        <v>0.07897452752824119</v>
      </c>
      <c r="F118">
        <v>0.1</v>
      </c>
      <c r="G118">
        <v>0.2077962031570393</v>
      </c>
      <c r="H118" t="s">
        <v>634</v>
      </c>
      <c r="I118" t="s">
        <v>633</v>
      </c>
    </row>
    <row r="119" spans="1:9">
      <c r="A119" s="1" t="s">
        <v>126</v>
      </c>
      <c r="B119">
        <f>HYPERLINK("https://www.suredividend.com/sure-analysis-RDEIY","Red Eléctrica Corp. SA")</f>
        <v>0</v>
      </c>
      <c r="C119" t="s">
        <v>629</v>
      </c>
      <c r="D119">
        <v>0.039828928928928</v>
      </c>
      <c r="E119">
        <v>0.02855251493680733</v>
      </c>
      <c r="F119">
        <v>0.076</v>
      </c>
      <c r="G119">
        <v>0.1665980621497305</v>
      </c>
      <c r="H119" t="s">
        <v>634</v>
      </c>
      <c r="I119" t="s">
        <v>633</v>
      </c>
    </row>
    <row r="120" spans="1:9">
      <c r="A120" s="1" t="s">
        <v>127</v>
      </c>
      <c r="B120">
        <f>HYPERLINK("https://www.suredividend.com/sure-analysis-FLR","Fluor Corp.")</f>
        <v>0</v>
      </c>
      <c r="C120" t="s">
        <v>629</v>
      </c>
      <c r="D120">
        <v>0.045751633986928</v>
      </c>
      <c r="E120">
        <v>0.04609477242099258</v>
      </c>
      <c r="F120">
        <v>0.06</v>
      </c>
      <c r="G120">
        <v>0.1375943071616397</v>
      </c>
      <c r="H120" t="s">
        <v>634</v>
      </c>
      <c r="I120" t="s">
        <v>633</v>
      </c>
    </row>
    <row r="121" spans="1:9">
      <c r="A121" s="1" t="s">
        <v>128</v>
      </c>
      <c r="B121">
        <f>HYPERLINK("https://www.suredividend.com/sure-analysis-MO","Altria Group, Inc.")</f>
        <v>0</v>
      </c>
      <c r="C121" t="s">
        <v>629</v>
      </c>
      <c r="D121">
        <v>0.063367885781341</v>
      </c>
      <c r="E121">
        <v>0.04263656473582045</v>
      </c>
      <c r="F121">
        <v>0.04</v>
      </c>
      <c r="G121">
        <v>0.1334057564144107</v>
      </c>
      <c r="H121" t="s">
        <v>634</v>
      </c>
      <c r="I121" t="s">
        <v>633</v>
      </c>
    </row>
    <row r="122" spans="1:9">
      <c r="A122" s="1" t="s">
        <v>129</v>
      </c>
      <c r="B122">
        <f>HYPERLINK("https://www.suredividend.com/sure-analysis-EBAY","eBay, Inc.")</f>
        <v>0</v>
      </c>
      <c r="C122" t="s">
        <v>629</v>
      </c>
      <c r="D122">
        <v>0.011605415860735</v>
      </c>
      <c r="E122">
        <v>0.02022105388158923</v>
      </c>
      <c r="F122">
        <v>0.09</v>
      </c>
      <c r="G122">
        <v>0.125476467844454</v>
      </c>
      <c r="H122" t="s">
        <v>634</v>
      </c>
      <c r="I122" t="s">
        <v>405</v>
      </c>
    </row>
    <row r="123" spans="1:9">
      <c r="A123" s="1" t="s">
        <v>130</v>
      </c>
      <c r="B123">
        <f>HYPERLINK("https://www.suredividend.com/sure-analysis-ERF","Enerplus Corp.")</f>
        <v>0</v>
      </c>
      <c r="C123" t="s">
        <v>629</v>
      </c>
      <c r="D123">
        <v>0.013200421144202</v>
      </c>
      <c r="E123">
        <v>0.0271035685173433</v>
      </c>
      <c r="F123">
        <v>0.078</v>
      </c>
      <c r="G123">
        <v>0.1204063993119096</v>
      </c>
      <c r="H123" t="s">
        <v>634</v>
      </c>
      <c r="I123" t="s">
        <v>405</v>
      </c>
    </row>
    <row r="124" spans="1:9">
      <c r="A124" s="1" t="s">
        <v>131</v>
      </c>
      <c r="B124">
        <f>HYPERLINK("https://www.suredividend.com/sure-analysis-TSCO","Tractor Supply Co.")</f>
        <v>0</v>
      </c>
      <c r="C124" t="s">
        <v>629</v>
      </c>
      <c r="D124">
        <v>0.014321362699359</v>
      </c>
      <c r="E124">
        <v>0.00393975737311214</v>
      </c>
      <c r="F124">
        <v>0.095</v>
      </c>
      <c r="G124">
        <v>0.1125417852370345</v>
      </c>
      <c r="H124" t="s">
        <v>634</v>
      </c>
      <c r="I124" t="s">
        <v>405</v>
      </c>
    </row>
    <row r="125" spans="1:9">
      <c r="A125" s="1" t="s">
        <v>132</v>
      </c>
      <c r="B125">
        <f>HYPERLINK("https://www.suredividend.com/sure-analysis-PFG","Principal Financial Group, Inc.")</f>
        <v>0</v>
      </c>
      <c r="C125" t="s">
        <v>629</v>
      </c>
      <c r="D125">
        <v>0.039418710263396</v>
      </c>
      <c r="E125">
        <v>0.02406346719091235</v>
      </c>
      <c r="F125">
        <v>0.05</v>
      </c>
      <c r="G125">
        <v>0.1124457423153675</v>
      </c>
      <c r="H125" t="s">
        <v>634</v>
      </c>
      <c r="I125" t="s">
        <v>633</v>
      </c>
    </row>
    <row r="126" spans="1:9">
      <c r="A126" s="1" t="s">
        <v>133</v>
      </c>
      <c r="B126">
        <f>HYPERLINK("https://www.suredividend.com/sure-analysis-SYF","Synchrony Financial")</f>
        <v>0</v>
      </c>
      <c r="C126" t="s">
        <v>629</v>
      </c>
      <c r="D126">
        <v>0.023135547087642</v>
      </c>
      <c r="E126">
        <v>0.01714804305570028</v>
      </c>
      <c r="F126">
        <v>0.07000000000000001</v>
      </c>
      <c r="G126">
        <v>0.1120788845974112</v>
      </c>
      <c r="H126" t="s">
        <v>634</v>
      </c>
      <c r="I126" t="s">
        <v>634</v>
      </c>
    </row>
    <row r="127" spans="1:9">
      <c r="A127" s="1" t="s">
        <v>134</v>
      </c>
      <c r="B127">
        <f>HYPERLINK("https://www.suredividend.com/sure-analysis-PKX","POSCO")</f>
        <v>0</v>
      </c>
      <c r="C127" t="s">
        <v>629</v>
      </c>
      <c r="D127">
        <v>0.027192213901689</v>
      </c>
      <c r="E127">
        <v>0.02871732726990039</v>
      </c>
      <c r="F127">
        <v>0.05</v>
      </c>
      <c r="G127">
        <v>0.1104715281460507</v>
      </c>
      <c r="H127" t="s">
        <v>634</v>
      </c>
      <c r="I127" t="s">
        <v>634</v>
      </c>
    </row>
    <row r="128" spans="1:9">
      <c r="A128" s="1" t="s">
        <v>135</v>
      </c>
      <c r="B128">
        <f>HYPERLINK("https://www.suredividend.com/sure-analysis-CAH","Cardinal Health, Inc.")</f>
        <v>0</v>
      </c>
      <c r="C128" t="s">
        <v>629</v>
      </c>
      <c r="D128">
        <v>0.03696525096525</v>
      </c>
      <c r="E128">
        <v>0.02982705728092871</v>
      </c>
      <c r="F128">
        <v>0.05</v>
      </c>
      <c r="G128">
        <v>0.1094232423709067</v>
      </c>
      <c r="H128" t="s">
        <v>634</v>
      </c>
      <c r="I128" t="s">
        <v>633</v>
      </c>
    </row>
    <row r="129" spans="1:9">
      <c r="A129" s="1" t="s">
        <v>136</v>
      </c>
      <c r="B129">
        <f>HYPERLINK("https://www.suredividend.com/sure-analysis-T","AT&amp;T, Inc.")</f>
        <v>0</v>
      </c>
      <c r="C129" t="s">
        <v>629</v>
      </c>
      <c r="D129">
        <v>0.052107279693486</v>
      </c>
      <c r="E129">
        <v>0.02363277311846868</v>
      </c>
      <c r="F129">
        <v>0.04</v>
      </c>
      <c r="G129">
        <v>0.1044090045242716</v>
      </c>
      <c r="H129" t="s">
        <v>634</v>
      </c>
      <c r="I129" t="s">
        <v>633</v>
      </c>
    </row>
    <row r="130" spans="1:9">
      <c r="A130" s="1" t="s">
        <v>137</v>
      </c>
      <c r="B130">
        <f>HYPERLINK("https://www.suredividend.com/sure-analysis-NAVI","Navient Corp.")</f>
        <v>0</v>
      </c>
      <c r="C130" t="s">
        <v>629</v>
      </c>
      <c r="D130">
        <v>0.04647785039941901</v>
      </c>
      <c r="E130">
        <v>0.05503705446947205</v>
      </c>
      <c r="F130">
        <v>0.015</v>
      </c>
      <c r="G130">
        <v>0.1040804857854782</v>
      </c>
      <c r="H130" t="s">
        <v>634</v>
      </c>
      <c r="I130" t="s">
        <v>633</v>
      </c>
    </row>
    <row r="131" spans="1:9">
      <c r="A131" s="1" t="s">
        <v>138</v>
      </c>
      <c r="B131">
        <f>HYPERLINK("https://www.suredividend.com/sure-analysis-RCL","Royal Caribbean Cruises Ltd.")</f>
        <v>0</v>
      </c>
      <c r="C131" t="s">
        <v>629</v>
      </c>
      <c r="D131">
        <v>0.021971315227342</v>
      </c>
      <c r="E131">
        <v>0.002912493971547692</v>
      </c>
      <c r="F131">
        <v>0.08</v>
      </c>
      <c r="G131">
        <v>0.1027643054822203</v>
      </c>
      <c r="H131" t="s">
        <v>634</v>
      </c>
      <c r="I131" t="s">
        <v>494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630</v>
      </c>
      <c r="D132">
        <v>0.03230624115705</v>
      </c>
      <c r="E132">
        <v>0.01932934920845852</v>
      </c>
      <c r="F132">
        <v>0.055</v>
      </c>
      <c r="G132">
        <v>0.1025153383333801</v>
      </c>
      <c r="H132" t="s">
        <v>634</v>
      </c>
      <c r="I132" t="s">
        <v>633</v>
      </c>
    </row>
    <row r="133" spans="1:9">
      <c r="A133" s="1" t="s">
        <v>140</v>
      </c>
      <c r="B133">
        <f>HYPERLINK("https://www.suredividend.com/sure-analysis-MTB","M&amp;T Bank Corp.")</f>
        <v>0</v>
      </c>
      <c r="C133" t="s">
        <v>629</v>
      </c>
      <c r="D133">
        <v>0.023597427880361</v>
      </c>
      <c r="E133">
        <v>0.01983345947906545</v>
      </c>
      <c r="F133">
        <v>0.063</v>
      </c>
      <c r="G133">
        <v>0.1022546598656302</v>
      </c>
      <c r="H133" t="s">
        <v>634</v>
      </c>
      <c r="I133" t="s">
        <v>494</v>
      </c>
    </row>
    <row r="134" spans="1:9">
      <c r="A134" s="1" t="s">
        <v>141</v>
      </c>
      <c r="B134">
        <f>HYPERLINK("https://www.suredividend.com/sure-analysis-WHR","Whirlpool Corp.")</f>
        <v>0</v>
      </c>
      <c r="C134" t="s">
        <v>629</v>
      </c>
      <c r="D134">
        <v>0.031883861339122</v>
      </c>
      <c r="E134">
        <v>0.02403836696991091</v>
      </c>
      <c r="F134">
        <v>0.05</v>
      </c>
      <c r="G134">
        <v>0.1014920774544477</v>
      </c>
      <c r="H134" t="s">
        <v>634</v>
      </c>
      <c r="I134" t="s">
        <v>634</v>
      </c>
    </row>
    <row r="135" spans="1:9">
      <c r="A135" s="1" t="s">
        <v>142</v>
      </c>
      <c r="B135">
        <f>HYPERLINK("https://www.suredividend.com/sure-analysis-RY","Royal Bank of Canada")</f>
        <v>0</v>
      </c>
      <c r="C135" t="s">
        <v>629</v>
      </c>
      <c r="D135">
        <v>0.038651288439547</v>
      </c>
      <c r="E135">
        <v>0.001885619932906479</v>
      </c>
      <c r="F135">
        <v>0.065</v>
      </c>
      <c r="G135">
        <v>0.1007579615222067</v>
      </c>
      <c r="H135" t="s">
        <v>634</v>
      </c>
      <c r="I135" t="s">
        <v>633</v>
      </c>
    </row>
    <row r="136" spans="1:9">
      <c r="A136" s="1" t="s">
        <v>143</v>
      </c>
      <c r="B136">
        <f>HYPERLINK("https://www.suredividend.com/sure-analysis-PRU","Prudential Financial, Inc.")</f>
        <v>0</v>
      </c>
      <c r="C136" t="s">
        <v>629</v>
      </c>
      <c r="D136">
        <v>0.041252379944996</v>
      </c>
      <c r="E136">
        <v>0.02120925065694745</v>
      </c>
      <c r="F136">
        <v>0.04</v>
      </c>
      <c r="G136">
        <v>0.09882563867363947</v>
      </c>
      <c r="H136" t="s">
        <v>634</v>
      </c>
      <c r="I136" t="s">
        <v>633</v>
      </c>
    </row>
    <row r="137" spans="1:9">
      <c r="A137" s="1" t="s">
        <v>144</v>
      </c>
      <c r="B137">
        <f>HYPERLINK("https://www.suredividend.com/sure-analysis-CMI","Cummins, Inc.")</f>
        <v>0</v>
      </c>
      <c r="C137" t="s">
        <v>629</v>
      </c>
      <c r="D137">
        <v>0.026122246148749</v>
      </c>
      <c r="E137">
        <v>0.02207269887987096</v>
      </c>
      <c r="F137">
        <v>0.05</v>
      </c>
      <c r="G137">
        <v>0.09737618937168735</v>
      </c>
      <c r="H137" t="s">
        <v>634</v>
      </c>
      <c r="I137" t="s">
        <v>634</v>
      </c>
    </row>
    <row r="138" spans="1:9">
      <c r="A138" s="1" t="s">
        <v>145</v>
      </c>
      <c r="B138">
        <f>HYPERLINK("https://www.suredividend.com/sure-analysis-LMT","Lockheed Martin Corp.")</f>
        <v>0</v>
      </c>
      <c r="C138" t="s">
        <v>629</v>
      </c>
      <c r="D138">
        <v>0.022770202085543</v>
      </c>
      <c r="E138">
        <v>-0.0224462150445347</v>
      </c>
      <c r="F138">
        <v>0.1</v>
      </c>
      <c r="G138">
        <v>0.09549346308797468</v>
      </c>
      <c r="H138" t="s">
        <v>634</v>
      </c>
      <c r="I138" t="s">
        <v>494</v>
      </c>
    </row>
    <row r="139" spans="1:9">
      <c r="A139" s="1" t="s">
        <v>146</v>
      </c>
      <c r="B139">
        <f>HYPERLINK("https://www.suredividend.com/sure-analysis-ORCL","Oracle Corp.")</f>
        <v>0</v>
      </c>
      <c r="C139" t="s">
        <v>629</v>
      </c>
      <c r="D139">
        <v>0.016977611940298</v>
      </c>
      <c r="E139">
        <v>0.008799010229586735</v>
      </c>
      <c r="F139">
        <v>0.07000000000000001</v>
      </c>
      <c r="G139">
        <v>0.09542239376849704</v>
      </c>
      <c r="H139" t="s">
        <v>634</v>
      </c>
      <c r="I139" t="s">
        <v>494</v>
      </c>
    </row>
    <row r="140" spans="1:9">
      <c r="A140" s="1" t="s">
        <v>147</v>
      </c>
      <c r="B140">
        <f>HYPERLINK("https://www.suredividend.com/sure-analysis-FL","Foot Locker, Inc.")</f>
        <v>0</v>
      </c>
      <c r="C140" t="s">
        <v>629</v>
      </c>
      <c r="D140">
        <v>0.037190082644628</v>
      </c>
      <c r="E140">
        <v>0.01960198725209605</v>
      </c>
      <c r="F140">
        <v>0.04</v>
      </c>
      <c r="G140">
        <v>0.09459289188656572</v>
      </c>
      <c r="H140" t="s">
        <v>634</v>
      </c>
      <c r="I140" t="s">
        <v>633</v>
      </c>
    </row>
    <row r="141" spans="1:9">
      <c r="A141" s="1" t="s">
        <v>148</v>
      </c>
      <c r="B141">
        <f>HYPERLINK("https://www.suredividend.com/sure-analysis-MGA","Magna International, Inc.")</f>
        <v>0</v>
      </c>
      <c r="C141" t="s">
        <v>629</v>
      </c>
      <c r="D141">
        <v>0.025633525471278</v>
      </c>
      <c r="E141">
        <v>0.01067234937583805</v>
      </c>
      <c r="F141">
        <v>0.06</v>
      </c>
      <c r="G141">
        <v>0.09397869847521512</v>
      </c>
      <c r="H141" t="s">
        <v>634</v>
      </c>
      <c r="I141" t="s">
        <v>634</v>
      </c>
    </row>
    <row r="142" spans="1:9">
      <c r="A142" s="1" t="s">
        <v>149</v>
      </c>
      <c r="B142">
        <f>HYPERLINK("https://www.suredividend.com/sure-analysis-PBCT","People's United Financial, Inc.")</f>
        <v>0</v>
      </c>
      <c r="C142" t="s">
        <v>629</v>
      </c>
      <c r="D142">
        <v>0.04164205552274</v>
      </c>
      <c r="E142">
        <v>0.01007264320347367</v>
      </c>
      <c r="F142">
        <v>0.05</v>
      </c>
      <c r="G142">
        <v>0.09305874209090614</v>
      </c>
      <c r="H142" t="s">
        <v>634</v>
      </c>
      <c r="I142" t="s">
        <v>633</v>
      </c>
    </row>
    <row r="143" spans="1:9">
      <c r="A143" s="1" t="s">
        <v>150</v>
      </c>
      <c r="B143">
        <f>HYPERLINK("https://www.suredividend.com/sure-analysis-HFC","HollyFrontier Corp.")</f>
        <v>0</v>
      </c>
      <c r="C143" t="s">
        <v>629</v>
      </c>
      <c r="D143">
        <v>0.025650991061018</v>
      </c>
      <c r="E143">
        <v>-0.005739824187683928</v>
      </c>
      <c r="F143">
        <v>0.078</v>
      </c>
      <c r="G143">
        <v>0.092820044481144</v>
      </c>
      <c r="H143" t="s">
        <v>634</v>
      </c>
      <c r="I143" t="s">
        <v>494</v>
      </c>
    </row>
    <row r="144" spans="1:9">
      <c r="A144" s="1" t="s">
        <v>151</v>
      </c>
      <c r="B144">
        <f>HYPERLINK("https://www.suredividend.com/sure-analysis-FMS","Fresenius Medical Care AG &amp; Co. KGaA")</f>
        <v>0</v>
      </c>
      <c r="C144" t="s">
        <v>629</v>
      </c>
      <c r="D144">
        <v>0.01813681868743</v>
      </c>
      <c r="E144">
        <v>0.01636332370651084</v>
      </c>
      <c r="F144">
        <v>0.06</v>
      </c>
      <c r="G144">
        <v>0.09242318014456652</v>
      </c>
      <c r="H144" t="s">
        <v>634</v>
      </c>
      <c r="I144" t="s">
        <v>405</v>
      </c>
    </row>
    <row r="145" spans="1:9">
      <c r="A145" s="1" t="s">
        <v>152</v>
      </c>
      <c r="B145">
        <f>HYPERLINK("https://www.suredividend.com/sure-analysis-PII","Polaris Inc.")</f>
        <v>0</v>
      </c>
      <c r="C145" t="s">
        <v>629</v>
      </c>
      <c r="D145">
        <v>0.024473763722429</v>
      </c>
      <c r="E145">
        <v>0.001426080876139713</v>
      </c>
      <c r="F145">
        <v>0.07000000000000001</v>
      </c>
      <c r="G145">
        <v>0.09207660843703747</v>
      </c>
      <c r="H145" t="s">
        <v>634</v>
      </c>
      <c r="I145" t="s">
        <v>634</v>
      </c>
    </row>
    <row r="146" spans="1:9">
      <c r="A146" s="1" t="s">
        <v>153</v>
      </c>
      <c r="B146">
        <f>HYPERLINK("https://www.suredividend.com/sure-analysis-CTSH","Cognizant Technology Solutions Corp.")</f>
        <v>0</v>
      </c>
      <c r="C146" t="s">
        <v>629</v>
      </c>
      <c r="D146">
        <v>0.012654223347042</v>
      </c>
      <c r="E146">
        <v>0.002455485091989562</v>
      </c>
      <c r="F146">
        <v>0.07000000000000001</v>
      </c>
      <c r="G146">
        <v>0.085840003913777</v>
      </c>
      <c r="H146" t="s">
        <v>634</v>
      </c>
      <c r="I146" t="s">
        <v>405</v>
      </c>
    </row>
    <row r="147" spans="1:9">
      <c r="A147" s="1" t="s">
        <v>154</v>
      </c>
      <c r="B147">
        <f>HYPERLINK("https://www.suredividend.com/sure-analysis-SNA","Snap-On, Inc.")</f>
        <v>0</v>
      </c>
      <c r="C147" t="s">
        <v>629</v>
      </c>
      <c r="D147">
        <v>0.022395096652522</v>
      </c>
      <c r="E147">
        <v>0.002719725071437251</v>
      </c>
      <c r="F147">
        <v>0.06</v>
      </c>
      <c r="G147">
        <v>0.08547061788305421</v>
      </c>
      <c r="H147" t="s">
        <v>634</v>
      </c>
      <c r="I147" t="s">
        <v>494</v>
      </c>
    </row>
    <row r="148" spans="1:9">
      <c r="A148" s="1" t="s">
        <v>155</v>
      </c>
      <c r="B148">
        <f>HYPERLINK("https://www.suredividend.com/sure-analysis-IBM","International Business Machines Corp.")</f>
        <v>0</v>
      </c>
      <c r="C148" t="s">
        <v>629</v>
      </c>
      <c r="D148">
        <v>0.047053617523416</v>
      </c>
      <c r="E148">
        <v>0.007855546948192904</v>
      </c>
      <c r="F148">
        <v>0.03</v>
      </c>
      <c r="G148">
        <v>0.08475620423358254</v>
      </c>
      <c r="H148" t="s">
        <v>634</v>
      </c>
      <c r="I148" t="s">
        <v>633</v>
      </c>
    </row>
    <row r="149" spans="1:9">
      <c r="A149" s="1" t="s">
        <v>156</v>
      </c>
      <c r="B149">
        <f>HYPERLINK("https://www.suredividend.com/sure-analysis-CMCSA","Comcast Corp.")</f>
        <v>0</v>
      </c>
      <c r="C149" t="s">
        <v>629</v>
      </c>
      <c r="D149">
        <v>0.018598321614878</v>
      </c>
      <c r="E149">
        <v>-0.01442710395278524</v>
      </c>
      <c r="F149">
        <v>0.08</v>
      </c>
      <c r="G149">
        <v>0.08362115180966634</v>
      </c>
      <c r="H149" t="s">
        <v>634</v>
      </c>
      <c r="I149" t="s">
        <v>494</v>
      </c>
    </row>
    <row r="150" spans="1:9">
      <c r="A150" s="1" t="s">
        <v>157</v>
      </c>
      <c r="B150">
        <f>HYPERLINK("https://www.suredividend.com/sure-analysis-HPQ","HP, Inc.")</f>
        <v>0</v>
      </c>
      <c r="C150" t="s">
        <v>629</v>
      </c>
      <c r="D150">
        <v>0.031167315175097</v>
      </c>
      <c r="E150">
        <v>0.004243979710055301</v>
      </c>
      <c r="F150">
        <v>0.05</v>
      </c>
      <c r="G150">
        <v>0.0828359832448291</v>
      </c>
      <c r="H150" t="s">
        <v>634</v>
      </c>
      <c r="I150" t="s">
        <v>634</v>
      </c>
    </row>
    <row r="151" spans="1:9">
      <c r="A151" s="1" t="s">
        <v>158</v>
      </c>
      <c r="B151">
        <f>HYPERLINK("https://www.suredividend.com/sure-analysis-TTC","The Toro Co.")</f>
        <v>0</v>
      </c>
      <c r="C151" t="s">
        <v>629</v>
      </c>
      <c r="D151">
        <v>0.011373688866422</v>
      </c>
      <c r="E151">
        <v>-0.04456779351517515</v>
      </c>
      <c r="F151">
        <v>0.12</v>
      </c>
      <c r="G151">
        <v>0.08149154082777321</v>
      </c>
      <c r="H151" t="s">
        <v>634</v>
      </c>
      <c r="I151" t="s">
        <v>405</v>
      </c>
    </row>
    <row r="152" spans="1:9">
      <c r="A152" s="1" t="s">
        <v>159</v>
      </c>
      <c r="B152">
        <f>HYPERLINK("https://www.suredividend.com/sure-analysis-CVS","CVS Health Corp.")</f>
        <v>0</v>
      </c>
      <c r="C152" t="s">
        <v>629</v>
      </c>
      <c r="D152">
        <v>0.026816840976133</v>
      </c>
      <c r="E152">
        <v>0.006407047296959067</v>
      </c>
      <c r="F152">
        <v>0.05</v>
      </c>
      <c r="G152">
        <v>0.0805666903241069</v>
      </c>
      <c r="H152" t="s">
        <v>634</v>
      </c>
      <c r="I152" t="s">
        <v>634</v>
      </c>
    </row>
    <row r="153" spans="1:9">
      <c r="A153" s="1" t="s">
        <v>160</v>
      </c>
      <c r="B153">
        <f>HYPERLINK("https://www.suredividend.com/sure-analysis-UNH","UnitedHealth Group, Inc.")</f>
        <v>0</v>
      </c>
      <c r="C153" t="s">
        <v>629</v>
      </c>
      <c r="D153">
        <v>0.013534297139341</v>
      </c>
      <c r="E153">
        <v>-0.02259128812109257</v>
      </c>
      <c r="F153">
        <v>0.09</v>
      </c>
      <c r="G153">
        <v>0.08039904738028536</v>
      </c>
      <c r="H153" t="s">
        <v>634</v>
      </c>
      <c r="I153" t="s">
        <v>405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629</v>
      </c>
      <c r="D154">
        <v>0.018557570645297</v>
      </c>
      <c r="E154">
        <v>-0.02867523562614027</v>
      </c>
      <c r="F154">
        <v>0.09</v>
      </c>
      <c r="G154">
        <v>0.07904720665788156</v>
      </c>
      <c r="H154" t="s">
        <v>634</v>
      </c>
      <c r="I154" t="s">
        <v>494</v>
      </c>
    </row>
    <row r="155" spans="1:9">
      <c r="A155" s="1" t="s">
        <v>162</v>
      </c>
      <c r="B155">
        <f>HYPERLINK("https://www.suredividend.com/sure-analysis-ALK","Alaska Air Group, Inc.")</f>
        <v>0</v>
      </c>
      <c r="C155" t="s">
        <v>629</v>
      </c>
      <c r="D155">
        <v>0.019757715604268</v>
      </c>
      <c r="E155">
        <v>-0.0009826040600826591</v>
      </c>
      <c r="F155">
        <v>0.06</v>
      </c>
      <c r="G155">
        <v>0.07881258400033553</v>
      </c>
      <c r="H155" t="s">
        <v>634</v>
      </c>
      <c r="I155" t="s">
        <v>494</v>
      </c>
    </row>
    <row r="156" spans="1:9">
      <c r="A156" s="1" t="s">
        <v>163</v>
      </c>
      <c r="B156">
        <f>HYPERLINK("https://www.suredividend.com/sure-analysis-TM","Toyota Motor Corp.")</f>
        <v>0</v>
      </c>
      <c r="C156" t="s">
        <v>629</v>
      </c>
      <c r="D156">
        <v>0.028299640769176</v>
      </c>
      <c r="E156">
        <v>-0.005656358725641852</v>
      </c>
      <c r="F156">
        <v>0.055</v>
      </c>
      <c r="G156">
        <v>0.07713138494535188</v>
      </c>
      <c r="H156" t="s">
        <v>634</v>
      </c>
      <c r="I156" t="s">
        <v>634</v>
      </c>
    </row>
    <row r="157" spans="1:9">
      <c r="A157" s="1" t="s">
        <v>164</v>
      </c>
      <c r="B157">
        <f>HYPERLINK("https://www.suredividend.com/sure-analysis-UGI","UGI Corp.")</f>
        <v>0</v>
      </c>
      <c r="C157" t="s">
        <v>629</v>
      </c>
      <c r="D157">
        <v>0.025478415665331</v>
      </c>
      <c r="E157">
        <v>-0.02795514077977523</v>
      </c>
      <c r="F157">
        <v>0.08</v>
      </c>
      <c r="G157">
        <v>0.07534894932635172</v>
      </c>
      <c r="H157" t="s">
        <v>634</v>
      </c>
      <c r="I157" t="s">
        <v>634</v>
      </c>
    </row>
    <row r="158" spans="1:9">
      <c r="A158" s="1" t="s">
        <v>165</v>
      </c>
      <c r="B158">
        <f>HYPERLINK("https://www.suredividend.com/sure-analysis-INTC","Intel Corp.")</f>
        <v>0</v>
      </c>
      <c r="C158" t="s">
        <v>629</v>
      </c>
      <c r="D158">
        <v>0.021119592875318</v>
      </c>
      <c r="E158">
        <v>0.003537228326305764</v>
      </c>
      <c r="F158">
        <v>0.05</v>
      </c>
      <c r="G158">
        <v>0.07425550488774069</v>
      </c>
      <c r="H158" t="s">
        <v>634</v>
      </c>
      <c r="I158" t="s">
        <v>494</v>
      </c>
    </row>
    <row r="159" spans="1:9">
      <c r="A159" s="1" t="s">
        <v>166</v>
      </c>
      <c r="B159">
        <f>HYPERLINK("https://www.suredividend.com/sure-analysis-FTS","Fortis, Inc.")</f>
        <v>0</v>
      </c>
      <c r="C159" t="s">
        <v>629</v>
      </c>
      <c r="D159">
        <v>0.032809464745204</v>
      </c>
      <c r="E159">
        <v>-0.01670773038848639</v>
      </c>
      <c r="F159">
        <v>0.06</v>
      </c>
      <c r="G159">
        <v>0.07394114574715838</v>
      </c>
      <c r="H159" t="s">
        <v>634</v>
      </c>
      <c r="I159" t="s">
        <v>634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629</v>
      </c>
      <c r="D160">
        <v>0.021602937999567</v>
      </c>
      <c r="E160">
        <v>0.03583451823759431</v>
      </c>
      <c r="F160">
        <v>0.018</v>
      </c>
      <c r="G160">
        <v>0.07140041504840267</v>
      </c>
      <c r="H160" t="s">
        <v>634</v>
      </c>
      <c r="I160" t="s">
        <v>494</v>
      </c>
    </row>
    <row r="161" spans="1:9">
      <c r="A161" s="1" t="s">
        <v>168</v>
      </c>
      <c r="B161">
        <f>HYPERLINK("https://www.suredividend.com/sure-analysis-BK","The Bank of New York Mellon Corp.")</f>
        <v>0</v>
      </c>
      <c r="C161" t="s">
        <v>629</v>
      </c>
      <c r="D161">
        <v>0.022713806043847</v>
      </c>
      <c r="E161">
        <v>-0.01476918651978554</v>
      </c>
      <c r="F161">
        <v>0.06</v>
      </c>
      <c r="G161">
        <v>0.06904034130881187</v>
      </c>
      <c r="H161" t="s">
        <v>634</v>
      </c>
      <c r="I161" t="s">
        <v>494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629</v>
      </c>
      <c r="D162">
        <v>0.013846850899742</v>
      </c>
      <c r="E162">
        <v>-0.035312276165543</v>
      </c>
      <c r="F162">
        <v>0.1</v>
      </c>
      <c r="G162">
        <v>0.06845257142442196</v>
      </c>
      <c r="H162" t="s">
        <v>634</v>
      </c>
      <c r="I162" t="s">
        <v>405</v>
      </c>
    </row>
    <row r="163" spans="1:9">
      <c r="A163" s="1" t="s">
        <v>170</v>
      </c>
      <c r="B163">
        <f>HYPERLINK("https://www.suredividend.com/sure-analysis-HA","Hawaiian Holdings, Inc.")</f>
        <v>0</v>
      </c>
      <c r="C163" t="s">
        <v>629</v>
      </c>
      <c r="D163">
        <v>0.015846814130075</v>
      </c>
      <c r="E163">
        <v>0.01728568513111228</v>
      </c>
      <c r="F163">
        <v>0.035</v>
      </c>
      <c r="G163">
        <v>0.06783515762565173</v>
      </c>
      <c r="H163" t="s">
        <v>634</v>
      </c>
      <c r="I163" t="s">
        <v>494</v>
      </c>
    </row>
    <row r="164" spans="1:9">
      <c r="A164" s="1" t="s">
        <v>171</v>
      </c>
      <c r="B164">
        <f>HYPERLINK("https://www.suredividend.com/sure-analysis-ICE","Intercontinental Exchange, Inc.")</f>
        <v>0</v>
      </c>
      <c r="C164" t="s">
        <v>629</v>
      </c>
      <c r="D164">
        <v>0.011447920025798</v>
      </c>
      <c r="E164">
        <v>-0.04217173545589659</v>
      </c>
      <c r="F164">
        <v>0.1</v>
      </c>
      <c r="G164">
        <v>0.06575967697614726</v>
      </c>
      <c r="H164" t="s">
        <v>634</v>
      </c>
      <c r="I164" t="s">
        <v>405</v>
      </c>
    </row>
    <row r="165" spans="1:9">
      <c r="A165" s="1" t="s">
        <v>172</v>
      </c>
      <c r="B165">
        <f>HYPERLINK("https://www.suredividend.com/sure-analysis-DAL","Delta Air Lines, Inc.")</f>
        <v>0</v>
      </c>
      <c r="C165" t="s">
        <v>629</v>
      </c>
      <c r="D165">
        <v>0.024631168390707</v>
      </c>
      <c r="E165">
        <v>-0.003311670176830872</v>
      </c>
      <c r="F165">
        <v>0.04</v>
      </c>
      <c r="G165">
        <v>0.0623882306100223</v>
      </c>
      <c r="H165" t="s">
        <v>634</v>
      </c>
      <c r="I165" t="s">
        <v>634</v>
      </c>
    </row>
    <row r="166" spans="1:9">
      <c r="A166" s="1" t="s">
        <v>173</v>
      </c>
      <c r="B166">
        <f>HYPERLINK("https://www.suredividend.com/sure-analysis-DPZ","Domino's Pizza, Inc.")</f>
        <v>0</v>
      </c>
      <c r="C166" t="s">
        <v>629</v>
      </c>
      <c r="D166">
        <v>0.008561643835616001</v>
      </c>
      <c r="E166">
        <v>-0.06114321243588772</v>
      </c>
      <c r="F166">
        <v>0.12</v>
      </c>
      <c r="G166">
        <v>0.06198949561701128</v>
      </c>
      <c r="H166" t="s">
        <v>634</v>
      </c>
      <c r="I166" t="s">
        <v>382</v>
      </c>
    </row>
    <row r="167" spans="1:9">
      <c r="A167" s="1" t="s">
        <v>174</v>
      </c>
      <c r="B167">
        <f>HYPERLINK("https://www.suredividend.com/sure-analysis-AXP","American Express Co.")</f>
        <v>0</v>
      </c>
      <c r="C167" t="s">
        <v>629</v>
      </c>
      <c r="D167">
        <v>0.012721634730062</v>
      </c>
      <c r="E167">
        <v>-0.02118576545839845</v>
      </c>
      <c r="F167">
        <v>0.07000000000000001</v>
      </c>
      <c r="G167">
        <v>0.06143122372261423</v>
      </c>
      <c r="H167" t="s">
        <v>634</v>
      </c>
      <c r="I167" t="s">
        <v>405</v>
      </c>
    </row>
    <row r="168" spans="1:9">
      <c r="A168" s="1" t="s">
        <v>175</v>
      </c>
      <c r="B168">
        <f>HYPERLINK("https://www.suredividend.com/sure-analysis-TRV","The Travelers Cos., Inc.")</f>
        <v>0</v>
      </c>
      <c r="C168" t="s">
        <v>629</v>
      </c>
      <c r="D168">
        <v>0.023308656453859</v>
      </c>
      <c r="E168">
        <v>-0.0237184134741627</v>
      </c>
      <c r="F168">
        <v>0.06</v>
      </c>
      <c r="G168">
        <v>0.06072128103240226</v>
      </c>
      <c r="H168" t="s">
        <v>634</v>
      </c>
      <c r="I168" t="s">
        <v>634</v>
      </c>
    </row>
    <row r="169" spans="1:9">
      <c r="A169" s="1" t="s">
        <v>176</v>
      </c>
      <c r="B169">
        <f>HYPERLINK("https://www.suredividend.com/sure-analysis-USB","U.S. Bancorp")</f>
        <v>0</v>
      </c>
      <c r="C169" t="s">
        <v>629</v>
      </c>
      <c r="D169">
        <v>0.025598126150242</v>
      </c>
      <c r="E169">
        <v>-0.027467737128821</v>
      </c>
      <c r="F169">
        <v>0.065</v>
      </c>
      <c r="G169">
        <v>0.06041376565107615</v>
      </c>
      <c r="H169" t="s">
        <v>634</v>
      </c>
      <c r="I169" t="s">
        <v>494</v>
      </c>
    </row>
    <row r="170" spans="1:9">
      <c r="A170" s="1" t="s">
        <v>177</v>
      </c>
      <c r="B170">
        <f>HYPERLINK("https://www.suredividend.com/sure-analysis-WSM","Williams-Sonoma, Inc.")</f>
        <v>0</v>
      </c>
      <c r="C170" t="s">
        <v>629</v>
      </c>
      <c r="D170">
        <v>0.025679758308157</v>
      </c>
      <c r="E170">
        <v>-0.005049362036593896</v>
      </c>
      <c r="F170">
        <v>0.04</v>
      </c>
      <c r="G170">
        <v>0.05922730906489959</v>
      </c>
      <c r="H170" t="s">
        <v>634</v>
      </c>
      <c r="I170" t="s">
        <v>494</v>
      </c>
    </row>
    <row r="171" spans="1:9">
      <c r="A171" s="1" t="s">
        <v>178</v>
      </c>
      <c r="B171">
        <f>HYPERLINK("https://www.suredividend.com/sure-analysis-NEP","NextEra Energy Partners LP")</f>
        <v>0</v>
      </c>
      <c r="C171" t="s">
        <v>631</v>
      </c>
      <c r="D171">
        <v>0.03566735498404301</v>
      </c>
      <c r="E171">
        <v>-0.0206189240682747</v>
      </c>
      <c r="F171">
        <v>0.04</v>
      </c>
      <c r="G171">
        <v>0.05633675360923585</v>
      </c>
      <c r="H171" t="s">
        <v>634</v>
      </c>
      <c r="I171" t="s">
        <v>634</v>
      </c>
    </row>
    <row r="172" spans="1:9">
      <c r="A172" s="1" t="s">
        <v>179</v>
      </c>
      <c r="B172">
        <f>HYPERLINK("https://www.suredividend.com/sure-analysis-HMC","Honda Motor Co., Ltd.")</f>
        <v>0</v>
      </c>
      <c r="C172" t="s">
        <v>629</v>
      </c>
      <c r="D172">
        <v>0.03555517122103</v>
      </c>
      <c r="E172">
        <v>-0.006376194417760717</v>
      </c>
      <c r="F172">
        <v>0.029</v>
      </c>
      <c r="G172">
        <v>0.05549582879557602</v>
      </c>
      <c r="H172" t="s">
        <v>634</v>
      </c>
      <c r="I172" t="s">
        <v>634</v>
      </c>
    </row>
    <row r="173" spans="1:9">
      <c r="A173" s="1" t="s">
        <v>180</v>
      </c>
      <c r="B173">
        <f>HYPERLINK("https://www.suredividend.com/sure-analysis-TJX","The TJX Cos., Inc.")</f>
        <v>0</v>
      </c>
      <c r="C173" t="s">
        <v>629</v>
      </c>
      <c r="D173">
        <v>0.014754918306102</v>
      </c>
      <c r="E173">
        <v>-0.04760242857188512</v>
      </c>
      <c r="F173">
        <v>0.09</v>
      </c>
      <c r="G173">
        <v>0.05526306820862259</v>
      </c>
      <c r="H173" t="s">
        <v>634</v>
      </c>
      <c r="I173" t="s">
        <v>494</v>
      </c>
    </row>
    <row r="174" spans="1:9">
      <c r="A174" s="1" t="s">
        <v>181</v>
      </c>
      <c r="B174">
        <f>HYPERLINK("https://www.suredividend.com/sure-analysis-FOXA","Fox Corp.")</f>
        <v>0</v>
      </c>
      <c r="C174" t="s">
        <v>629</v>
      </c>
      <c r="D174">
        <v>0.012375571697605</v>
      </c>
      <c r="E174">
        <v>0.004426603676314977</v>
      </c>
      <c r="F174">
        <v>0.042</v>
      </c>
      <c r="G174">
        <v>0.05378948086001478</v>
      </c>
      <c r="H174" t="s">
        <v>634</v>
      </c>
      <c r="I174" t="s">
        <v>405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629</v>
      </c>
      <c r="D175">
        <v>0.018020594965675</v>
      </c>
      <c r="E175">
        <v>-0.03013794973984163</v>
      </c>
      <c r="F175">
        <v>0.06</v>
      </c>
      <c r="G175">
        <v>0.05331578201241305</v>
      </c>
      <c r="H175" t="s">
        <v>634</v>
      </c>
      <c r="I175" t="s">
        <v>494</v>
      </c>
    </row>
    <row r="176" spans="1:9">
      <c r="A176" s="1" t="s">
        <v>183</v>
      </c>
      <c r="B176">
        <f>HYPERLINK("https://www.suredividend.com/sure-analysis-KSU","Kansas City Southern")</f>
        <v>0</v>
      </c>
      <c r="C176" t="s">
        <v>629</v>
      </c>
      <c r="D176">
        <v>0.009284332688588</v>
      </c>
      <c r="E176">
        <v>-0.03767972858362534</v>
      </c>
      <c r="F176">
        <v>0.08400000000000001</v>
      </c>
      <c r="G176">
        <v>0.05245758257405364</v>
      </c>
      <c r="H176" t="s">
        <v>634</v>
      </c>
      <c r="I176" t="s">
        <v>405</v>
      </c>
    </row>
    <row r="177" spans="1:9">
      <c r="A177" s="1" t="s">
        <v>184</v>
      </c>
      <c r="B177">
        <f>HYPERLINK("https://www.suredividend.com/sure-analysis-XYL","Xylem, Inc.")</f>
        <v>0</v>
      </c>
      <c r="C177" t="s">
        <v>629</v>
      </c>
      <c r="D177">
        <v>0.011830555908917</v>
      </c>
      <c r="E177">
        <v>-0.05259714133388005</v>
      </c>
      <c r="F177">
        <v>0.094</v>
      </c>
      <c r="G177">
        <v>0.05070617670795752</v>
      </c>
      <c r="H177" t="s">
        <v>634</v>
      </c>
      <c r="I177" t="s">
        <v>382</v>
      </c>
    </row>
    <row r="178" spans="1:9">
      <c r="A178" s="1" t="s">
        <v>185</v>
      </c>
      <c r="B178">
        <f>HYPERLINK("https://www.suredividend.com/sure-analysis-AIZ","Assurant, Inc.")</f>
        <v>0</v>
      </c>
      <c r="C178" t="s">
        <v>629</v>
      </c>
      <c r="D178">
        <v>0.018284321194575</v>
      </c>
      <c r="E178">
        <v>-0.01777774690264211</v>
      </c>
      <c r="F178">
        <v>0.05</v>
      </c>
      <c r="G178">
        <v>0.05027814844805167</v>
      </c>
      <c r="H178" t="s">
        <v>634</v>
      </c>
      <c r="I178" t="s">
        <v>494</v>
      </c>
    </row>
    <row r="179" spans="1:9">
      <c r="A179" s="1" t="s">
        <v>186</v>
      </c>
      <c r="B179">
        <f>HYPERLINK("https://www.suredividend.com/sure-analysis-KR","The Kroger Co.")</f>
        <v>0</v>
      </c>
      <c r="C179" t="s">
        <v>629</v>
      </c>
      <c r="D179">
        <v>0.020689655172413</v>
      </c>
      <c r="E179">
        <v>-0.02160309544119665</v>
      </c>
      <c r="F179">
        <v>0.05</v>
      </c>
      <c r="G179">
        <v>0.04751273938001233</v>
      </c>
      <c r="H179" t="s">
        <v>634</v>
      </c>
      <c r="I179" t="s">
        <v>634</v>
      </c>
    </row>
    <row r="180" spans="1:9">
      <c r="A180" s="1" t="s">
        <v>187</v>
      </c>
      <c r="B180">
        <f>HYPERLINK("https://www.suredividend.com/sure-analysis-MDU","MDU Resources Group, Inc.")</f>
        <v>0</v>
      </c>
      <c r="C180" t="s">
        <v>629</v>
      </c>
      <c r="D180">
        <v>0.027208599261001</v>
      </c>
      <c r="E180">
        <v>-0.02671752688410378</v>
      </c>
      <c r="F180">
        <v>0.05</v>
      </c>
      <c r="G180">
        <v>0.04692054146044433</v>
      </c>
      <c r="H180" t="s">
        <v>634</v>
      </c>
      <c r="I180" t="s">
        <v>634</v>
      </c>
    </row>
    <row r="181" spans="1:9">
      <c r="A181" s="1" t="s">
        <v>188</v>
      </c>
      <c r="B181">
        <f>HYPERLINK("https://www.suredividend.com/sure-analysis-DG","Dollar General Corp.")</f>
        <v>0</v>
      </c>
      <c r="C181" t="s">
        <v>629</v>
      </c>
      <c r="D181">
        <v>0.007976517133558</v>
      </c>
      <c r="E181">
        <v>-0.05676951149959852</v>
      </c>
      <c r="F181">
        <v>0.1</v>
      </c>
      <c r="G181">
        <v>0.04637250971303075</v>
      </c>
      <c r="H181" t="s">
        <v>634</v>
      </c>
      <c r="I181" t="s">
        <v>405</v>
      </c>
    </row>
    <row r="182" spans="1:9">
      <c r="A182" s="1" t="s">
        <v>189</v>
      </c>
      <c r="B182">
        <f>HYPERLINK("https://www.suredividend.com/sure-analysis-LEG","Leggett &amp; Platt, Inc.")</f>
        <v>0</v>
      </c>
      <c r="C182" t="s">
        <v>629</v>
      </c>
      <c r="D182">
        <v>0.03030303030303</v>
      </c>
      <c r="E182">
        <v>-0.04450358111452379</v>
      </c>
      <c r="F182">
        <v>0.06</v>
      </c>
      <c r="G182">
        <v>0.04551905780997489</v>
      </c>
      <c r="H182" t="s">
        <v>634</v>
      </c>
      <c r="I182" t="s">
        <v>633</v>
      </c>
    </row>
    <row r="183" spans="1:9">
      <c r="A183" s="1" t="s">
        <v>190</v>
      </c>
      <c r="B183">
        <f>HYPERLINK("https://www.suredividend.com/sure-analysis-BMY","Bristol-Myers Squibb Co.")</f>
        <v>0</v>
      </c>
      <c r="C183" t="s">
        <v>629</v>
      </c>
      <c r="D183">
        <v>0.025822705085813</v>
      </c>
      <c r="E183">
        <v>-0.01798713770531846</v>
      </c>
      <c r="F183">
        <v>0.04</v>
      </c>
      <c r="G183">
        <v>0.04548155146970645</v>
      </c>
      <c r="H183" t="s">
        <v>634</v>
      </c>
      <c r="I183" t="s">
        <v>494</v>
      </c>
    </row>
    <row r="184" spans="1:9">
      <c r="A184" s="1" t="s">
        <v>191</v>
      </c>
      <c r="B184">
        <f>HYPERLINK("https://www.suredividend.com/sure-analysis-KMB","Kimberly-Clark Corp.")</f>
        <v>0</v>
      </c>
      <c r="C184" t="s">
        <v>629</v>
      </c>
      <c r="D184">
        <v>0.029635533656981</v>
      </c>
      <c r="E184">
        <v>-0.02276522922457902</v>
      </c>
      <c r="F184">
        <v>0.04</v>
      </c>
      <c r="G184">
        <v>0.04531722612443656</v>
      </c>
      <c r="H184" t="s">
        <v>634</v>
      </c>
      <c r="I184" t="s">
        <v>633</v>
      </c>
    </row>
    <row r="185" spans="1:9">
      <c r="A185" s="1" t="s">
        <v>192</v>
      </c>
      <c r="B185">
        <f>HYPERLINK("https://www.suredividend.com/sure-analysis-CFR","Cullen/Frost Bankers, Inc.")</f>
        <v>0</v>
      </c>
      <c r="C185" t="s">
        <v>629</v>
      </c>
      <c r="D185">
        <v>0.028091603053435</v>
      </c>
      <c r="E185">
        <v>-0.03317225093139342</v>
      </c>
      <c r="F185">
        <v>0.05</v>
      </c>
      <c r="G185">
        <v>0.04255550003583708</v>
      </c>
      <c r="H185" t="s">
        <v>634</v>
      </c>
      <c r="I185" t="s">
        <v>634</v>
      </c>
    </row>
    <row r="186" spans="1:9">
      <c r="A186" s="1" t="s">
        <v>193</v>
      </c>
      <c r="B186">
        <f>HYPERLINK("https://www.suredividend.com/sure-analysis-NVS","Novartis AG")</f>
        <v>0</v>
      </c>
      <c r="C186" t="s">
        <v>629</v>
      </c>
      <c r="D186">
        <v>0.019537384664333</v>
      </c>
      <c r="E186">
        <v>-0.02754470961415068</v>
      </c>
      <c r="F186">
        <v>0.04</v>
      </c>
      <c r="G186">
        <v>0.04209174717476727</v>
      </c>
      <c r="H186" t="s">
        <v>634</v>
      </c>
      <c r="I186" t="s">
        <v>494</v>
      </c>
    </row>
    <row r="187" spans="1:9">
      <c r="A187" s="1" t="s">
        <v>194</v>
      </c>
      <c r="B187">
        <f>HYPERLINK("https://www.suredividend.com/sure-analysis-DIS","The Walt Disney Co.")</f>
        <v>0</v>
      </c>
      <c r="C187" t="s">
        <v>629</v>
      </c>
      <c r="D187">
        <v>0.0119825708061</v>
      </c>
      <c r="E187">
        <v>-0.056186892911124</v>
      </c>
      <c r="F187">
        <v>0.09</v>
      </c>
      <c r="G187">
        <v>0.04206672564268898</v>
      </c>
      <c r="H187" t="s">
        <v>634</v>
      </c>
      <c r="I187" t="s">
        <v>405</v>
      </c>
    </row>
    <row r="188" spans="1:9">
      <c r="A188" s="1" t="s">
        <v>195</v>
      </c>
      <c r="B188">
        <f>HYPERLINK("https://www.suredividend.com/sure-analysis-NSC","Norfolk Southern Corp.")</f>
        <v>0</v>
      </c>
      <c r="C188" t="s">
        <v>629</v>
      </c>
      <c r="D188">
        <v>0.017780975384141</v>
      </c>
      <c r="E188">
        <v>-0.04080409991877743</v>
      </c>
      <c r="F188">
        <v>0.065</v>
      </c>
      <c r="G188">
        <v>0.04191488757615325</v>
      </c>
      <c r="H188" t="s">
        <v>634</v>
      </c>
      <c r="I188" t="s">
        <v>405</v>
      </c>
    </row>
    <row r="189" spans="1:9">
      <c r="A189" s="1" t="s">
        <v>196</v>
      </c>
      <c r="B189">
        <f>HYPERLINK("https://www.suredividend.com/sure-analysis-CHD","Church &amp; Dwight Co., Inc.")</f>
        <v>0</v>
      </c>
      <c r="C189" t="s">
        <v>629</v>
      </c>
      <c r="D189">
        <v>0.012811387900355</v>
      </c>
      <c r="E189">
        <v>-0.05838926088757501</v>
      </c>
      <c r="F189">
        <v>0.09</v>
      </c>
      <c r="G189">
        <v>0.04036038037522927</v>
      </c>
      <c r="H189" t="s">
        <v>634</v>
      </c>
      <c r="I189" t="s">
        <v>405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629</v>
      </c>
      <c r="D190">
        <v>0.019666867348986</v>
      </c>
      <c r="E190">
        <v>-0.02755232552207043</v>
      </c>
      <c r="F190">
        <v>0.05</v>
      </c>
      <c r="G190">
        <v>0.04013867408796323</v>
      </c>
      <c r="H190" t="s">
        <v>634</v>
      </c>
      <c r="I190" t="s">
        <v>634</v>
      </c>
    </row>
    <row r="191" spans="1:9">
      <c r="A191" s="1" t="s">
        <v>198</v>
      </c>
      <c r="B191">
        <f>HYPERLINK("https://www.suredividend.com/sure-analysis-AMAT","Applied Materials, Inc.")</f>
        <v>0</v>
      </c>
      <c r="C191" t="s">
        <v>629</v>
      </c>
      <c r="D191">
        <v>0.013428247856333</v>
      </c>
      <c r="E191">
        <v>-0.06150761291650875</v>
      </c>
      <c r="F191">
        <v>0.09</v>
      </c>
      <c r="G191">
        <v>0.03960012338705066</v>
      </c>
      <c r="H191" t="s">
        <v>634</v>
      </c>
      <c r="I191" t="s">
        <v>382</v>
      </c>
    </row>
    <row r="192" spans="1:9">
      <c r="A192" s="1" t="s">
        <v>199</v>
      </c>
      <c r="B192">
        <f>HYPERLINK("https://www.suredividend.com/sure-analysis-KLAC","KLA Corp.")</f>
        <v>0</v>
      </c>
      <c r="C192" t="s">
        <v>629</v>
      </c>
      <c r="D192">
        <v>0.016904265509663</v>
      </c>
      <c r="E192">
        <v>-0.06180534974110896</v>
      </c>
      <c r="F192">
        <v>0.08599999999999999</v>
      </c>
      <c r="G192">
        <v>0.03930212332694927</v>
      </c>
      <c r="H192" t="s">
        <v>634</v>
      </c>
      <c r="I192" t="s">
        <v>405</v>
      </c>
    </row>
    <row r="193" spans="1:9">
      <c r="A193" s="1" t="s">
        <v>200</v>
      </c>
      <c r="B193">
        <f>HYPERLINK("https://www.suredividend.com/sure-analysis-JPM","JPMorgan Chase &amp; Co.")</f>
        <v>0</v>
      </c>
      <c r="C193" t="s">
        <v>629</v>
      </c>
      <c r="D193">
        <v>0.024045467793646</v>
      </c>
      <c r="E193">
        <v>-0.0432854141760356</v>
      </c>
      <c r="F193">
        <v>0.055</v>
      </c>
      <c r="G193">
        <v>0.03781617558025352</v>
      </c>
      <c r="H193" t="s">
        <v>634</v>
      </c>
      <c r="I193" t="s">
        <v>494</v>
      </c>
    </row>
    <row r="194" spans="1:9">
      <c r="A194" s="1" t="s">
        <v>201</v>
      </c>
      <c r="B194">
        <f>HYPERLINK("https://www.suredividend.com/sure-analysis-ALL","The Allstate Corp.")</f>
        <v>0</v>
      </c>
      <c r="C194" t="s">
        <v>629</v>
      </c>
      <c r="D194">
        <v>0.017565872020075</v>
      </c>
      <c r="E194">
        <v>-0.02167595286261725</v>
      </c>
      <c r="F194">
        <v>0.04</v>
      </c>
      <c r="G194">
        <v>0.03765705077585468</v>
      </c>
      <c r="H194" t="s">
        <v>634</v>
      </c>
      <c r="I194" t="s">
        <v>494</v>
      </c>
    </row>
    <row r="195" spans="1:9">
      <c r="A195" s="1" t="s">
        <v>202</v>
      </c>
      <c r="B195">
        <f>HYPERLINK("https://www.suredividend.com/sure-analysis-RRD","R.R. Donnelley &amp; Sons Co.")</f>
        <v>0</v>
      </c>
      <c r="C195" t="s">
        <v>629</v>
      </c>
      <c r="D195">
        <v>0.029411764705882</v>
      </c>
      <c r="E195">
        <v>0.01055896337980999</v>
      </c>
      <c r="F195">
        <v>0</v>
      </c>
      <c r="G195">
        <v>0.03730670085979049</v>
      </c>
      <c r="H195" t="s">
        <v>634</v>
      </c>
      <c r="I195" t="s">
        <v>634</v>
      </c>
    </row>
    <row r="196" spans="1:9">
      <c r="A196" s="1" t="s">
        <v>203</v>
      </c>
      <c r="B196">
        <f>HYPERLINK("https://www.suredividend.com/sure-analysis-LRCX","Lam Research Corp.")</f>
        <v>0</v>
      </c>
      <c r="C196" t="s">
        <v>629</v>
      </c>
      <c r="D196">
        <v>0.014962509666789</v>
      </c>
      <c r="E196">
        <v>-0.05427386639223553</v>
      </c>
      <c r="F196">
        <v>0.08</v>
      </c>
      <c r="G196">
        <v>0.03610384738809191</v>
      </c>
      <c r="H196" t="s">
        <v>634</v>
      </c>
      <c r="I196" t="s">
        <v>405</v>
      </c>
    </row>
    <row r="197" spans="1:9">
      <c r="A197" s="1" t="s">
        <v>204</v>
      </c>
      <c r="B197">
        <f>HYPERLINK("https://www.suredividend.com/sure-analysis-RTN","Raytheon Co.")</f>
        <v>0</v>
      </c>
      <c r="C197" t="s">
        <v>629</v>
      </c>
      <c r="D197">
        <v>0.016996320147194</v>
      </c>
      <c r="E197">
        <v>-0.04137086163826809</v>
      </c>
      <c r="F197">
        <v>0.06</v>
      </c>
      <c r="G197">
        <v>0.03597053226618474</v>
      </c>
      <c r="H197" t="s">
        <v>634</v>
      </c>
      <c r="I197" t="s">
        <v>494</v>
      </c>
    </row>
    <row r="198" spans="1:9">
      <c r="A198" s="1" t="s">
        <v>205</v>
      </c>
      <c r="B198">
        <f>HYPERLINK("https://www.suredividend.com/sure-analysis-OMI","Owens &amp; Minor, Inc.")</f>
        <v>0</v>
      </c>
      <c r="C198" t="s">
        <v>629</v>
      </c>
      <c r="D198">
        <v>0.01656626506024</v>
      </c>
      <c r="E198">
        <v>-0.02446093151914286</v>
      </c>
      <c r="F198">
        <v>0.06</v>
      </c>
      <c r="G198">
        <v>0.03582165570578066</v>
      </c>
      <c r="H198" t="s">
        <v>634</v>
      </c>
      <c r="I198" t="s">
        <v>494</v>
      </c>
    </row>
    <row r="199" spans="1:9">
      <c r="A199" s="1" t="s">
        <v>206</v>
      </c>
      <c r="B199">
        <f>HYPERLINK("https://www.suredividend.com/sure-analysis-RE","Everest Re Group Ltd.")</f>
        <v>0</v>
      </c>
      <c r="C199" t="s">
        <v>629</v>
      </c>
      <c r="D199">
        <v>0.020196191575302</v>
      </c>
      <c r="E199">
        <v>-0.04349579016371241</v>
      </c>
      <c r="F199">
        <v>0.058</v>
      </c>
      <c r="G199">
        <v>0.03400669266275691</v>
      </c>
      <c r="H199" t="s">
        <v>634</v>
      </c>
      <c r="I199" t="s">
        <v>494</v>
      </c>
    </row>
    <row r="200" spans="1:9">
      <c r="A200" s="1" t="s">
        <v>207</v>
      </c>
      <c r="B200">
        <f>HYPERLINK("https://www.suredividend.com/sure-analysis-BBY","Best Buy Co., Inc.")</f>
        <v>0</v>
      </c>
      <c r="C200" t="s">
        <v>629</v>
      </c>
      <c r="D200">
        <v>0.02222728827083</v>
      </c>
      <c r="E200">
        <v>-0.04143394875771256</v>
      </c>
      <c r="F200">
        <v>0.05</v>
      </c>
      <c r="G200">
        <v>0.03319737486342311</v>
      </c>
      <c r="H200" t="s">
        <v>634</v>
      </c>
      <c r="I200" t="s">
        <v>494</v>
      </c>
    </row>
    <row r="201" spans="1:9">
      <c r="A201" s="1" t="s">
        <v>208</v>
      </c>
      <c r="B201">
        <f>HYPERLINK("https://www.suredividend.com/sure-analysis-SWKS","Skyworks Solutions, Inc.")</f>
        <v>0</v>
      </c>
      <c r="C201" t="s">
        <v>629</v>
      </c>
      <c r="D201">
        <v>0.013288477712363</v>
      </c>
      <c r="E201">
        <v>-0.06713352405048822</v>
      </c>
      <c r="F201">
        <v>0.09</v>
      </c>
      <c r="G201">
        <v>0.03311361484823139</v>
      </c>
      <c r="H201" t="s">
        <v>634</v>
      </c>
      <c r="I201" t="s">
        <v>405</v>
      </c>
    </row>
    <row r="202" spans="1:9">
      <c r="A202" s="1" t="s">
        <v>209</v>
      </c>
      <c r="B202">
        <f>HYPERLINK("https://www.suredividend.com/sure-analysis-IR","Ingersoll-Rand Plc")</f>
        <v>0</v>
      </c>
      <c r="C202" t="s">
        <v>629</v>
      </c>
      <c r="D202">
        <v>0.015702540552551</v>
      </c>
      <c r="E202">
        <v>-0.05453197287821709</v>
      </c>
      <c r="F202">
        <v>0.07000000000000001</v>
      </c>
      <c r="G202">
        <v>0.03129464723357001</v>
      </c>
      <c r="H202" t="s">
        <v>634</v>
      </c>
      <c r="I202" t="s">
        <v>405</v>
      </c>
    </row>
    <row r="203" spans="1:9">
      <c r="A203" s="1" t="s">
        <v>210</v>
      </c>
      <c r="B203">
        <f>HYPERLINK("https://www.suredividend.com/sure-analysis-MSFT","Microsoft Corp.")</f>
        <v>0</v>
      </c>
      <c r="C203" t="s">
        <v>629</v>
      </c>
      <c r="D203">
        <v>0.012006861063464</v>
      </c>
      <c r="E203">
        <v>-0.06249302727739114</v>
      </c>
      <c r="F203">
        <v>0.08</v>
      </c>
      <c r="G203">
        <v>0.02837394512698976</v>
      </c>
      <c r="H203" t="s">
        <v>634</v>
      </c>
      <c r="I203" t="s">
        <v>405</v>
      </c>
    </row>
    <row r="204" spans="1:9">
      <c r="A204" s="1" t="s">
        <v>211</v>
      </c>
      <c r="B204">
        <f>HYPERLINK("https://www.suredividend.com/sure-analysis-KO","The Coca-Cola Co.")</f>
        <v>0</v>
      </c>
      <c r="C204" t="s">
        <v>629</v>
      </c>
      <c r="D204">
        <v>0.028924868109878</v>
      </c>
      <c r="E204">
        <v>-0.06160248104078991</v>
      </c>
      <c r="F204">
        <v>0.06</v>
      </c>
      <c r="G204">
        <v>0.02664228824757409</v>
      </c>
      <c r="H204" t="s">
        <v>634</v>
      </c>
      <c r="I204" t="s">
        <v>634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629</v>
      </c>
      <c r="D205">
        <v>0.026726310217046</v>
      </c>
      <c r="E205">
        <v>-0.04506928997591031</v>
      </c>
      <c r="F205">
        <v>0.04</v>
      </c>
      <c r="G205">
        <v>0.02616986797025733</v>
      </c>
      <c r="H205" t="s">
        <v>634</v>
      </c>
      <c r="I205" t="s">
        <v>634</v>
      </c>
    </row>
    <row r="206" spans="1:9">
      <c r="A206" s="1" t="s">
        <v>213</v>
      </c>
      <c r="B206">
        <f>HYPERLINK("https://www.suredividend.com/sure-analysis-COST","Costco Wholesale Corp.")</f>
        <v>0</v>
      </c>
      <c r="C206" t="s">
        <v>629</v>
      </c>
      <c r="D206">
        <v>0.008547298443170001</v>
      </c>
      <c r="E206">
        <v>-0.06919413826588772</v>
      </c>
      <c r="F206">
        <v>0.09</v>
      </c>
      <c r="G206">
        <v>0.02615124578223327</v>
      </c>
      <c r="H206" t="s">
        <v>634</v>
      </c>
      <c r="I206" t="s">
        <v>405</v>
      </c>
    </row>
    <row r="207" spans="1:9">
      <c r="A207" s="1" t="s">
        <v>214</v>
      </c>
      <c r="B207">
        <f>HYPERLINK("https://www.suredividend.com/sure-analysis-PEP","PepsiCo, Inc.")</f>
        <v>0</v>
      </c>
      <c r="C207" t="s">
        <v>629</v>
      </c>
      <c r="D207">
        <v>0.027298433874709</v>
      </c>
      <c r="E207">
        <v>-0.05489248129667346</v>
      </c>
      <c r="F207">
        <v>0.055</v>
      </c>
      <c r="G207">
        <v>0.02542151211183863</v>
      </c>
      <c r="H207" t="s">
        <v>634</v>
      </c>
      <c r="I207" t="s">
        <v>634</v>
      </c>
    </row>
    <row r="208" spans="1:9">
      <c r="A208" s="1" t="s">
        <v>215</v>
      </c>
      <c r="B208">
        <f>HYPERLINK("https://www.suredividend.com/sure-analysis-UNP","Union Pacific Corp.")</f>
        <v>0</v>
      </c>
      <c r="C208" t="s">
        <v>629</v>
      </c>
      <c r="D208">
        <v>0.019567627494456</v>
      </c>
      <c r="E208">
        <v>-0.04540336120118726</v>
      </c>
      <c r="F208">
        <v>0.05</v>
      </c>
      <c r="G208">
        <v>0.02380994498572542</v>
      </c>
      <c r="H208" t="s">
        <v>634</v>
      </c>
      <c r="I208" t="s">
        <v>405</v>
      </c>
    </row>
    <row r="209" spans="1:9">
      <c r="A209" s="1" t="s">
        <v>216</v>
      </c>
      <c r="B209">
        <f>HYPERLINK("https://www.suredividend.com/sure-analysis-APTV","Aptiv Plc")</f>
        <v>0</v>
      </c>
      <c r="C209" t="s">
        <v>629</v>
      </c>
      <c r="D209">
        <v>0.009133367929423</v>
      </c>
      <c r="E209">
        <v>-0.05923462242676958</v>
      </c>
      <c r="F209">
        <v>0.07000000000000001</v>
      </c>
      <c r="G209">
        <v>0.02342654395406196</v>
      </c>
      <c r="H209" t="s">
        <v>634</v>
      </c>
      <c r="I209" t="s">
        <v>405</v>
      </c>
    </row>
    <row r="210" spans="1:9">
      <c r="A210" s="1" t="s">
        <v>217</v>
      </c>
      <c r="B210">
        <f>HYPERLINK("https://www.suredividend.com/sure-analysis-TSN","Tyson Foods, Inc.")</f>
        <v>0</v>
      </c>
      <c r="C210" t="s">
        <v>629</v>
      </c>
      <c r="D210">
        <v>0.017004182258419</v>
      </c>
      <c r="E210">
        <v>-0.04813113131675162</v>
      </c>
      <c r="F210">
        <v>0.05</v>
      </c>
      <c r="G210">
        <v>0.01990839433284841</v>
      </c>
      <c r="H210" t="s">
        <v>634</v>
      </c>
      <c r="I210" t="s">
        <v>405</v>
      </c>
    </row>
    <row r="211" spans="1:9">
      <c r="A211" s="1" t="s">
        <v>218</v>
      </c>
      <c r="B211">
        <f>HYPERLINK("https://www.suredividend.com/sure-analysis-MCD","McDonald's Corp.")</f>
        <v>0</v>
      </c>
      <c r="C211" t="s">
        <v>629</v>
      </c>
      <c r="D211">
        <v>0.023536572993811</v>
      </c>
      <c r="E211">
        <v>-0.06351091824261157</v>
      </c>
      <c r="F211">
        <v>0.06</v>
      </c>
      <c r="G211">
        <v>0.01914331460644325</v>
      </c>
      <c r="H211" t="s">
        <v>634</v>
      </c>
      <c r="I211" t="s">
        <v>634</v>
      </c>
    </row>
    <row r="212" spans="1:9">
      <c r="A212" s="1" t="s">
        <v>219</v>
      </c>
      <c r="B212">
        <f>HYPERLINK("https://www.suredividend.com/sure-analysis-BAH","Booz Allen Hamilton Holding Corp.")</f>
        <v>0</v>
      </c>
      <c r="C212" t="s">
        <v>629</v>
      </c>
      <c r="D212">
        <v>0.012254560646149</v>
      </c>
      <c r="E212">
        <v>-0.07359214098095423</v>
      </c>
      <c r="F212">
        <v>0.08</v>
      </c>
      <c r="G212">
        <v>0.01807709217751863</v>
      </c>
      <c r="H212" t="s">
        <v>634</v>
      </c>
      <c r="I212" t="s">
        <v>405</v>
      </c>
    </row>
    <row r="213" spans="1:9">
      <c r="A213" s="1" t="s">
        <v>220</v>
      </c>
      <c r="B213">
        <f>HYPERLINK("https://www.suredividend.com/sure-analysis-CLX","The Clorox Co.")</f>
        <v>0</v>
      </c>
      <c r="C213" t="s">
        <v>629</v>
      </c>
      <c r="D213">
        <v>0.026464037730905</v>
      </c>
      <c r="E213">
        <v>-0.04384805122496449</v>
      </c>
      <c r="F213">
        <v>0.03</v>
      </c>
      <c r="G213">
        <v>0.01620058594848128</v>
      </c>
      <c r="H213" t="s">
        <v>634</v>
      </c>
      <c r="I213" t="s">
        <v>634</v>
      </c>
    </row>
    <row r="214" spans="1:9">
      <c r="A214" s="1" t="s">
        <v>221</v>
      </c>
      <c r="B214">
        <f>HYPERLINK("https://www.suredividend.com/sure-analysis-MAR","Marriott International, Inc.")</f>
        <v>0</v>
      </c>
      <c r="C214" t="s">
        <v>629</v>
      </c>
      <c r="D214">
        <v>0.011803713527851</v>
      </c>
      <c r="E214">
        <v>-0.05775609635743351</v>
      </c>
      <c r="F214">
        <v>0.064</v>
      </c>
      <c r="G214">
        <v>0.01547934408747187</v>
      </c>
      <c r="H214" t="s">
        <v>634</v>
      </c>
      <c r="I214" t="s">
        <v>405</v>
      </c>
    </row>
    <row r="215" spans="1:9">
      <c r="A215" s="1" t="s">
        <v>222</v>
      </c>
      <c r="B215">
        <f>HYPERLINK("https://www.suredividend.com/sure-analysis-HII","Huntington Ingalls Industries, Inc.")</f>
        <v>0</v>
      </c>
      <c r="C215" t="s">
        <v>629</v>
      </c>
      <c r="D215">
        <v>0.013537444413836</v>
      </c>
      <c r="E215">
        <v>-0.05060516862993492</v>
      </c>
      <c r="F215">
        <v>0.05</v>
      </c>
      <c r="G215">
        <v>0.01534121430788682</v>
      </c>
      <c r="H215" t="s">
        <v>634</v>
      </c>
      <c r="I215" t="s">
        <v>405</v>
      </c>
    </row>
    <row r="216" spans="1:9">
      <c r="A216" s="1" t="s">
        <v>223</v>
      </c>
      <c r="B216">
        <f>HYPERLINK("https://www.suredividend.com/sure-analysis-ED","Consolidated Edison, Inc.")</f>
        <v>0</v>
      </c>
      <c r="C216" t="s">
        <v>629</v>
      </c>
      <c r="D216">
        <v>0.032384420169921</v>
      </c>
      <c r="E216">
        <v>-0.05862954341735305</v>
      </c>
      <c r="F216">
        <v>0.035</v>
      </c>
      <c r="G216">
        <v>0.01161322328220171</v>
      </c>
      <c r="H216" t="s">
        <v>634</v>
      </c>
      <c r="I216" t="s">
        <v>634</v>
      </c>
    </row>
    <row r="217" spans="1:9">
      <c r="A217" s="1" t="s">
        <v>224</v>
      </c>
      <c r="B217">
        <f>HYPERLINK("https://www.suredividend.com/sure-analysis-CAE","CAE, Inc.")</f>
        <v>0</v>
      </c>
      <c r="C217" t="s">
        <v>629</v>
      </c>
      <c r="D217">
        <v>0.011861109289394</v>
      </c>
      <c r="E217">
        <v>-0.07126255578898111</v>
      </c>
      <c r="F217">
        <v>0.07000000000000001</v>
      </c>
      <c r="G217">
        <v>0.009591611186466675</v>
      </c>
      <c r="H217" t="s">
        <v>634</v>
      </c>
      <c r="I217" t="s">
        <v>405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629</v>
      </c>
      <c r="D218">
        <v>0.007282658170232</v>
      </c>
      <c r="E218">
        <v>-0.05647383378205884</v>
      </c>
      <c r="F218">
        <v>0.06</v>
      </c>
      <c r="G218">
        <v>0.009039349480621794</v>
      </c>
      <c r="H218" t="s">
        <v>634</v>
      </c>
      <c r="I218" t="s">
        <v>382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629</v>
      </c>
      <c r="D219">
        <v>0.021840214175003</v>
      </c>
      <c r="E219">
        <v>-0.08306910662759914</v>
      </c>
      <c r="F219">
        <v>0.07000000000000001</v>
      </c>
      <c r="G219">
        <v>0.008922500680760503</v>
      </c>
      <c r="H219" t="s">
        <v>634</v>
      </c>
      <c r="I219" t="s">
        <v>494</v>
      </c>
    </row>
    <row r="220" spans="1:9">
      <c r="A220" s="1" t="s">
        <v>227</v>
      </c>
      <c r="B220">
        <f>HYPERLINK("https://www.suredividend.com/sure-analysis-ACN","Accenture Plc")</f>
        <v>0</v>
      </c>
      <c r="C220" t="s">
        <v>629</v>
      </c>
      <c r="D220">
        <v>0.013832306963524</v>
      </c>
      <c r="E220">
        <v>-0.08017477916906701</v>
      </c>
      <c r="F220">
        <v>0.075</v>
      </c>
      <c r="G220">
        <v>0.007148847571808448</v>
      </c>
      <c r="H220" t="s">
        <v>634</v>
      </c>
      <c r="I220" t="s">
        <v>382</v>
      </c>
    </row>
    <row r="221" spans="1:9">
      <c r="A221" s="1" t="s">
        <v>228</v>
      </c>
      <c r="B221">
        <f>HYPERLINK("https://www.suredividend.com/sure-analysis-MGRC","McGrath RentCorp")</f>
        <v>0</v>
      </c>
      <c r="C221" t="s">
        <v>629</v>
      </c>
      <c r="D221">
        <v>0.018878865979381</v>
      </c>
      <c r="E221">
        <v>-0.04389410996421528</v>
      </c>
      <c r="F221">
        <v>0.03</v>
      </c>
      <c r="G221">
        <v>0.006313460393370995</v>
      </c>
      <c r="H221" t="s">
        <v>634</v>
      </c>
      <c r="I221" t="s">
        <v>494</v>
      </c>
    </row>
    <row r="222" spans="1:9">
      <c r="A222" s="1" t="s">
        <v>229</v>
      </c>
      <c r="B222">
        <f>HYPERLINK("https://www.suredividend.com/sure-analysis-VFC","VF Corp.")</f>
        <v>0</v>
      </c>
      <c r="C222" t="s">
        <v>629</v>
      </c>
      <c r="D222">
        <v>0.020156314273961</v>
      </c>
      <c r="E222">
        <v>-0.09205140683913726</v>
      </c>
      <c r="F222">
        <v>0.08</v>
      </c>
      <c r="G222">
        <v>0.004668369932768313</v>
      </c>
      <c r="H222" t="s">
        <v>634</v>
      </c>
      <c r="I222" t="s">
        <v>634</v>
      </c>
    </row>
    <row r="223" spans="1:9">
      <c r="A223" s="1" t="s">
        <v>230</v>
      </c>
      <c r="B223">
        <f>HYPERLINK("https://www.suredividend.com/sure-analysis-LIN","Linde Plc")</f>
        <v>0</v>
      </c>
      <c r="C223" t="s">
        <v>629</v>
      </c>
      <c r="D223">
        <v>0.016265145443402</v>
      </c>
      <c r="E223">
        <v>-0.07842307149726591</v>
      </c>
      <c r="F223">
        <v>0.06</v>
      </c>
      <c r="G223">
        <v>-0.003677138337943364</v>
      </c>
      <c r="H223" t="s">
        <v>634</v>
      </c>
      <c r="I223" t="s">
        <v>405</v>
      </c>
    </row>
    <row r="224" spans="1:9">
      <c r="A224" s="1" t="s">
        <v>231</v>
      </c>
      <c r="B224">
        <f>HYPERLINK("https://www.suredividend.com/sure-analysis-AAPL","Apple, Inc.")</f>
        <v>0</v>
      </c>
      <c r="C224" t="s">
        <v>629</v>
      </c>
      <c r="D224">
        <v>0.010735757228743</v>
      </c>
      <c r="E224">
        <v>-0.07620872667991019</v>
      </c>
      <c r="F224">
        <v>0.06</v>
      </c>
      <c r="G224">
        <v>-0.006292186233321728</v>
      </c>
      <c r="H224" t="s">
        <v>634</v>
      </c>
      <c r="I224" t="s">
        <v>405</v>
      </c>
    </row>
    <row r="225" spans="1:9">
      <c r="A225" s="1" t="s">
        <v>232</v>
      </c>
      <c r="B225">
        <f>HYPERLINK("https://www.suredividend.com/sure-analysis-NKE","NIKE, Inc.")</f>
        <v>0</v>
      </c>
      <c r="C225" t="s">
        <v>629</v>
      </c>
      <c r="D225">
        <v>0.009053621448579</v>
      </c>
      <c r="E225">
        <v>-0.1000774117495407</v>
      </c>
      <c r="F225">
        <v>0.09</v>
      </c>
      <c r="G225">
        <v>-0.006354145458913329</v>
      </c>
      <c r="H225" t="s">
        <v>634</v>
      </c>
      <c r="I225" t="s">
        <v>405</v>
      </c>
    </row>
    <row r="226" spans="1:9">
      <c r="A226" s="1" t="s">
        <v>233</v>
      </c>
      <c r="B226">
        <f>HYPERLINK("https://www.suredividend.com/sure-analysis-WABC","Westamerica Bancorporation")</f>
        <v>0</v>
      </c>
      <c r="C226" t="s">
        <v>629</v>
      </c>
      <c r="D226">
        <v>0.023705004389815</v>
      </c>
      <c r="E226">
        <v>-0.05318381363284308</v>
      </c>
      <c r="F226">
        <v>0.02</v>
      </c>
      <c r="G226">
        <v>-0.006596565381158603</v>
      </c>
      <c r="H226" t="s">
        <v>634</v>
      </c>
      <c r="I226" t="s">
        <v>494</v>
      </c>
    </row>
    <row r="227" spans="1:9">
      <c r="A227" s="1" t="s">
        <v>234</v>
      </c>
      <c r="B227">
        <f>HYPERLINK("https://www.suredividend.com/sure-analysis-APD","Air Products &amp; Chemicals, Inc.")</f>
        <v>0</v>
      </c>
      <c r="C227" t="s">
        <v>629</v>
      </c>
      <c r="D227">
        <v>0.019489361702127</v>
      </c>
      <c r="E227">
        <v>-0.08832767668106511</v>
      </c>
      <c r="F227">
        <v>0.06</v>
      </c>
      <c r="G227">
        <v>-0.007312961558278319</v>
      </c>
      <c r="H227" t="s">
        <v>634</v>
      </c>
      <c r="I227" t="s">
        <v>494</v>
      </c>
    </row>
    <row r="228" spans="1:9">
      <c r="A228" s="1" t="s">
        <v>235</v>
      </c>
      <c r="B228">
        <f>HYPERLINK("https://www.suredividend.com/sure-analysis-JKHY","Jack Henry &amp; Associates, Inc.")</f>
        <v>0</v>
      </c>
      <c r="C228" t="s">
        <v>629</v>
      </c>
      <c r="D228">
        <v>0.010693366026426</v>
      </c>
      <c r="E228">
        <v>-0.1121492623958843</v>
      </c>
      <c r="F228">
        <v>0.097</v>
      </c>
      <c r="G228">
        <v>-0.00981769748723893</v>
      </c>
      <c r="H228" t="s">
        <v>634</v>
      </c>
      <c r="I228" t="s">
        <v>405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629</v>
      </c>
      <c r="D229">
        <v>0.018706574024585</v>
      </c>
      <c r="E229">
        <v>-0.09275452543735907</v>
      </c>
      <c r="F229">
        <v>0.06</v>
      </c>
      <c r="G229">
        <v>-0.01365605330410224</v>
      </c>
      <c r="H229" t="s">
        <v>634</v>
      </c>
      <c r="I229" t="s">
        <v>494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629</v>
      </c>
      <c r="D230">
        <v>0.008146468463928001</v>
      </c>
      <c r="E230">
        <v>-0.09074463298759483</v>
      </c>
      <c r="F230">
        <v>0.07000000000000001</v>
      </c>
      <c r="G230">
        <v>-0.0143988629561258</v>
      </c>
      <c r="H230" t="s">
        <v>634</v>
      </c>
      <c r="I230" t="s">
        <v>405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629</v>
      </c>
      <c r="D231">
        <v>0.006167295371534</v>
      </c>
      <c r="E231">
        <v>-0.09213985768038302</v>
      </c>
      <c r="F231">
        <v>0.075</v>
      </c>
      <c r="G231">
        <v>-0.01671486421153823</v>
      </c>
      <c r="H231" t="s">
        <v>634</v>
      </c>
      <c r="I231" t="s">
        <v>382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629</v>
      </c>
      <c r="D232">
        <v>0.025724343352288</v>
      </c>
      <c r="E232">
        <v>-0.08643866406995637</v>
      </c>
      <c r="F232">
        <v>0.029</v>
      </c>
      <c r="G232">
        <v>-0.02669489072659792</v>
      </c>
      <c r="H232" t="s">
        <v>634</v>
      </c>
      <c r="I232" t="s">
        <v>634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629</v>
      </c>
      <c r="D233">
        <v>0.017100977198697</v>
      </c>
      <c r="E233">
        <v>-0.1082971431034301</v>
      </c>
      <c r="F233">
        <v>0.028</v>
      </c>
      <c r="G233">
        <v>-0.05792067610139995</v>
      </c>
      <c r="H233" t="s">
        <v>634</v>
      </c>
      <c r="I233" t="s">
        <v>494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630</v>
      </c>
      <c r="D234">
        <v>0.09463087248322101</v>
      </c>
      <c r="E234">
        <v>0.1177827828386631</v>
      </c>
      <c r="F234">
        <v>0.04</v>
      </c>
      <c r="G234">
        <v>0.2175349682725718</v>
      </c>
      <c r="H234" t="s">
        <v>494</v>
      </c>
      <c r="I234" t="s">
        <v>633</v>
      </c>
    </row>
    <row r="235" spans="1:9">
      <c r="A235" s="1" t="s">
        <v>242</v>
      </c>
      <c r="B235">
        <f>HYPERLINK("https://www.suredividend.com/sure-analysis-GEL","Genesis Energy LP")</f>
        <v>0</v>
      </c>
      <c r="C235" t="s">
        <v>631</v>
      </c>
      <c r="D235">
        <v>0.10804144055254</v>
      </c>
      <c r="E235">
        <v>0.06674559097805544</v>
      </c>
      <c r="F235">
        <v>0.076</v>
      </c>
      <c r="G235">
        <v>0.2072386232930441</v>
      </c>
      <c r="H235" t="s">
        <v>494</v>
      </c>
      <c r="I235" t="s">
        <v>633</v>
      </c>
    </row>
    <row r="236" spans="1:9">
      <c r="A236" s="1" t="s">
        <v>243</v>
      </c>
      <c r="B236">
        <f>HYPERLINK("https://www.suredividend.com/sure-analysis-ET","Energy Transfer LP")</f>
        <v>0</v>
      </c>
      <c r="C236" t="s">
        <v>631</v>
      </c>
      <c r="D236">
        <v>0.09334353481254701</v>
      </c>
      <c r="E236">
        <v>0.06610353527631307</v>
      </c>
      <c r="F236">
        <v>0.03</v>
      </c>
      <c r="G236">
        <v>0.1627952297622164</v>
      </c>
      <c r="H236" t="s">
        <v>494</v>
      </c>
      <c r="I236" t="s">
        <v>633</v>
      </c>
    </row>
    <row r="237" spans="1:9">
      <c r="A237" s="1" t="s">
        <v>244</v>
      </c>
      <c r="B237">
        <f>HYPERLINK("https://www.suredividend.com/sure-analysis-ABBV","AbbVie, Inc.")</f>
        <v>0</v>
      </c>
      <c r="C237" t="s">
        <v>629</v>
      </c>
      <c r="D237">
        <v>0.047933699182439</v>
      </c>
      <c r="E237">
        <v>0.01878994623078767</v>
      </c>
      <c r="F237">
        <v>0.095</v>
      </c>
      <c r="G237">
        <v>0.1550435307580815</v>
      </c>
      <c r="H237" t="s">
        <v>494</v>
      </c>
      <c r="I237" t="s">
        <v>634</v>
      </c>
    </row>
    <row r="238" spans="1:9">
      <c r="A238" s="1" t="s">
        <v>245</v>
      </c>
      <c r="B238">
        <f>HYPERLINK("https://www.suredividend.com/sure-analysis-CHL","China Mobile Ltd.")</f>
        <v>0</v>
      </c>
      <c r="C238" t="s">
        <v>629</v>
      </c>
      <c r="D238">
        <v>0.040720266990291</v>
      </c>
      <c r="E238">
        <v>0.05166090787593225</v>
      </c>
      <c r="F238">
        <v>0.04</v>
      </c>
      <c r="G238">
        <v>0.1283460037337572</v>
      </c>
      <c r="H238" t="s">
        <v>494</v>
      </c>
      <c r="I238" t="s">
        <v>634</v>
      </c>
    </row>
    <row r="239" spans="1:9">
      <c r="A239" s="1" t="s">
        <v>246</v>
      </c>
      <c r="B239">
        <f>HYPERLINK("https://www.suredividend.com/sure-analysis-SAN","Banco Santander SA")</f>
        <v>0</v>
      </c>
      <c r="C239" t="s">
        <v>629</v>
      </c>
      <c r="D239">
        <v>0.04622891566265001</v>
      </c>
      <c r="E239">
        <v>0.03796899633162476</v>
      </c>
      <c r="F239">
        <v>0.04</v>
      </c>
      <c r="G239">
        <v>0.1280353556853149</v>
      </c>
      <c r="H239" t="s">
        <v>494</v>
      </c>
      <c r="I239" t="s">
        <v>634</v>
      </c>
    </row>
    <row r="240" spans="1:9">
      <c r="A240" s="1" t="s">
        <v>247</v>
      </c>
      <c r="B240">
        <f>HYPERLINK("https://www.suredividend.com/sure-analysis-EPD","Enterprise Products Partners LP")</f>
        <v>0</v>
      </c>
      <c r="C240" t="s">
        <v>631</v>
      </c>
      <c r="D240">
        <v>0.06203341628154901</v>
      </c>
      <c r="E240">
        <v>0.03863233003857891</v>
      </c>
      <c r="F240">
        <v>0.04</v>
      </c>
      <c r="G240">
        <v>0.1271446417634636</v>
      </c>
      <c r="H240" t="s">
        <v>494</v>
      </c>
      <c r="I240" t="s">
        <v>633</v>
      </c>
    </row>
    <row r="241" spans="1:9">
      <c r="A241" s="1" t="s">
        <v>248</v>
      </c>
      <c r="B241">
        <f>HYPERLINK("https://www.suredividend.com/sure-analysis-FTI","TechnipFMC Plc")</f>
        <v>0</v>
      </c>
      <c r="C241" t="s">
        <v>629</v>
      </c>
      <c r="D241">
        <v>0.025353486104339</v>
      </c>
      <c r="E241">
        <v>0.004733139211334114</v>
      </c>
      <c r="F241">
        <v>0.1</v>
      </c>
      <c r="G241">
        <v>0.1265355729933388</v>
      </c>
      <c r="H241" t="s">
        <v>494</v>
      </c>
      <c r="I241" t="s">
        <v>405</v>
      </c>
    </row>
    <row r="242" spans="1:9">
      <c r="A242" s="1" t="s">
        <v>249</v>
      </c>
      <c r="B242">
        <f>HYPERLINK("https://www.suredividend.com/sure-analysis-BNS","The Bank of Nova Scotia")</f>
        <v>0</v>
      </c>
      <c r="C242" t="s">
        <v>629</v>
      </c>
      <c r="D242">
        <v>0.04692026349680201</v>
      </c>
      <c r="E242">
        <v>0.02063805943864971</v>
      </c>
      <c r="F242">
        <v>0.06</v>
      </c>
      <c r="G242">
        <v>0.1198917004412043</v>
      </c>
      <c r="H242" t="s">
        <v>494</v>
      </c>
      <c r="I242" t="s">
        <v>634</v>
      </c>
    </row>
    <row r="243" spans="1:9">
      <c r="A243" s="1" t="s">
        <v>250</v>
      </c>
      <c r="B243">
        <f>HYPERLINK("https://www.suredividend.com/sure-analysis-SUN","Sunoco LP")</f>
        <v>0</v>
      </c>
      <c r="C243" t="s">
        <v>631</v>
      </c>
      <c r="D243">
        <v>0.108368887430259</v>
      </c>
      <c r="E243">
        <v>0.02216567404919112</v>
      </c>
      <c r="F243">
        <v>0.015</v>
      </c>
      <c r="G243">
        <v>0.1176083565441857</v>
      </c>
      <c r="H243" t="s">
        <v>494</v>
      </c>
      <c r="I243" t="s">
        <v>633</v>
      </c>
    </row>
    <row r="244" spans="1:9">
      <c r="A244" s="1" t="s">
        <v>251</v>
      </c>
      <c r="B244">
        <f>HYPERLINK("https://www.suredividend.com/sure-analysis-BBT","BB&amp;T Corp.")</f>
        <v>0</v>
      </c>
      <c r="C244" t="s">
        <v>629</v>
      </c>
      <c r="D244">
        <v>0.030696902654867</v>
      </c>
      <c r="E244">
        <v>0.02376913194003305</v>
      </c>
      <c r="F244">
        <v>0.065</v>
      </c>
      <c r="G244">
        <v>0.1171409739381444</v>
      </c>
      <c r="H244" t="s">
        <v>494</v>
      </c>
      <c r="I244" t="s">
        <v>634</v>
      </c>
    </row>
    <row r="245" spans="1:9">
      <c r="A245" s="1" t="s">
        <v>252</v>
      </c>
      <c r="B245">
        <f>HYPERLINK("https://www.suredividend.com/sure-analysis-PSO","Pearson Plc")</f>
        <v>0</v>
      </c>
      <c r="C245" t="s">
        <v>629</v>
      </c>
      <c r="D245">
        <v>0.03013650990099</v>
      </c>
      <c r="E245">
        <v>0.05177875863992543</v>
      </c>
      <c r="F245">
        <v>0.04</v>
      </c>
      <c r="G245">
        <v>0.1166469514647053</v>
      </c>
      <c r="H245" t="s">
        <v>494</v>
      </c>
      <c r="I245" t="s">
        <v>494</v>
      </c>
    </row>
    <row r="246" spans="1:9">
      <c r="A246" s="1" t="s">
        <v>253</v>
      </c>
      <c r="B246">
        <f>HYPERLINK("https://www.suredividend.com/sure-analysis-GILD","Gilead Sciences, Inc.")</f>
        <v>0</v>
      </c>
      <c r="C246" t="s">
        <v>629</v>
      </c>
      <c r="D246">
        <v>0.03679880329094901</v>
      </c>
      <c r="E246">
        <v>0.02867423602326702</v>
      </c>
      <c r="F246">
        <v>0.05</v>
      </c>
      <c r="G246">
        <v>0.112201758526375</v>
      </c>
      <c r="H246" t="s">
        <v>494</v>
      </c>
      <c r="I246" t="s">
        <v>634</v>
      </c>
    </row>
    <row r="247" spans="1:9">
      <c r="A247" s="1" t="s">
        <v>254</v>
      </c>
      <c r="B247">
        <f>HYPERLINK("https://www.suredividend.com/sure-analysis-KSS","Kohl's Corp.")</f>
        <v>0</v>
      </c>
      <c r="C247" t="s">
        <v>629</v>
      </c>
      <c r="D247">
        <v>0.05180937314613401</v>
      </c>
      <c r="E247">
        <v>0.02779620075964995</v>
      </c>
      <c r="F247">
        <v>0.04</v>
      </c>
      <c r="G247">
        <v>0.1111622458472508</v>
      </c>
      <c r="H247" t="s">
        <v>494</v>
      </c>
      <c r="I247" t="s">
        <v>634</v>
      </c>
    </row>
    <row r="248" spans="1:9">
      <c r="A248" s="1" t="s">
        <v>255</v>
      </c>
      <c r="B248">
        <f>HYPERLINK("https://www.suredividend.com/sure-analysis-TAP","Molson Coors Brewing Co.")</f>
        <v>0</v>
      </c>
      <c r="C248" t="s">
        <v>629</v>
      </c>
      <c r="D248">
        <v>0.033419977720014</v>
      </c>
      <c r="E248">
        <v>0.02854919373640885</v>
      </c>
      <c r="F248">
        <v>0.05</v>
      </c>
      <c r="G248">
        <v>0.1103210781702586</v>
      </c>
      <c r="H248" t="s">
        <v>494</v>
      </c>
      <c r="I248" t="s">
        <v>494</v>
      </c>
    </row>
    <row r="249" spans="1:9">
      <c r="A249" s="1" t="s">
        <v>256</v>
      </c>
      <c r="B249">
        <f>HYPERLINK("https://www.suredividend.com/sure-analysis-TD","The Toronto-Dominion Bank")</f>
        <v>0</v>
      </c>
      <c r="C249" t="s">
        <v>629</v>
      </c>
      <c r="D249">
        <v>0.03874292375975</v>
      </c>
      <c r="E249">
        <v>0.003045166508490738</v>
      </c>
      <c r="F249">
        <v>0.07000000000000001</v>
      </c>
      <c r="G249">
        <v>0.1076350013873277</v>
      </c>
      <c r="H249" t="s">
        <v>494</v>
      </c>
      <c r="I249" t="s">
        <v>634</v>
      </c>
    </row>
    <row r="250" spans="1:9">
      <c r="A250" s="1" t="s">
        <v>257</v>
      </c>
      <c r="B250">
        <f>HYPERLINK("https://www.suredividend.com/sure-analysis-CWCO","Consolidated Water Co. Ltd.")</f>
        <v>0</v>
      </c>
      <c r="C250" t="s">
        <v>629</v>
      </c>
      <c r="D250">
        <v>0.020469596628537</v>
      </c>
      <c r="E250">
        <v>0.01620323830602</v>
      </c>
      <c r="F250">
        <v>0.07000000000000001</v>
      </c>
      <c r="G250">
        <v>0.1074126128531765</v>
      </c>
      <c r="H250" t="s">
        <v>494</v>
      </c>
      <c r="I250" t="s">
        <v>405</v>
      </c>
    </row>
    <row r="251" spans="1:9">
      <c r="A251" s="1" t="s">
        <v>258</v>
      </c>
      <c r="B251">
        <f>HYPERLINK("https://www.suredividend.com/sure-analysis-IVZ","Invesco Ltd.")</f>
        <v>0</v>
      </c>
      <c r="C251" t="s">
        <v>629</v>
      </c>
      <c r="D251">
        <v>0.06785317018909801</v>
      </c>
      <c r="E251">
        <v>0.02152279362383802</v>
      </c>
      <c r="F251">
        <v>0.03</v>
      </c>
      <c r="G251">
        <v>0.1074035522009662</v>
      </c>
      <c r="H251" t="s">
        <v>494</v>
      </c>
      <c r="I251" t="s">
        <v>633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629</v>
      </c>
      <c r="D252">
        <v>0.041039671682626</v>
      </c>
      <c r="E252">
        <v>0.0424735062667676</v>
      </c>
      <c r="F252">
        <v>0.03</v>
      </c>
      <c r="G252">
        <v>0.1056882110881614</v>
      </c>
      <c r="H252" t="s">
        <v>494</v>
      </c>
      <c r="I252" t="s">
        <v>633</v>
      </c>
    </row>
    <row r="253" spans="1:9">
      <c r="A253" s="1" t="s">
        <v>260</v>
      </c>
      <c r="B253">
        <f>HYPERLINK("https://www.suredividend.com/sure-analysis-SLF","Sun Life Financial, Inc.")</f>
        <v>0</v>
      </c>
      <c r="C253" t="s">
        <v>629</v>
      </c>
      <c r="D253">
        <v>0.033829707033815</v>
      </c>
      <c r="E253">
        <v>-0.00290779441876643</v>
      </c>
      <c r="F253">
        <v>0.073</v>
      </c>
      <c r="G253">
        <v>0.1033962839255731</v>
      </c>
      <c r="H253" t="s">
        <v>494</v>
      </c>
      <c r="I253" t="s">
        <v>634</v>
      </c>
    </row>
    <row r="254" spans="1:9">
      <c r="A254" s="1" t="s">
        <v>261</v>
      </c>
      <c r="B254">
        <f>HYPERLINK("https://www.suredividend.com/sure-analysis-HNI","HNI Corp.")</f>
        <v>0</v>
      </c>
      <c r="C254" t="s">
        <v>629</v>
      </c>
      <c r="D254">
        <v>0.031554036287141</v>
      </c>
      <c r="E254">
        <v>0.02005735822457733</v>
      </c>
      <c r="F254">
        <v>0.055</v>
      </c>
      <c r="G254">
        <v>0.1020095411032362</v>
      </c>
      <c r="H254" t="s">
        <v>494</v>
      </c>
      <c r="I254" t="s">
        <v>494</v>
      </c>
    </row>
    <row r="255" spans="1:9">
      <c r="A255" s="1" t="s">
        <v>262</v>
      </c>
      <c r="B255">
        <f>HYPERLINK("https://www.suredividend.com/sure-analysis-CSCO","Cisco Systems, Inc.")</f>
        <v>0</v>
      </c>
      <c r="C255" t="s">
        <v>629</v>
      </c>
      <c r="D255">
        <v>0.029083245521601</v>
      </c>
      <c r="E255">
        <v>0.01453443398243248</v>
      </c>
      <c r="F255">
        <v>0.06</v>
      </c>
      <c r="G255">
        <v>0.1005362842224691</v>
      </c>
      <c r="H255" t="s">
        <v>494</v>
      </c>
      <c r="I255" t="s">
        <v>494</v>
      </c>
    </row>
    <row r="256" spans="1:9">
      <c r="A256" s="1" t="s">
        <v>263</v>
      </c>
      <c r="B256">
        <f>HYPERLINK("https://www.suredividend.com/sure-analysis-KMI","Kinder Morgan, Inc.")</f>
        <v>0</v>
      </c>
      <c r="C256" t="s">
        <v>629</v>
      </c>
      <c r="D256">
        <v>0.04291845493562201</v>
      </c>
      <c r="E256">
        <v>0.009636052333063416</v>
      </c>
      <c r="F256">
        <v>0.04</v>
      </c>
      <c r="G256">
        <v>0.1005010646729749</v>
      </c>
      <c r="H256" t="s">
        <v>494</v>
      </c>
      <c r="I256" t="s">
        <v>634</v>
      </c>
    </row>
    <row r="257" spans="1:9">
      <c r="A257" s="1" t="s">
        <v>264</v>
      </c>
      <c r="B257">
        <f>HYPERLINK("https://www.suredividend.com/sure-analysis-MRVL","Marvell Technology Group Ltd.")</f>
        <v>0</v>
      </c>
      <c r="C257" t="s">
        <v>629</v>
      </c>
      <c r="D257">
        <v>0.009244992295839001</v>
      </c>
      <c r="E257">
        <v>-0.1291813274558273</v>
      </c>
      <c r="F257">
        <v>0.25</v>
      </c>
      <c r="G257">
        <v>0.09851217716572358</v>
      </c>
      <c r="H257" t="s">
        <v>494</v>
      </c>
      <c r="I257" t="s">
        <v>382</v>
      </c>
    </row>
    <row r="258" spans="1:9">
      <c r="A258" s="1" t="s">
        <v>265</v>
      </c>
      <c r="B258">
        <f>HYPERLINK("https://www.suredividend.com/sure-analysis-MPC","Marathon Petroleum Corp.")</f>
        <v>0</v>
      </c>
      <c r="C258" t="s">
        <v>629</v>
      </c>
      <c r="D258">
        <v>0.033273819185197</v>
      </c>
      <c r="E258">
        <v>-0.04476775480696049</v>
      </c>
      <c r="F258">
        <v>0.117</v>
      </c>
      <c r="G258">
        <v>0.0979947809555699</v>
      </c>
      <c r="H258" t="s">
        <v>494</v>
      </c>
      <c r="I258" t="s">
        <v>634</v>
      </c>
    </row>
    <row r="259" spans="1:9">
      <c r="A259" s="1" t="s">
        <v>266</v>
      </c>
      <c r="B259">
        <f>HYPERLINK("https://www.suredividend.com/sure-analysis-EFSI","Eagle Financial Services, Inc.")</f>
        <v>0</v>
      </c>
      <c r="C259" t="s">
        <v>629</v>
      </c>
      <c r="D259">
        <v>0.03136000000000001</v>
      </c>
      <c r="E259">
        <v>0.01701130159766784</v>
      </c>
      <c r="F259">
        <v>0.052</v>
      </c>
      <c r="G259">
        <v>0.09713741704244283</v>
      </c>
      <c r="H259" t="s">
        <v>494</v>
      </c>
      <c r="I259" t="s">
        <v>494</v>
      </c>
    </row>
    <row r="260" spans="1:9">
      <c r="A260" s="1" t="s">
        <v>267</v>
      </c>
      <c r="B260">
        <f>HYPERLINK("https://www.suredividend.com/sure-analysis-CCL","Carnival Corp.")</f>
        <v>0</v>
      </c>
      <c r="C260" t="s">
        <v>629</v>
      </c>
      <c r="D260">
        <v>0.039832702648874</v>
      </c>
      <c r="E260">
        <v>0.01839086170979209</v>
      </c>
      <c r="F260">
        <v>0.04</v>
      </c>
      <c r="G260">
        <v>0.09696469629188265</v>
      </c>
      <c r="H260" t="s">
        <v>494</v>
      </c>
      <c r="I260" t="s">
        <v>494</v>
      </c>
    </row>
    <row r="261" spans="1:9">
      <c r="A261" s="1" t="s">
        <v>268</v>
      </c>
      <c r="B261">
        <f>HYPERLINK("https://www.suredividend.com/sure-analysis-BMO","Bank of Montreal")</f>
        <v>0</v>
      </c>
      <c r="C261" t="s">
        <v>629</v>
      </c>
      <c r="D261">
        <v>0.03936036532322</v>
      </c>
      <c r="E261">
        <v>0.006032660494914799</v>
      </c>
      <c r="F261">
        <v>0.055</v>
      </c>
      <c r="G261">
        <v>0.09646332370288224</v>
      </c>
      <c r="H261" t="s">
        <v>494</v>
      </c>
      <c r="I261" t="s">
        <v>634</v>
      </c>
    </row>
    <row r="262" spans="1:9">
      <c r="A262" s="1" t="s">
        <v>269</v>
      </c>
      <c r="B262">
        <f>HYPERLINK("https://www.suredividend.com/sure-analysis-UPS","United Parcel Service, Inc.")</f>
        <v>0</v>
      </c>
      <c r="C262" t="s">
        <v>629</v>
      </c>
      <c r="D262">
        <v>0.03228279386712</v>
      </c>
      <c r="E262">
        <v>0.007716446970808866</v>
      </c>
      <c r="F262">
        <v>0.06</v>
      </c>
      <c r="G262">
        <v>0.09645279361103887</v>
      </c>
      <c r="H262" t="s">
        <v>494</v>
      </c>
      <c r="I262" t="s">
        <v>494</v>
      </c>
    </row>
    <row r="263" spans="1:9">
      <c r="A263" s="1" t="s">
        <v>270</v>
      </c>
      <c r="B263">
        <f>HYPERLINK("https://www.suredividend.com/sure-analysis-CEO","CNOOC Ltd.")</f>
        <v>0</v>
      </c>
      <c r="C263" t="s">
        <v>629</v>
      </c>
      <c r="D263">
        <v>0.052227434790767</v>
      </c>
      <c r="E263">
        <v>0.002650576634419144</v>
      </c>
      <c r="F263">
        <v>0.05</v>
      </c>
      <c r="G263">
        <v>0.09644512536971983</v>
      </c>
      <c r="H263" t="s">
        <v>494</v>
      </c>
      <c r="I263" t="s">
        <v>634</v>
      </c>
    </row>
    <row r="264" spans="1:9">
      <c r="A264" s="1" t="s">
        <v>271</v>
      </c>
      <c r="B264">
        <f>HYPERLINK("https://www.suredividend.com/sure-analysis-ENB","Enbridge, Inc.")</f>
        <v>0</v>
      </c>
      <c r="C264" t="s">
        <v>629</v>
      </c>
      <c r="D264">
        <v>0.05514129555702001</v>
      </c>
      <c r="E264">
        <v>-0.01259113770822484</v>
      </c>
      <c r="F264">
        <v>0.055</v>
      </c>
      <c r="G264">
        <v>0.09582058320950915</v>
      </c>
      <c r="H264" t="s">
        <v>494</v>
      </c>
      <c r="I264" t="s">
        <v>633</v>
      </c>
    </row>
    <row r="265" spans="1:9">
      <c r="A265" s="1" t="s">
        <v>272</v>
      </c>
      <c r="B265">
        <f>HYPERLINK("https://www.suredividend.com/sure-analysis-LAZ","Lazard Ltd.")</f>
        <v>0</v>
      </c>
      <c r="C265" t="s">
        <v>629</v>
      </c>
      <c r="D265">
        <v>0.046774608069904</v>
      </c>
      <c r="E265">
        <v>0.000462178598268137</v>
      </c>
      <c r="F265">
        <v>0.05</v>
      </c>
      <c r="G265">
        <v>0.0935215847807902</v>
      </c>
      <c r="H265" t="s">
        <v>494</v>
      </c>
      <c r="I265" t="s">
        <v>634</v>
      </c>
    </row>
    <row r="266" spans="1:9">
      <c r="A266" s="1" t="s">
        <v>273</v>
      </c>
      <c r="B266">
        <f>HYPERLINK("https://www.suredividend.com/sure-analysis-AVGO","Broadcom, Inc.")</f>
        <v>0</v>
      </c>
      <c r="C266" t="s">
        <v>629</v>
      </c>
      <c r="D266">
        <v>0.03322884012539101</v>
      </c>
      <c r="E266">
        <v>-0.02783984475062173</v>
      </c>
      <c r="F266">
        <v>0.09</v>
      </c>
      <c r="G266">
        <v>0.09281609442075078</v>
      </c>
      <c r="H266" t="s">
        <v>494</v>
      </c>
      <c r="I266" t="s">
        <v>494</v>
      </c>
    </row>
    <row r="267" spans="1:9">
      <c r="A267" s="1" t="s">
        <v>274</v>
      </c>
      <c r="B267">
        <f>HYPERLINK("https://www.suredividend.com/sure-analysis-BNPQF","BNP Paribas SA")</f>
        <v>0</v>
      </c>
      <c r="C267" t="s">
        <v>629</v>
      </c>
      <c r="D267">
        <v>0.05084175084175</v>
      </c>
      <c r="E267">
        <v>0.01502959671953263</v>
      </c>
      <c r="F267">
        <v>0.03</v>
      </c>
      <c r="G267">
        <v>0.0922753092488704</v>
      </c>
      <c r="H267" t="s">
        <v>494</v>
      </c>
      <c r="I267" t="s">
        <v>634</v>
      </c>
    </row>
    <row r="268" spans="1:9">
      <c r="A268" s="1" t="s">
        <v>275</v>
      </c>
      <c r="B268">
        <f>HYPERLINK("https://www.suredividend.com/sure-analysis-SJM","The J. M. Smucker Co.")</f>
        <v>0</v>
      </c>
      <c r="C268" t="s">
        <v>629</v>
      </c>
      <c r="D268">
        <v>0.03336226014849</v>
      </c>
      <c r="E268">
        <v>0.01184597901992901</v>
      </c>
      <c r="F268">
        <v>0.05</v>
      </c>
      <c r="G268">
        <v>0.0913380161747448</v>
      </c>
      <c r="H268" t="s">
        <v>494</v>
      </c>
      <c r="I268" t="s">
        <v>634</v>
      </c>
    </row>
    <row r="269" spans="1:9">
      <c r="A269" s="1" t="s">
        <v>276</v>
      </c>
      <c r="B269">
        <f>HYPERLINK("https://www.suredividend.com/sure-analysis-JACK","Jack in the Box, Inc.")</f>
        <v>0</v>
      </c>
      <c r="C269" t="s">
        <v>629</v>
      </c>
      <c r="D269">
        <v>0.020623872131992</v>
      </c>
      <c r="E269">
        <v>0.003634225933794255</v>
      </c>
      <c r="F269">
        <v>0.07000000000000001</v>
      </c>
      <c r="G269">
        <v>0.09109262123987616</v>
      </c>
      <c r="H269" t="s">
        <v>494</v>
      </c>
      <c r="I269" t="s">
        <v>405</v>
      </c>
    </row>
    <row r="270" spans="1:9">
      <c r="A270" s="1" t="s">
        <v>277</v>
      </c>
      <c r="B270">
        <f>HYPERLINK("https://www.suredividend.com/sure-analysis-VZ","Verizon Communications, Inc.")</f>
        <v>0</v>
      </c>
      <c r="C270" t="s">
        <v>629</v>
      </c>
      <c r="D270">
        <v>0.039028516191396</v>
      </c>
      <c r="E270">
        <v>0.01540339576923588</v>
      </c>
      <c r="F270">
        <v>0.04</v>
      </c>
      <c r="G270">
        <v>0.08904587594166191</v>
      </c>
      <c r="H270" t="s">
        <v>494</v>
      </c>
      <c r="I270" t="s">
        <v>634</v>
      </c>
    </row>
    <row r="271" spans="1:9">
      <c r="A271" s="1" t="s">
        <v>278</v>
      </c>
      <c r="B271">
        <f>HYPERLINK("https://www.suredividend.com/sure-analysis-WFC","Wells Fargo &amp; Co.")</f>
        <v>0</v>
      </c>
      <c r="C271" t="s">
        <v>629</v>
      </c>
      <c r="D271">
        <v>0.034502156384774</v>
      </c>
      <c r="E271">
        <v>-0.001240651966289863</v>
      </c>
      <c r="F271">
        <v>0.06</v>
      </c>
      <c r="G271">
        <v>0.08894107253541228</v>
      </c>
      <c r="H271" t="s">
        <v>494</v>
      </c>
      <c r="I271" t="s">
        <v>634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629</v>
      </c>
      <c r="D272">
        <v>0.04055813953488301</v>
      </c>
      <c r="E272">
        <v>0.02224396749591118</v>
      </c>
      <c r="F272">
        <v>0.03</v>
      </c>
      <c r="G272">
        <v>0.087580159230217</v>
      </c>
      <c r="H272" t="s">
        <v>494</v>
      </c>
      <c r="I272" t="s">
        <v>634</v>
      </c>
    </row>
    <row r="273" spans="1:9">
      <c r="A273" s="1" t="s">
        <v>280</v>
      </c>
      <c r="B273">
        <f>HYPERLINK("https://www.suredividend.com/sure-analysis-KEY","KeyCorp")</f>
        <v>0</v>
      </c>
      <c r="C273" t="s">
        <v>629</v>
      </c>
      <c r="D273">
        <v>0.03406862745098</v>
      </c>
      <c r="E273">
        <v>0.005814345444414393</v>
      </c>
      <c r="F273">
        <v>0.05</v>
      </c>
      <c r="G273">
        <v>0.08701276015779702</v>
      </c>
      <c r="H273" t="s">
        <v>494</v>
      </c>
      <c r="I273" t="s">
        <v>634</v>
      </c>
    </row>
    <row r="274" spans="1:9">
      <c r="A274" s="1" t="s">
        <v>281</v>
      </c>
      <c r="B274">
        <f>HYPERLINK("https://www.suredividend.com/sure-analysis-GLW","Corning, Inc.")</f>
        <v>0</v>
      </c>
      <c r="C274" t="s">
        <v>629</v>
      </c>
      <c r="D274">
        <v>0.02688728024819</v>
      </c>
      <c r="E274">
        <v>-6.895125212091902e-05</v>
      </c>
      <c r="F274">
        <v>0.06</v>
      </c>
      <c r="G274">
        <v>0.08660094370403426</v>
      </c>
      <c r="H274" t="s">
        <v>494</v>
      </c>
      <c r="I274" t="s">
        <v>494</v>
      </c>
    </row>
    <row r="275" spans="1:9">
      <c r="A275" s="1" t="s">
        <v>282</v>
      </c>
      <c r="B275">
        <f>HYPERLINK("https://www.suredividend.com/sure-analysis-WRK","WestRock Co.")</f>
        <v>0</v>
      </c>
      <c r="C275" t="s">
        <v>629</v>
      </c>
      <c r="D275">
        <v>0.042843691148775</v>
      </c>
      <c r="E275">
        <v>0.02896905574288655</v>
      </c>
      <c r="F275">
        <v>0.02</v>
      </c>
      <c r="G275">
        <v>0.08647655756728501</v>
      </c>
      <c r="H275" t="s">
        <v>494</v>
      </c>
      <c r="I275" t="s">
        <v>634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629</v>
      </c>
      <c r="D276">
        <v>0.039187834224598</v>
      </c>
      <c r="E276">
        <v>-0.0276953746124744</v>
      </c>
      <c r="F276">
        <v>0.08</v>
      </c>
      <c r="G276">
        <v>0.08531064404772737</v>
      </c>
      <c r="H276" t="s">
        <v>494</v>
      </c>
      <c r="I276" t="s">
        <v>634</v>
      </c>
    </row>
    <row r="277" spans="1:9">
      <c r="A277" s="1" t="s">
        <v>284</v>
      </c>
      <c r="B277">
        <f>HYPERLINK("https://www.suredividend.com/sure-analysis-MSM","MSC Industrial Direct Co., Inc.")</f>
        <v>0</v>
      </c>
      <c r="C277" t="s">
        <v>629</v>
      </c>
      <c r="D277">
        <v>0.03351529770217</v>
      </c>
      <c r="E277">
        <v>-0.001962748689783078</v>
      </c>
      <c r="F277">
        <v>0.055</v>
      </c>
      <c r="G277">
        <v>0.08409338395888621</v>
      </c>
      <c r="H277" t="s">
        <v>494</v>
      </c>
      <c r="I277" t="s">
        <v>634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629</v>
      </c>
      <c r="D278">
        <v>0.037623762376237</v>
      </c>
      <c r="E278">
        <v>-0.00198808730186284</v>
      </c>
      <c r="F278">
        <v>0.05</v>
      </c>
      <c r="G278">
        <v>0.08185476619252574</v>
      </c>
      <c r="H278" t="s">
        <v>494</v>
      </c>
      <c r="I278" t="s">
        <v>634</v>
      </c>
    </row>
    <row r="279" spans="1:9">
      <c r="A279" s="1" t="s">
        <v>286</v>
      </c>
      <c r="B279">
        <f>HYPERLINK("https://www.suredividend.com/sure-analysis-NTAP","NetApp, Inc.")</f>
        <v>0</v>
      </c>
      <c r="C279" t="s">
        <v>629</v>
      </c>
      <c r="D279">
        <v>0.028355082970839</v>
      </c>
      <c r="E279">
        <v>-0.006760686670137961</v>
      </c>
      <c r="F279">
        <v>0.06</v>
      </c>
      <c r="G279">
        <v>0.08021196892561355</v>
      </c>
      <c r="H279" t="s">
        <v>494</v>
      </c>
      <c r="I279" t="s">
        <v>494</v>
      </c>
    </row>
    <row r="280" spans="1:9">
      <c r="A280" s="1" t="s">
        <v>287</v>
      </c>
      <c r="B280">
        <f>HYPERLINK("https://www.suredividend.com/sure-analysis-KTB","Kontoor Brands, Inc.")</f>
        <v>0</v>
      </c>
      <c r="C280" t="s">
        <v>629</v>
      </c>
      <c r="D280">
        <v>0.027477919528949</v>
      </c>
      <c r="E280">
        <v>-0.003757274561456914</v>
      </c>
      <c r="F280">
        <v>0.04</v>
      </c>
      <c r="G280">
        <v>0.07991452278844213</v>
      </c>
      <c r="H280" t="s">
        <v>494</v>
      </c>
      <c r="I280" t="s">
        <v>494</v>
      </c>
    </row>
    <row r="281" spans="1:9">
      <c r="A281" s="1" t="s">
        <v>288</v>
      </c>
      <c r="B281">
        <f>HYPERLINK("https://www.suredividend.com/sure-analysis-LYB","LyondellBasell Industries NV")</f>
        <v>0</v>
      </c>
      <c r="C281" t="s">
        <v>629</v>
      </c>
      <c r="D281">
        <v>0.04364487971045301</v>
      </c>
      <c r="E281">
        <v>-0.008532710068090865</v>
      </c>
      <c r="F281">
        <v>0.05</v>
      </c>
      <c r="G281">
        <v>0.0793805682024824</v>
      </c>
      <c r="H281" t="s">
        <v>494</v>
      </c>
      <c r="I281" t="s">
        <v>633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629</v>
      </c>
      <c r="D282">
        <v>0.026081386737124</v>
      </c>
      <c r="E282">
        <v>-0.02686173363117961</v>
      </c>
      <c r="F282">
        <v>0.08</v>
      </c>
      <c r="G282">
        <v>0.07710464143194873</v>
      </c>
      <c r="H282" t="s">
        <v>494</v>
      </c>
      <c r="I282" t="s">
        <v>494</v>
      </c>
    </row>
    <row r="283" spans="1:9">
      <c r="A283" s="1" t="s">
        <v>290</v>
      </c>
      <c r="B283">
        <f>HYPERLINK("https://www.suredividend.com/sure-analysis-HOG","Harley-Davidson, Inc.")</f>
        <v>0</v>
      </c>
      <c r="C283" t="s">
        <v>629</v>
      </c>
      <c r="D283">
        <v>0.039941223617419</v>
      </c>
      <c r="E283">
        <v>-0.007760447715437824</v>
      </c>
      <c r="F283">
        <v>0.051</v>
      </c>
      <c r="G283">
        <v>0.07695610223648508</v>
      </c>
      <c r="H283" t="s">
        <v>494</v>
      </c>
      <c r="I283" t="s">
        <v>634</v>
      </c>
    </row>
    <row r="284" spans="1:9">
      <c r="A284" s="1" t="s">
        <v>291</v>
      </c>
      <c r="B284">
        <f>HYPERLINK("https://www.suredividend.com/sure-analysis-PSX","Phillips 66")</f>
        <v>0</v>
      </c>
      <c r="C284" t="s">
        <v>629</v>
      </c>
      <c r="D284">
        <v>0.029995588883987</v>
      </c>
      <c r="E284">
        <v>-0.02088043357950065</v>
      </c>
      <c r="F284">
        <v>0.07000000000000001</v>
      </c>
      <c r="G284">
        <v>0.07596444393240165</v>
      </c>
      <c r="H284" t="s">
        <v>494</v>
      </c>
      <c r="I284" t="s">
        <v>494</v>
      </c>
    </row>
    <row r="285" spans="1:9">
      <c r="A285" s="1" t="s">
        <v>292</v>
      </c>
      <c r="B285">
        <f>HYPERLINK("https://www.suredividend.com/sure-analysis-HRB","H&amp;R Block, Inc.")</f>
        <v>0</v>
      </c>
      <c r="C285" t="s">
        <v>629</v>
      </c>
      <c r="D285">
        <v>0.04316546762589901</v>
      </c>
      <c r="E285">
        <v>0.01133551222871731</v>
      </c>
      <c r="F285">
        <v>0.026</v>
      </c>
      <c r="G285">
        <v>0.07580895922832109</v>
      </c>
      <c r="H285" t="s">
        <v>494</v>
      </c>
      <c r="I285" t="s">
        <v>634</v>
      </c>
    </row>
    <row r="286" spans="1:9">
      <c r="A286" s="1" t="s">
        <v>293</v>
      </c>
      <c r="B286">
        <f>HYPERLINK("https://www.suredividend.com/sure-analysis-TYCB","Calvin B. Taylor Bankshares, Inc.")</f>
        <v>0</v>
      </c>
      <c r="C286" t="s">
        <v>629</v>
      </c>
      <c r="D286">
        <v>0.04901408450704201</v>
      </c>
      <c r="E286">
        <v>0.01370373979231099</v>
      </c>
      <c r="F286">
        <v>0.061</v>
      </c>
      <c r="G286">
        <v>0.07553966791964184</v>
      </c>
      <c r="H286" t="s">
        <v>494</v>
      </c>
      <c r="I286" t="s">
        <v>633</v>
      </c>
    </row>
    <row r="287" spans="1:9">
      <c r="A287" s="1" t="s">
        <v>294</v>
      </c>
      <c r="B287">
        <f>HYPERLINK("https://www.suredividend.com/sure-analysis-PB","Prosperity Bancshares, Inc.")</f>
        <v>0</v>
      </c>
      <c r="C287" t="s">
        <v>629</v>
      </c>
      <c r="D287">
        <v>0.022670721592479</v>
      </c>
      <c r="E287">
        <v>-0.006554819722785377</v>
      </c>
      <c r="F287">
        <v>0.06</v>
      </c>
      <c r="G287">
        <v>0.07453449463231943</v>
      </c>
      <c r="H287" t="s">
        <v>494</v>
      </c>
      <c r="I287" t="s">
        <v>494</v>
      </c>
    </row>
    <row r="288" spans="1:9">
      <c r="A288" s="1" t="s">
        <v>295</v>
      </c>
      <c r="B288">
        <f>HYPERLINK("https://www.suredividend.com/sure-analysis-OMC","Omnicom Group, Inc.")</f>
        <v>0</v>
      </c>
      <c r="C288" t="s">
        <v>629</v>
      </c>
      <c r="D288">
        <v>0.031547692688358</v>
      </c>
      <c r="E288">
        <v>0.007723395755585338</v>
      </c>
      <c r="F288">
        <v>0.035</v>
      </c>
      <c r="G288">
        <v>0.07424634642218009</v>
      </c>
      <c r="H288" t="s">
        <v>494</v>
      </c>
      <c r="I288" t="s">
        <v>634</v>
      </c>
    </row>
    <row r="289" spans="1:9">
      <c r="A289" s="1" t="s">
        <v>296</v>
      </c>
      <c r="B289">
        <f>HYPERLINK("https://www.suredividend.com/sure-analysis-STI","SunTrust Banks, Inc.")</f>
        <v>0</v>
      </c>
      <c r="C289" t="s">
        <v>629</v>
      </c>
      <c r="D289">
        <v>0.029374019677741</v>
      </c>
      <c r="E289">
        <v>-0.01206580144446012</v>
      </c>
      <c r="F289">
        <v>0.06</v>
      </c>
      <c r="G289">
        <v>0.07403173360198156</v>
      </c>
      <c r="H289" t="s">
        <v>494</v>
      </c>
      <c r="I289" t="s">
        <v>634</v>
      </c>
    </row>
    <row r="290" spans="1:9">
      <c r="A290" s="1" t="s">
        <v>297</v>
      </c>
      <c r="B290">
        <f>HYPERLINK("https://www.suredividend.com/sure-analysis-BUD","Anheuser-Busch InBev SA/NV")</f>
        <v>0</v>
      </c>
      <c r="C290" t="s">
        <v>629</v>
      </c>
      <c r="D290">
        <v>0.024482253933406</v>
      </c>
      <c r="E290">
        <v>0.02330568810828559</v>
      </c>
      <c r="F290">
        <v>0.03</v>
      </c>
      <c r="G290">
        <v>0.07352735066807181</v>
      </c>
      <c r="H290" t="s">
        <v>494</v>
      </c>
      <c r="I290" t="s">
        <v>405</v>
      </c>
    </row>
    <row r="291" spans="1:9">
      <c r="A291" s="1" t="s">
        <v>298</v>
      </c>
      <c r="B291">
        <f>HYPERLINK("https://www.suredividend.com/sure-analysis-MET","MetLife, Inc.")</f>
        <v>0</v>
      </c>
      <c r="C291" t="s">
        <v>629</v>
      </c>
      <c r="D291">
        <v>0.033489096573208</v>
      </c>
      <c r="E291">
        <v>0.002479881672332152</v>
      </c>
      <c r="F291">
        <v>0.04</v>
      </c>
      <c r="G291">
        <v>0.07332502181225542</v>
      </c>
      <c r="H291" t="s">
        <v>494</v>
      </c>
      <c r="I291" t="s">
        <v>634</v>
      </c>
    </row>
    <row r="292" spans="1:9">
      <c r="A292" s="1" t="s">
        <v>299</v>
      </c>
      <c r="B292">
        <f>HYPERLINK("https://www.suredividend.com/sure-analysis-GEF","Greif, Inc.")</f>
        <v>0</v>
      </c>
      <c r="C292" t="s">
        <v>629</v>
      </c>
      <c r="D292">
        <v>0.03931203931203901</v>
      </c>
      <c r="E292">
        <v>0.01822040766683863</v>
      </c>
      <c r="F292">
        <v>0.02</v>
      </c>
      <c r="G292">
        <v>0.07217471812691167</v>
      </c>
      <c r="H292" t="s">
        <v>494</v>
      </c>
      <c r="I292" t="s">
        <v>494</v>
      </c>
    </row>
    <row r="293" spans="1:9">
      <c r="A293" s="1" t="s">
        <v>300</v>
      </c>
      <c r="B293">
        <f>HYPERLINK("https://www.suredividend.com/sure-analysis-NTIOF","National Bank of Canada")</f>
        <v>0</v>
      </c>
      <c r="C293" t="s">
        <v>629</v>
      </c>
      <c r="D293">
        <v>0.036175302514727</v>
      </c>
      <c r="E293">
        <v>-0.02404142317719049</v>
      </c>
      <c r="F293">
        <v>0.06</v>
      </c>
      <c r="G293">
        <v>0.07121159485875372</v>
      </c>
      <c r="H293" t="s">
        <v>494</v>
      </c>
      <c r="I293" t="s">
        <v>634</v>
      </c>
    </row>
    <row r="294" spans="1:9">
      <c r="A294" s="1" t="s">
        <v>301</v>
      </c>
      <c r="B294">
        <f>HYPERLINK("https://www.suredividend.com/sure-analysis-MDLZ","Mondelez International, Inc.")</f>
        <v>0</v>
      </c>
      <c r="C294" t="s">
        <v>629</v>
      </c>
      <c r="D294">
        <v>0.019223826714801</v>
      </c>
      <c r="E294">
        <v>-0.01641458035113907</v>
      </c>
      <c r="F294">
        <v>0.07000000000000001</v>
      </c>
      <c r="G294">
        <v>0.07093899642008661</v>
      </c>
      <c r="H294" t="s">
        <v>494</v>
      </c>
      <c r="I294" t="s">
        <v>405</v>
      </c>
    </row>
    <row r="295" spans="1:9">
      <c r="A295" s="1" t="s">
        <v>302</v>
      </c>
      <c r="B295">
        <f>HYPERLINK("https://www.suredividend.com/sure-analysis-HD","The Home Depot, Inc.")</f>
        <v>0</v>
      </c>
      <c r="C295" t="s">
        <v>629</v>
      </c>
      <c r="D295">
        <v>0.023102310231023</v>
      </c>
      <c r="E295">
        <v>-0.02892320623807032</v>
      </c>
      <c r="F295">
        <v>0.075</v>
      </c>
      <c r="G295">
        <v>0.06893618672558866</v>
      </c>
      <c r="H295" t="s">
        <v>494</v>
      </c>
      <c r="I295" t="s">
        <v>405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629</v>
      </c>
      <c r="D296">
        <v>0.05507992985042701</v>
      </c>
      <c r="E296">
        <v>0.022330437127287</v>
      </c>
      <c r="F296">
        <v>0</v>
      </c>
      <c r="G296">
        <v>0.06821056092525146</v>
      </c>
      <c r="H296" t="s">
        <v>494</v>
      </c>
      <c r="I296" t="s">
        <v>633</v>
      </c>
    </row>
    <row r="297" spans="1:9">
      <c r="A297" s="1" t="s">
        <v>304</v>
      </c>
      <c r="B297">
        <f>HYPERLINK("https://www.suredividend.com/sure-analysis-BAYRY","Bayer AG")</f>
        <v>0</v>
      </c>
      <c r="C297" t="s">
        <v>629</v>
      </c>
      <c r="D297">
        <v>0.039590080971659</v>
      </c>
      <c r="E297">
        <v>-0.007813457628780496</v>
      </c>
      <c r="F297">
        <v>0.035</v>
      </c>
      <c r="G297">
        <v>0.06742174998167871</v>
      </c>
      <c r="H297" t="s">
        <v>494</v>
      </c>
      <c r="I297" t="s">
        <v>634</v>
      </c>
    </row>
    <row r="298" spans="1:9">
      <c r="A298" s="1" t="s">
        <v>305</v>
      </c>
      <c r="B298">
        <f>HYPERLINK("https://www.suredividend.com/sure-analysis-LM","Legg Mason, Inc.")</f>
        <v>0</v>
      </c>
      <c r="C298" t="s">
        <v>629</v>
      </c>
      <c r="D298">
        <v>0.040228322913835</v>
      </c>
      <c r="E298">
        <v>-0.01564936488148805</v>
      </c>
      <c r="F298">
        <v>0.04</v>
      </c>
      <c r="G298">
        <v>0.06552785396857863</v>
      </c>
      <c r="H298" t="s">
        <v>494</v>
      </c>
      <c r="I298" t="s">
        <v>634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629</v>
      </c>
      <c r="D299">
        <v>0.01245666245071</v>
      </c>
      <c r="E299">
        <v>-0.03754977241197399</v>
      </c>
      <c r="F299">
        <v>0.09</v>
      </c>
      <c r="G299">
        <v>0.0632101851932636</v>
      </c>
      <c r="H299" t="s">
        <v>494</v>
      </c>
      <c r="I299" t="s">
        <v>382</v>
      </c>
    </row>
    <row r="300" spans="1:9">
      <c r="A300" s="1" t="s">
        <v>307</v>
      </c>
      <c r="B300">
        <f>HYPERLINK("https://www.suredividend.com/sure-analysis-CBRL","Cracker Barrel Old Country Store, Inc.")</f>
        <v>0</v>
      </c>
      <c r="C300" t="s">
        <v>629</v>
      </c>
      <c r="D300">
        <v>0.032502708559046</v>
      </c>
      <c r="E300">
        <v>-0.02115551548997696</v>
      </c>
      <c r="F300">
        <v>0.05</v>
      </c>
      <c r="G300">
        <v>0.06166807870336233</v>
      </c>
      <c r="H300" t="s">
        <v>494</v>
      </c>
      <c r="I300" t="s">
        <v>494</v>
      </c>
    </row>
    <row r="301" spans="1:9">
      <c r="A301" s="1" t="s">
        <v>308</v>
      </c>
      <c r="B301">
        <f>HYPERLINK("https://www.suredividend.com/sure-analysis-IFF","International Flavors &amp; Fragrances, Inc.")</f>
        <v>0</v>
      </c>
      <c r="C301" t="s">
        <v>629</v>
      </c>
      <c r="D301">
        <v>0.023941368078175</v>
      </c>
      <c r="E301">
        <v>-0.01649626096893209</v>
      </c>
      <c r="F301">
        <v>0.05</v>
      </c>
      <c r="G301">
        <v>0.05753120937740452</v>
      </c>
      <c r="H301" t="s">
        <v>494</v>
      </c>
      <c r="I301" t="s">
        <v>494</v>
      </c>
    </row>
    <row r="302" spans="1:9">
      <c r="A302" s="1" t="s">
        <v>309</v>
      </c>
      <c r="B302">
        <f>HYPERLINK("https://www.suredividend.com/sure-analysis-DNKN","Dunkin' Brands Group, Inc.")</f>
        <v>0</v>
      </c>
      <c r="C302" t="s">
        <v>629</v>
      </c>
      <c r="D302">
        <v>0.019638570285409</v>
      </c>
      <c r="E302">
        <v>-0.0404295181953046</v>
      </c>
      <c r="F302">
        <v>0.08</v>
      </c>
      <c r="G302">
        <v>0.0574717910335043</v>
      </c>
      <c r="H302" t="s">
        <v>494</v>
      </c>
      <c r="I302" t="s">
        <v>382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629</v>
      </c>
      <c r="D303">
        <v>0.012261363636363</v>
      </c>
      <c r="E303">
        <v>-0.03406075899181726</v>
      </c>
      <c r="F303">
        <v>0.08</v>
      </c>
      <c r="G303">
        <v>0.05715685222544686</v>
      </c>
      <c r="H303" t="s">
        <v>494</v>
      </c>
      <c r="I303" t="s">
        <v>382</v>
      </c>
    </row>
    <row r="304" spans="1:9">
      <c r="A304" s="1" t="s">
        <v>311</v>
      </c>
      <c r="B304">
        <f>HYPERLINK("https://www.suredividend.com/sure-analysis-STZ","Constellation Brands, Inc.")</f>
        <v>0</v>
      </c>
      <c r="C304" t="s">
        <v>629</v>
      </c>
      <c r="D304">
        <v>0.01577554261514</v>
      </c>
      <c r="E304">
        <v>-0.02787440444651268</v>
      </c>
      <c r="F304">
        <v>0.07000000000000001</v>
      </c>
      <c r="G304">
        <v>0.05586930954316838</v>
      </c>
      <c r="H304" t="s">
        <v>494</v>
      </c>
      <c r="I304" t="s">
        <v>405</v>
      </c>
    </row>
    <row r="305" spans="1:9">
      <c r="A305" s="1" t="s">
        <v>312</v>
      </c>
      <c r="B305">
        <f>HYPERLINK("https://www.suredividend.com/sure-analysis-SBUX","Starbucks Corp.")</f>
        <v>0</v>
      </c>
      <c r="C305" t="s">
        <v>629</v>
      </c>
      <c r="D305">
        <v>0.016278543974677</v>
      </c>
      <c r="E305">
        <v>-0.05689640550939234</v>
      </c>
      <c r="F305">
        <v>0.1</v>
      </c>
      <c r="G305">
        <v>0.05542737720807778</v>
      </c>
      <c r="H305" t="s">
        <v>494</v>
      </c>
      <c r="I305" t="s">
        <v>382</v>
      </c>
    </row>
    <row r="306" spans="1:9">
      <c r="A306" s="1" t="s">
        <v>313</v>
      </c>
      <c r="B306">
        <f>HYPERLINK("https://www.suredividend.com/sure-analysis-AMGN","Amgen, Inc.")</f>
        <v>0</v>
      </c>
      <c r="C306" t="s">
        <v>629</v>
      </c>
      <c r="D306">
        <v>0.023327573438657</v>
      </c>
      <c r="E306">
        <v>-0.05725765150867002</v>
      </c>
      <c r="F306">
        <v>0.09</v>
      </c>
      <c r="G306">
        <v>0.0540989649282837</v>
      </c>
      <c r="H306" t="s">
        <v>494</v>
      </c>
      <c r="I306" t="s">
        <v>405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629</v>
      </c>
      <c r="D307">
        <v>0.015038655172413</v>
      </c>
      <c r="E307">
        <v>-0.02924775819909686</v>
      </c>
      <c r="F307">
        <v>0.06</v>
      </c>
      <c r="G307">
        <v>0.05283721247851858</v>
      </c>
      <c r="H307" t="s">
        <v>494</v>
      </c>
      <c r="I307" t="s">
        <v>382</v>
      </c>
    </row>
    <row r="308" spans="1:9">
      <c r="A308" s="1" t="s">
        <v>315</v>
      </c>
      <c r="B308">
        <f>HYPERLINK("https://www.suredividend.com/sure-analysis-YUM","Yum! Brands, Inc.")</f>
        <v>0</v>
      </c>
      <c r="C308" t="s">
        <v>629</v>
      </c>
      <c r="D308">
        <v>0.016104980614375</v>
      </c>
      <c r="E308">
        <v>-0.04477201848736789</v>
      </c>
      <c r="F308">
        <v>0.08</v>
      </c>
      <c r="G308">
        <v>0.04847278204827887</v>
      </c>
      <c r="H308" t="s">
        <v>494</v>
      </c>
      <c r="I308" t="s">
        <v>382</v>
      </c>
    </row>
    <row r="309" spans="1:9">
      <c r="A309" s="1" t="s">
        <v>316</v>
      </c>
      <c r="B309">
        <f>HYPERLINK("https://www.suredividend.com/sure-analysis-AJG","Arthur J. Gallagher &amp; Co.")</f>
        <v>0</v>
      </c>
      <c r="C309" t="s">
        <v>629</v>
      </c>
      <c r="D309">
        <v>0.017815971494445</v>
      </c>
      <c r="E309">
        <v>-0.05476756258494941</v>
      </c>
      <c r="F309">
        <v>0.09</v>
      </c>
      <c r="G309">
        <v>0.04786119075963602</v>
      </c>
      <c r="H309" t="s">
        <v>494</v>
      </c>
      <c r="I309" t="s">
        <v>382</v>
      </c>
    </row>
    <row r="310" spans="1:9">
      <c r="A310" s="1" t="s">
        <v>317</v>
      </c>
      <c r="B310">
        <f>HYPERLINK("https://www.suredividend.com/sure-analysis-K","Kellogg Co.")</f>
        <v>0</v>
      </c>
      <c r="C310" t="s">
        <v>629</v>
      </c>
      <c r="D310">
        <v>0.03277972027972</v>
      </c>
      <c r="E310">
        <v>-0.03312541698588101</v>
      </c>
      <c r="F310">
        <v>0.05</v>
      </c>
      <c r="G310">
        <v>0.0475096031754616</v>
      </c>
      <c r="H310" t="s">
        <v>494</v>
      </c>
      <c r="I310" t="s">
        <v>494</v>
      </c>
    </row>
    <row r="311" spans="1:9">
      <c r="A311" s="1" t="s">
        <v>318</v>
      </c>
      <c r="B311">
        <f>HYPERLINK("https://www.suredividend.com/sure-analysis-AXS","AXIS Capital Holdings Ltd.")</f>
        <v>0</v>
      </c>
      <c r="C311" t="s">
        <v>629</v>
      </c>
      <c r="D311">
        <v>0.026263952724885</v>
      </c>
      <c r="E311">
        <v>-0.03116752057687067</v>
      </c>
      <c r="F311">
        <v>0.05</v>
      </c>
      <c r="G311">
        <v>0.04471055656019884</v>
      </c>
      <c r="H311" t="s">
        <v>494</v>
      </c>
      <c r="I311" t="s">
        <v>494</v>
      </c>
    </row>
    <row r="312" spans="1:9">
      <c r="A312" s="1" t="s">
        <v>319</v>
      </c>
      <c r="B312">
        <f>HYPERLINK("https://www.suredividend.com/sure-analysis-ESS","Essex Property Trust, Inc.")</f>
        <v>0</v>
      </c>
      <c r="C312" t="s">
        <v>630</v>
      </c>
      <c r="D312">
        <v>0.025929039852026</v>
      </c>
      <c r="E312">
        <v>-0.02057007242285203</v>
      </c>
      <c r="F312">
        <v>0.04</v>
      </c>
      <c r="G312">
        <v>0.04428454041073038</v>
      </c>
      <c r="H312" t="s">
        <v>494</v>
      </c>
      <c r="I312" t="s">
        <v>494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629</v>
      </c>
      <c r="D313">
        <v>0.020640731164692</v>
      </c>
      <c r="E313">
        <v>-0.05400152496577004</v>
      </c>
      <c r="F313">
        <v>0.08</v>
      </c>
      <c r="G313">
        <v>0.0434599876513555</v>
      </c>
      <c r="H313" t="s">
        <v>494</v>
      </c>
      <c r="I313" t="s">
        <v>382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629</v>
      </c>
      <c r="D314">
        <v>0.04334633723450301</v>
      </c>
      <c r="E314">
        <v>-0.004991055677454503</v>
      </c>
      <c r="F314">
        <v>0</v>
      </c>
      <c r="G314">
        <v>0.04142083262929863</v>
      </c>
      <c r="H314" t="s">
        <v>494</v>
      </c>
      <c r="I314" t="s">
        <v>634</v>
      </c>
    </row>
    <row r="315" spans="1:9">
      <c r="A315" s="1" t="s">
        <v>322</v>
      </c>
      <c r="B315">
        <f>HYPERLINK("https://www.suredividend.com/sure-analysis-LOGI","Logitech International SA")</f>
        <v>0</v>
      </c>
      <c r="C315" t="s">
        <v>629</v>
      </c>
      <c r="D315">
        <v>0.01575312904618</v>
      </c>
      <c r="E315">
        <v>-0.04401926831206937</v>
      </c>
      <c r="F315">
        <v>0.07000000000000001</v>
      </c>
      <c r="G315">
        <v>0.0403474349868187</v>
      </c>
      <c r="H315" t="s">
        <v>494</v>
      </c>
      <c r="I315" t="s">
        <v>382</v>
      </c>
    </row>
    <row r="316" spans="1:9">
      <c r="A316" s="1" t="s">
        <v>323</v>
      </c>
      <c r="B316">
        <f>HYPERLINK("https://www.suredividend.com/sure-analysis-OGZPY","Gazprom PJSC")</f>
        <v>0</v>
      </c>
      <c r="C316" t="s">
        <v>629</v>
      </c>
      <c r="D316">
        <v>0.06140073081607701</v>
      </c>
      <c r="E316">
        <v>-0.04563601943960349</v>
      </c>
      <c r="F316">
        <v>0.02</v>
      </c>
      <c r="G316">
        <v>0.03959396298747042</v>
      </c>
      <c r="H316" t="s">
        <v>494</v>
      </c>
      <c r="I316" t="s">
        <v>633</v>
      </c>
    </row>
    <row r="317" spans="1:9">
      <c r="A317" s="1" t="s">
        <v>324</v>
      </c>
      <c r="B317">
        <f>HYPERLINK("https://www.suredividend.com/sure-analysis-JW.A","John Wiley &amp; Sons, Inc.")</f>
        <v>0</v>
      </c>
      <c r="C317" t="s">
        <v>629</v>
      </c>
      <c r="D317">
        <v>0.027703121769691</v>
      </c>
      <c r="E317">
        <v>-0.03252098479702892</v>
      </c>
      <c r="F317">
        <v>0.045</v>
      </c>
      <c r="G317">
        <v>0.03940843138785333</v>
      </c>
      <c r="H317" t="s">
        <v>494</v>
      </c>
      <c r="I317" t="s">
        <v>494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629</v>
      </c>
      <c r="D318">
        <v>0.022898706896551</v>
      </c>
      <c r="E318">
        <v>-0.05482981669469666</v>
      </c>
      <c r="F318">
        <v>0.07000000000000001</v>
      </c>
      <c r="G318">
        <v>0.03498247806521748</v>
      </c>
      <c r="H318" t="s">
        <v>494</v>
      </c>
      <c r="I318" t="s">
        <v>405</v>
      </c>
    </row>
    <row r="319" spans="1:9">
      <c r="A319" s="1" t="s">
        <v>326</v>
      </c>
      <c r="B319">
        <f>HYPERLINK("https://www.suredividend.com/sure-analysis-GM","General Motors Co.")</f>
        <v>0</v>
      </c>
      <c r="C319" t="s">
        <v>629</v>
      </c>
      <c r="D319">
        <v>0.04080536912751601</v>
      </c>
      <c r="E319">
        <v>-0.02393771369689945</v>
      </c>
      <c r="F319">
        <v>0.019</v>
      </c>
      <c r="G319">
        <v>0.0331927981099478</v>
      </c>
      <c r="H319" t="s">
        <v>494</v>
      </c>
      <c r="I319" t="s">
        <v>634</v>
      </c>
    </row>
    <row r="320" spans="1:9">
      <c r="A320" s="1" t="s">
        <v>327</v>
      </c>
      <c r="B320">
        <f>HYPERLINK("https://www.suredividend.com/sure-analysis-ETN","Eaton Corp. Plc")</f>
        <v>0</v>
      </c>
      <c r="C320" t="s">
        <v>629</v>
      </c>
      <c r="D320">
        <v>0.029555084745762</v>
      </c>
      <c r="E320">
        <v>-0.0277714468509439</v>
      </c>
      <c r="F320">
        <v>0.03</v>
      </c>
      <c r="G320">
        <v>0.03215297147524643</v>
      </c>
      <c r="H320" t="s">
        <v>494</v>
      </c>
      <c r="I320" t="s">
        <v>494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629</v>
      </c>
      <c r="D321">
        <v>0.026183963529096</v>
      </c>
      <c r="E321">
        <v>-0.03013448194645751</v>
      </c>
      <c r="F321">
        <v>0.035</v>
      </c>
      <c r="G321">
        <v>0.03097264594999927</v>
      </c>
      <c r="H321" t="s">
        <v>494</v>
      </c>
      <c r="I321" t="s">
        <v>405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629</v>
      </c>
      <c r="D322">
        <v>0.027912211592571</v>
      </c>
      <c r="E322">
        <v>-0.06350705851456528</v>
      </c>
      <c r="F322">
        <v>0.066</v>
      </c>
      <c r="G322">
        <v>0.03033623740396241</v>
      </c>
      <c r="H322" t="s">
        <v>494</v>
      </c>
      <c r="I322" t="s">
        <v>405</v>
      </c>
    </row>
    <row r="323" spans="1:9">
      <c r="A323" s="1" t="s">
        <v>330</v>
      </c>
      <c r="B323">
        <f>HYPERLINK("https://www.suredividend.com/sure-analysis-HON","Honeywell International, Inc.")</f>
        <v>0</v>
      </c>
      <c r="C323" t="s">
        <v>629</v>
      </c>
      <c r="D323">
        <v>0.018593050280596</v>
      </c>
      <c r="E323">
        <v>-0.05922876389255105</v>
      </c>
      <c r="F323">
        <v>0.07000000000000001</v>
      </c>
      <c r="G323">
        <v>0.02798353010920174</v>
      </c>
      <c r="H323" t="s">
        <v>494</v>
      </c>
      <c r="I323" t="s">
        <v>405</v>
      </c>
    </row>
    <row r="324" spans="1:9">
      <c r="A324" s="1" t="s">
        <v>331</v>
      </c>
      <c r="B324">
        <f>HYPERLINK("https://www.suredividend.com/sure-analysis-UVV","Universal Corp.")</f>
        <v>0</v>
      </c>
      <c r="C324" t="s">
        <v>629</v>
      </c>
      <c r="D324">
        <v>0.053460789520269</v>
      </c>
      <c r="E324">
        <v>-0.0531103354859086</v>
      </c>
      <c r="F324">
        <v>0.025</v>
      </c>
      <c r="G324">
        <v>0.02782141740658961</v>
      </c>
      <c r="H324" t="s">
        <v>494</v>
      </c>
      <c r="I324" t="s">
        <v>633</v>
      </c>
    </row>
    <row r="325" spans="1:9">
      <c r="A325" s="1" t="s">
        <v>332</v>
      </c>
      <c r="B325">
        <f>HYPERLINK("https://www.suredividend.com/sure-analysis-ROK","Rockwell Automation, Inc.")</f>
        <v>0</v>
      </c>
      <c r="C325" t="s">
        <v>629</v>
      </c>
      <c r="D325">
        <v>0.01898703205285</v>
      </c>
      <c r="E325">
        <v>-0.05378155160085163</v>
      </c>
      <c r="F325">
        <v>0.063</v>
      </c>
      <c r="G325">
        <v>0.02768416723140898</v>
      </c>
      <c r="H325" t="s">
        <v>494</v>
      </c>
      <c r="I325" t="s">
        <v>405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629</v>
      </c>
      <c r="D326">
        <v>0.024022712382616</v>
      </c>
      <c r="E326">
        <v>-0.04697043968741177</v>
      </c>
      <c r="F326">
        <v>0.05</v>
      </c>
      <c r="G326">
        <v>0.02706562359753328</v>
      </c>
      <c r="H326" t="s">
        <v>494</v>
      </c>
      <c r="I326" t="s">
        <v>405</v>
      </c>
    </row>
    <row r="327" spans="1:9">
      <c r="A327" s="1" t="s">
        <v>334</v>
      </c>
      <c r="B327">
        <f>HYPERLINK("https://www.suredividend.com/sure-analysis-CAG","Conagra Brands, Inc.")</f>
        <v>0</v>
      </c>
      <c r="C327" t="s">
        <v>629</v>
      </c>
      <c r="D327">
        <v>0.024237239806102</v>
      </c>
      <c r="E327">
        <v>-0.03729673127647515</v>
      </c>
      <c r="F327">
        <v>0.04</v>
      </c>
      <c r="G327">
        <v>0.02681249305737321</v>
      </c>
      <c r="H327" t="s">
        <v>494</v>
      </c>
      <c r="I327" t="s">
        <v>405</v>
      </c>
    </row>
    <row r="328" spans="1:9">
      <c r="A328" s="1" t="s">
        <v>335</v>
      </c>
      <c r="B328">
        <f>HYPERLINK("https://www.suredividend.com/sure-analysis-DE","Deere &amp; Co.")</f>
        <v>0</v>
      </c>
      <c r="C328" t="s">
        <v>629</v>
      </c>
      <c r="D328">
        <v>0.017406241053535</v>
      </c>
      <c r="E328">
        <v>-0.05019809630993144</v>
      </c>
      <c r="F328">
        <v>0.06</v>
      </c>
      <c r="G328">
        <v>0.02548944745670578</v>
      </c>
      <c r="H328" t="s">
        <v>494</v>
      </c>
      <c r="I328" t="s">
        <v>405</v>
      </c>
    </row>
    <row r="329" spans="1:9">
      <c r="A329" s="1" t="s">
        <v>336</v>
      </c>
      <c r="B329">
        <f>HYPERLINK("https://www.suredividend.com/sure-analysis-COP","ConocoPhillips")</f>
        <v>0</v>
      </c>
      <c r="C329" t="s">
        <v>629</v>
      </c>
      <c r="D329">
        <v>0.019146264908976</v>
      </c>
      <c r="E329">
        <v>-0.07138566864626494</v>
      </c>
      <c r="F329">
        <v>0.08</v>
      </c>
      <c r="G329">
        <v>0.02522496396385177</v>
      </c>
      <c r="H329" t="s">
        <v>494</v>
      </c>
      <c r="I329" t="s">
        <v>405</v>
      </c>
    </row>
    <row r="330" spans="1:9">
      <c r="A330" s="1" t="s">
        <v>337</v>
      </c>
      <c r="B330">
        <f>HYPERLINK("https://www.suredividend.com/sure-analysis-EIX","Edison International")</f>
        <v>0</v>
      </c>
      <c r="C330" t="s">
        <v>629</v>
      </c>
      <c r="D330">
        <v>0.032584120228753</v>
      </c>
      <c r="E330">
        <v>-0.05388712144714591</v>
      </c>
      <c r="F330">
        <v>0.04</v>
      </c>
      <c r="G330">
        <v>0.02333655367861276</v>
      </c>
      <c r="H330" t="s">
        <v>494</v>
      </c>
      <c r="I330" t="s">
        <v>494</v>
      </c>
    </row>
    <row r="331" spans="1:9">
      <c r="A331" s="1" t="s">
        <v>338</v>
      </c>
      <c r="B331">
        <f>HYPERLINK("https://www.suredividend.com/sure-analysis-ALV","Autoliv, Inc.")</f>
        <v>0</v>
      </c>
      <c r="C331" t="s">
        <v>629</v>
      </c>
      <c r="D331">
        <v>0.028847272304292</v>
      </c>
      <c r="E331">
        <v>-0.05731497220572834</v>
      </c>
      <c r="F331">
        <v>0.05</v>
      </c>
      <c r="G331">
        <v>0.0226743370449094</v>
      </c>
      <c r="H331" t="s">
        <v>494</v>
      </c>
      <c r="I331" t="s">
        <v>494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629</v>
      </c>
      <c r="D332">
        <v>0.02286869943995</v>
      </c>
      <c r="E332">
        <v>-0.03425253163812769</v>
      </c>
      <c r="F332">
        <v>0.03</v>
      </c>
      <c r="G332">
        <v>0.02098996623397476</v>
      </c>
      <c r="H332" t="s">
        <v>494</v>
      </c>
      <c r="I332" t="s">
        <v>405</v>
      </c>
    </row>
    <row r="333" spans="1:9">
      <c r="A333" s="1" t="s">
        <v>340</v>
      </c>
      <c r="B333">
        <f>HYPERLINK("https://www.suredividend.com/sure-analysis-HSY","The Hershey Co.")</f>
        <v>0</v>
      </c>
      <c r="C333" t="s">
        <v>629</v>
      </c>
      <c r="D333">
        <v>0.019933532284319</v>
      </c>
      <c r="E333">
        <v>-0.06035958792163054</v>
      </c>
      <c r="F333">
        <v>0.06</v>
      </c>
      <c r="G333">
        <v>0.0190759764214905</v>
      </c>
      <c r="H333" t="s">
        <v>494</v>
      </c>
      <c r="I333" t="s">
        <v>382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629</v>
      </c>
      <c r="D334">
        <v>0.014770366951303</v>
      </c>
      <c r="E334">
        <v>-0.0558979636114515</v>
      </c>
      <c r="F334">
        <v>0.06</v>
      </c>
      <c r="G334">
        <v>0.01792044309574425</v>
      </c>
      <c r="H334" t="s">
        <v>494</v>
      </c>
      <c r="I334" t="s">
        <v>382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629</v>
      </c>
      <c r="D335">
        <v>0.016923768159353</v>
      </c>
      <c r="E335">
        <v>-0.06583746295920134</v>
      </c>
      <c r="F335">
        <v>0.06</v>
      </c>
      <c r="G335">
        <v>0.01090402279414793</v>
      </c>
      <c r="H335" t="s">
        <v>494</v>
      </c>
      <c r="I335" t="s">
        <v>405</v>
      </c>
    </row>
    <row r="336" spans="1:9">
      <c r="A336" s="1" t="s">
        <v>343</v>
      </c>
      <c r="B336">
        <f>HYPERLINK("https://www.suredividend.com/sure-analysis-RMD","ResMed, Inc.")</f>
        <v>0</v>
      </c>
      <c r="C336" t="s">
        <v>629</v>
      </c>
      <c r="D336">
        <v>0.009619701147951</v>
      </c>
      <c r="E336">
        <v>-0.1163710797533611</v>
      </c>
      <c r="F336">
        <v>0.125</v>
      </c>
      <c r="G336">
        <v>0.008254029107920058</v>
      </c>
      <c r="H336" t="s">
        <v>494</v>
      </c>
      <c r="I336" t="s">
        <v>382</v>
      </c>
    </row>
    <row r="337" spans="1:9">
      <c r="A337" s="1" t="s">
        <v>344</v>
      </c>
      <c r="B337">
        <f>HYPERLINK("https://www.suredividend.com/sure-analysis-AMT","American Tower Corp.")</f>
        <v>0</v>
      </c>
      <c r="C337" t="s">
        <v>630</v>
      </c>
      <c r="D337">
        <v>0.015851409502063</v>
      </c>
      <c r="E337">
        <v>-0.07169205541733192</v>
      </c>
      <c r="F337">
        <v>0.06</v>
      </c>
      <c r="G337">
        <v>0.005824657762600216</v>
      </c>
      <c r="H337" t="s">
        <v>494</v>
      </c>
      <c r="I337" t="s">
        <v>382</v>
      </c>
    </row>
    <row r="338" spans="1:9">
      <c r="A338" s="1" t="s">
        <v>345</v>
      </c>
      <c r="B338">
        <f>HYPERLINK("https://www.suredividend.com/sure-analysis-ERIE","Erie Indemnity Co.")</f>
        <v>0</v>
      </c>
      <c r="C338" t="s">
        <v>629</v>
      </c>
      <c r="D338">
        <v>0.021216407355021</v>
      </c>
      <c r="E338">
        <v>-0.07484726518245322</v>
      </c>
      <c r="F338">
        <v>0.06</v>
      </c>
      <c r="G338">
        <v>0.005635877805233891</v>
      </c>
      <c r="H338" t="s">
        <v>494</v>
      </c>
      <c r="I338" t="s">
        <v>405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629</v>
      </c>
      <c r="D339">
        <v>0.017696182396606</v>
      </c>
      <c r="E339">
        <v>-0.06238578557100172</v>
      </c>
      <c r="F339">
        <v>0.05</v>
      </c>
      <c r="G339">
        <v>0.005250956705817433</v>
      </c>
      <c r="H339" t="s">
        <v>494</v>
      </c>
      <c r="I339" t="s">
        <v>405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629</v>
      </c>
      <c r="D340">
        <v>0.020023896831609</v>
      </c>
      <c r="E340">
        <v>-0.09297403489122524</v>
      </c>
      <c r="F340">
        <v>0.07000000000000001</v>
      </c>
      <c r="G340">
        <v>-0.001574853668731557</v>
      </c>
      <c r="H340" t="s">
        <v>494</v>
      </c>
      <c r="I340" t="s">
        <v>405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629</v>
      </c>
      <c r="D341">
        <v>0.022421130539365</v>
      </c>
      <c r="E341">
        <v>-0.08322554284191896</v>
      </c>
      <c r="F341">
        <v>0.06</v>
      </c>
      <c r="G341">
        <v>-0.001835566916489451</v>
      </c>
      <c r="H341" t="s">
        <v>494</v>
      </c>
      <c r="I341" t="s">
        <v>405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629</v>
      </c>
      <c r="D342">
        <v>0.014566462571597</v>
      </c>
      <c r="E342">
        <v>-0.07384807543560568</v>
      </c>
      <c r="F342">
        <v>0.05</v>
      </c>
      <c r="G342">
        <v>-0.007452027335436706</v>
      </c>
      <c r="H342" t="s">
        <v>494</v>
      </c>
      <c r="I342" t="s">
        <v>382</v>
      </c>
    </row>
    <row r="343" spans="1:9">
      <c r="A343" s="1" t="s">
        <v>350</v>
      </c>
      <c r="B343">
        <f>HYPERLINK("https://www.suredividend.com/sure-analysis-WTR","Aqua America, Inc.")</f>
        <v>0</v>
      </c>
      <c r="C343" t="s">
        <v>629</v>
      </c>
      <c r="D343">
        <v>0.019147153598281</v>
      </c>
      <c r="E343">
        <v>-0.1032140081931772</v>
      </c>
      <c r="F343">
        <v>0.07000000000000001</v>
      </c>
      <c r="G343">
        <v>-0.01456713830836531</v>
      </c>
      <c r="H343" t="s">
        <v>494</v>
      </c>
      <c r="I343" t="s">
        <v>405</v>
      </c>
    </row>
    <row r="344" spans="1:9">
      <c r="A344" s="1" t="s">
        <v>351</v>
      </c>
      <c r="B344">
        <f>HYPERLINK("https://www.suredividend.com/sure-analysis-LLY","Eli Lilly &amp; Co.")</f>
        <v>0</v>
      </c>
      <c r="C344" t="s">
        <v>629</v>
      </c>
      <c r="D344">
        <v>0.018859019859548</v>
      </c>
      <c r="E344">
        <v>-0.0764068026025565</v>
      </c>
      <c r="F344">
        <v>0.04</v>
      </c>
      <c r="G344">
        <v>-0.01495691862975301</v>
      </c>
      <c r="H344" t="s">
        <v>494</v>
      </c>
      <c r="I344" t="s">
        <v>382</v>
      </c>
    </row>
    <row r="345" spans="1:9">
      <c r="A345" s="1" t="s">
        <v>352</v>
      </c>
      <c r="B345">
        <f>HYPERLINK("https://www.suredividend.com/sure-analysis-NEM","Newmont Goldcorp Corp.")</f>
        <v>0</v>
      </c>
      <c r="C345" t="s">
        <v>629</v>
      </c>
      <c r="D345">
        <v>0.013681895919863</v>
      </c>
      <c r="E345">
        <v>-0.07983776758175254</v>
      </c>
      <c r="F345">
        <v>0.05</v>
      </c>
      <c r="G345">
        <v>-0.01647789089060381</v>
      </c>
      <c r="H345" t="s">
        <v>494</v>
      </c>
      <c r="I345" t="s">
        <v>382</v>
      </c>
    </row>
    <row r="346" spans="1:9">
      <c r="A346" s="1" t="s">
        <v>353</v>
      </c>
      <c r="B346">
        <f>HYPERLINK("https://www.suredividend.com/sure-analysis-WU","The Western Union Co.")</f>
        <v>0</v>
      </c>
      <c r="C346" t="s">
        <v>629</v>
      </c>
      <c r="D346">
        <v>0.028800583302952</v>
      </c>
      <c r="E346">
        <v>-0.07080779323344233</v>
      </c>
      <c r="F346">
        <v>0.01</v>
      </c>
      <c r="G346">
        <v>-0.02148043289675539</v>
      </c>
      <c r="H346" t="s">
        <v>494</v>
      </c>
      <c r="I346" t="s">
        <v>405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629</v>
      </c>
      <c r="D347">
        <v>0.030290421902305</v>
      </c>
      <c r="E347">
        <v>-0.08997559275027633</v>
      </c>
      <c r="F347">
        <v>0.029</v>
      </c>
      <c r="G347">
        <v>-0.02516680252695713</v>
      </c>
      <c r="H347" t="s">
        <v>494</v>
      </c>
      <c r="I347" t="s">
        <v>494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629</v>
      </c>
      <c r="D348">
        <v>0.011639420268557</v>
      </c>
      <c r="E348">
        <v>-0.1576603233889545</v>
      </c>
      <c r="F348">
        <v>0.08</v>
      </c>
      <c r="G348">
        <v>-0.07129595000491062</v>
      </c>
      <c r="H348" t="s">
        <v>494</v>
      </c>
      <c r="I348" t="s">
        <v>382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629</v>
      </c>
      <c r="D349">
        <v>0.132467532467532</v>
      </c>
      <c r="E349">
        <v>0.1908991099696946</v>
      </c>
      <c r="F349">
        <v>0.05</v>
      </c>
      <c r="G349">
        <v>0.3249365592958799</v>
      </c>
      <c r="H349" t="s">
        <v>405</v>
      </c>
      <c r="I349" t="s">
        <v>634</v>
      </c>
    </row>
    <row r="350" spans="1:9">
      <c r="A350" s="1" t="s">
        <v>357</v>
      </c>
      <c r="B350">
        <f>HYPERLINK("https://www.suredividend.com/sure-analysis-SAXPY","Sampo Oyj")</f>
        <v>0</v>
      </c>
      <c r="C350" t="s">
        <v>629</v>
      </c>
      <c r="D350">
        <v>0.06068521256931601</v>
      </c>
      <c r="E350">
        <v>0.1307342494986725</v>
      </c>
      <c r="F350">
        <v>0.046</v>
      </c>
      <c r="G350">
        <v>0.2199008297566398</v>
      </c>
      <c r="H350" t="s">
        <v>405</v>
      </c>
      <c r="I350" t="s">
        <v>634</v>
      </c>
    </row>
    <row r="351" spans="1:9">
      <c r="A351" s="1" t="s">
        <v>358</v>
      </c>
      <c r="B351">
        <f>HYPERLINK("https://www.suredividend.com/sure-analysis-LB","L Brands, Inc.")</f>
        <v>0</v>
      </c>
      <c r="C351" t="s">
        <v>629</v>
      </c>
      <c r="D351">
        <v>0.081168831168831</v>
      </c>
      <c r="E351">
        <v>0.07877869140193616</v>
      </c>
      <c r="F351">
        <v>0.03</v>
      </c>
      <c r="G351">
        <v>0.150806495346792</v>
      </c>
      <c r="H351" t="s">
        <v>405</v>
      </c>
      <c r="I351" t="s">
        <v>634</v>
      </c>
    </row>
    <row r="352" spans="1:9">
      <c r="A352" s="1" t="s">
        <v>359</v>
      </c>
      <c r="B352">
        <f>HYPERLINK("https://www.suredividend.com/sure-analysis-MMP","Magellan Midstream Partners LP")</f>
        <v>0</v>
      </c>
      <c r="C352" t="s">
        <v>631</v>
      </c>
      <c r="D352">
        <v>0.063869780835066</v>
      </c>
      <c r="E352">
        <v>0.04793783008859664</v>
      </c>
      <c r="F352">
        <v>0.05</v>
      </c>
      <c r="G352">
        <v>0.1464525234217164</v>
      </c>
      <c r="H352" t="s">
        <v>405</v>
      </c>
      <c r="I352" t="s">
        <v>634</v>
      </c>
    </row>
    <row r="353" spans="1:9">
      <c r="A353" s="1" t="s">
        <v>360</v>
      </c>
      <c r="B353">
        <f>HYPERLINK("https://www.suredividend.com/sure-analysis-MPLX","MPLX LP")</f>
        <v>0</v>
      </c>
      <c r="C353" t="s">
        <v>631</v>
      </c>
      <c r="D353">
        <v>0.101006191950464</v>
      </c>
      <c r="E353">
        <v>0.03708376795699797</v>
      </c>
      <c r="F353">
        <v>0.03</v>
      </c>
      <c r="G353">
        <v>0.1415282548914254</v>
      </c>
      <c r="H353" t="s">
        <v>405</v>
      </c>
      <c r="I353" t="s">
        <v>634</v>
      </c>
    </row>
    <row r="354" spans="1:9">
      <c r="A354" s="1" t="s">
        <v>361</v>
      </c>
      <c r="B354">
        <f>HYPERLINK("https://www.suredividend.com/sure-analysis-TS","Tenaris SA")</f>
        <v>0</v>
      </c>
      <c r="C354" t="s">
        <v>629</v>
      </c>
      <c r="D354">
        <v>0.036689038031319</v>
      </c>
      <c r="E354">
        <v>0.03071634737359319</v>
      </c>
      <c r="F354">
        <v>0.08</v>
      </c>
      <c r="G354">
        <v>0.1389130333671103</v>
      </c>
      <c r="H354" t="s">
        <v>405</v>
      </c>
      <c r="I354" t="s">
        <v>405</v>
      </c>
    </row>
    <row r="355" spans="1:9">
      <c r="A355" s="1" t="s">
        <v>362</v>
      </c>
      <c r="B355">
        <f>HYPERLINK("https://www.suredividend.com/sure-analysis-IMBBY","Imperial Brands Plc")</f>
        <v>0</v>
      </c>
      <c r="C355" t="s">
        <v>629</v>
      </c>
      <c r="D355">
        <v>0.102898833333333</v>
      </c>
      <c r="E355">
        <v>0.03857377308425858</v>
      </c>
      <c r="F355">
        <v>0.03</v>
      </c>
      <c r="G355">
        <v>0.1383125077650884</v>
      </c>
      <c r="H355" t="s">
        <v>405</v>
      </c>
      <c r="I355" t="s">
        <v>634</v>
      </c>
    </row>
    <row r="356" spans="1:9">
      <c r="A356" s="1" t="s">
        <v>363</v>
      </c>
      <c r="B356">
        <f>HYPERLINK("https://www.suredividend.com/sure-analysis-SPH","Suburban Propane Partners LP")</f>
        <v>0</v>
      </c>
      <c r="C356" t="s">
        <v>631</v>
      </c>
      <c r="D356">
        <v>0.109439124487004</v>
      </c>
      <c r="E356">
        <v>0.0424735062667676</v>
      </c>
      <c r="F356">
        <v>0.015</v>
      </c>
      <c r="G356">
        <v>0.1337895724667191</v>
      </c>
      <c r="H356" t="s">
        <v>405</v>
      </c>
      <c r="I356" t="s">
        <v>634</v>
      </c>
    </row>
    <row r="357" spans="1:9">
      <c r="A357" s="1" t="s">
        <v>364</v>
      </c>
      <c r="B357">
        <f>HYPERLINK("https://www.suredividend.com/sure-analysis-SPG","Simon Property Group, Inc.")</f>
        <v>0</v>
      </c>
      <c r="C357" t="s">
        <v>630</v>
      </c>
      <c r="D357">
        <v>0.05636126194240101</v>
      </c>
      <c r="E357">
        <v>0.05594195240934186</v>
      </c>
      <c r="F357">
        <v>0.03</v>
      </c>
      <c r="G357">
        <v>0.1308739891056032</v>
      </c>
      <c r="H357" t="s">
        <v>405</v>
      </c>
      <c r="I357" t="s">
        <v>634</v>
      </c>
    </row>
    <row r="358" spans="1:9">
      <c r="A358" s="1" t="s">
        <v>365</v>
      </c>
      <c r="B358">
        <f>HYPERLINK("https://www.suredividend.com/sure-analysis-TCO","Taubman Centers, Inc.")</f>
        <v>0</v>
      </c>
      <c r="C358" t="s">
        <v>630</v>
      </c>
      <c r="D358">
        <v>0.08830313014827</v>
      </c>
      <c r="E358">
        <v>0.04041979321085032</v>
      </c>
      <c r="F358">
        <v>0.02</v>
      </c>
      <c r="G358">
        <v>0.1305167210878637</v>
      </c>
      <c r="H358" t="s">
        <v>405</v>
      </c>
      <c r="I358" t="s">
        <v>634</v>
      </c>
    </row>
    <row r="359" spans="1:9">
      <c r="A359" s="1" t="s">
        <v>366</v>
      </c>
      <c r="B359">
        <f>HYPERLINK("https://www.suredividend.com/sure-analysis-AAL","American Airlines Group, Inc.")</f>
        <v>0</v>
      </c>
      <c r="C359" t="s">
        <v>629</v>
      </c>
      <c r="D359">
        <v>0.013774104683195</v>
      </c>
      <c r="E359">
        <v>0.06613616577145476</v>
      </c>
      <c r="F359">
        <v>0.05</v>
      </c>
      <c r="G359">
        <v>0.1280797992896601</v>
      </c>
      <c r="H359" t="s">
        <v>405</v>
      </c>
      <c r="I359" t="s">
        <v>382</v>
      </c>
    </row>
    <row r="360" spans="1:9">
      <c r="A360" s="1" t="s">
        <v>367</v>
      </c>
      <c r="B360">
        <f>HYPERLINK("https://www.suredividend.com/sure-analysis-SNP","China Petroleum &amp; Chemical Corp.")</f>
        <v>0</v>
      </c>
      <c r="C360" t="s">
        <v>629</v>
      </c>
      <c r="D360">
        <v>0.060238142057975</v>
      </c>
      <c r="E360">
        <v>0.04353950044864829</v>
      </c>
      <c r="F360">
        <v>0.019</v>
      </c>
      <c r="G360">
        <v>0.1250122829278215</v>
      </c>
      <c r="H360" t="s">
        <v>405</v>
      </c>
      <c r="I360" t="s">
        <v>634</v>
      </c>
    </row>
    <row r="361" spans="1:9">
      <c r="A361" s="1" t="s">
        <v>368</v>
      </c>
      <c r="B361">
        <f>HYPERLINK("https://www.suredividend.com/sure-analysis-PACW","PacWest Bancorp")</f>
        <v>0</v>
      </c>
      <c r="C361" t="s">
        <v>629</v>
      </c>
      <c r="D361">
        <v>0.061649113793989</v>
      </c>
      <c r="E361">
        <v>0.01529670637941272</v>
      </c>
      <c r="F361">
        <v>0.05</v>
      </c>
      <c r="G361">
        <v>0.1199496715539181</v>
      </c>
      <c r="H361" t="s">
        <v>405</v>
      </c>
      <c r="I361" t="s">
        <v>634</v>
      </c>
    </row>
    <row r="362" spans="1:9">
      <c r="A362" s="1" t="s">
        <v>369</v>
      </c>
      <c r="B362">
        <f>HYPERLINK("https://www.suredividend.com/sure-analysis-BPY","Brookfield Property Partners LP")</f>
        <v>0</v>
      </c>
      <c r="C362" t="s">
        <v>630</v>
      </c>
      <c r="D362">
        <v>0.071624588364434</v>
      </c>
      <c r="E362">
        <v>-0.002426677632898722</v>
      </c>
      <c r="F362">
        <v>0.06</v>
      </c>
      <c r="G362">
        <v>0.1197120498252169</v>
      </c>
      <c r="H362" t="s">
        <v>405</v>
      </c>
      <c r="I362" t="s">
        <v>633</v>
      </c>
    </row>
    <row r="363" spans="1:9">
      <c r="A363" s="1" t="s">
        <v>370</v>
      </c>
      <c r="B363">
        <f>HYPERLINK("https://www.suredividend.com/sure-analysis-SVC","Service Properties Trust")</f>
        <v>0</v>
      </c>
      <c r="C363" t="s">
        <v>630</v>
      </c>
      <c r="D363">
        <v>0.08921161825726101</v>
      </c>
      <c r="E363">
        <v>0.0304530232420388</v>
      </c>
      <c r="F363">
        <v>0.019</v>
      </c>
      <c r="G363">
        <v>0.1181701608245755</v>
      </c>
      <c r="H363" t="s">
        <v>405</v>
      </c>
      <c r="I363" t="s">
        <v>633</v>
      </c>
    </row>
    <row r="364" spans="1:9">
      <c r="A364" s="1" t="s">
        <v>371</v>
      </c>
      <c r="B364">
        <f>HYPERLINK("https://www.suredividend.com/sure-analysis-TOT","Total SA")</f>
        <v>0</v>
      </c>
      <c r="C364" t="s">
        <v>629</v>
      </c>
      <c r="D364">
        <v>0.039703880816626</v>
      </c>
      <c r="E364">
        <v>0.005925317571581212</v>
      </c>
      <c r="F364">
        <v>0.07000000000000001</v>
      </c>
      <c r="G364">
        <v>0.1176247650438655</v>
      </c>
      <c r="H364" t="s">
        <v>405</v>
      </c>
      <c r="I364" t="s">
        <v>494</v>
      </c>
    </row>
    <row r="365" spans="1:9">
      <c r="A365" s="1" t="s">
        <v>372</v>
      </c>
      <c r="B365">
        <f>HYPERLINK("https://www.suredividend.com/sure-analysis-NOK","Nokia Oyj")</f>
        <v>0</v>
      </c>
      <c r="C365" t="s">
        <v>629</v>
      </c>
      <c r="D365">
        <v>0.031080332409972</v>
      </c>
      <c r="E365">
        <v>0.01031145931793609</v>
      </c>
      <c r="F365">
        <v>0.075</v>
      </c>
      <c r="G365">
        <v>0.1161695129101801</v>
      </c>
      <c r="H365" t="s">
        <v>405</v>
      </c>
      <c r="I365" t="s">
        <v>405</v>
      </c>
    </row>
    <row r="366" spans="1:9">
      <c r="A366" s="1" t="s">
        <v>373</v>
      </c>
      <c r="B366">
        <f>HYPERLINK("https://www.suredividend.com/sure-analysis-NTR","Nutrien Ltd.")</f>
        <v>0</v>
      </c>
      <c r="C366" t="s">
        <v>629</v>
      </c>
      <c r="D366">
        <v>0.035919647203969</v>
      </c>
      <c r="E366">
        <v>0.005117642069717876</v>
      </c>
      <c r="F366">
        <v>0.08</v>
      </c>
      <c r="G366">
        <v>0.115878954164125</v>
      </c>
      <c r="H366" t="s">
        <v>405</v>
      </c>
      <c r="I366" t="s">
        <v>405</v>
      </c>
    </row>
    <row r="367" spans="1:9">
      <c r="A367" s="1" t="s">
        <v>374</v>
      </c>
      <c r="B367">
        <f>HYPERLINK("https://www.suredividend.com/sure-analysis-HAL","Halliburton Co.")</f>
        <v>0</v>
      </c>
      <c r="C367" t="s">
        <v>629</v>
      </c>
      <c r="D367">
        <v>0.029399755002041</v>
      </c>
      <c r="E367">
        <v>-0.04949815726944695</v>
      </c>
      <c r="F367">
        <v>0.149</v>
      </c>
      <c r="G367">
        <v>0.1148358557603166</v>
      </c>
      <c r="H367" t="s">
        <v>405</v>
      </c>
      <c r="I367" t="s">
        <v>405</v>
      </c>
    </row>
    <row r="368" spans="1:9">
      <c r="A368" s="1" t="s">
        <v>375</v>
      </c>
      <c r="B368">
        <f>HYPERLINK("https://www.suredividend.com/sure-analysis-DRI","Darden Restaurants, Inc.")</f>
        <v>0</v>
      </c>
      <c r="C368" t="s">
        <v>629</v>
      </c>
      <c r="D368">
        <v>0.029571843251088</v>
      </c>
      <c r="E368">
        <v>0.008490304133423221</v>
      </c>
      <c r="F368">
        <v>0.078</v>
      </c>
      <c r="G368">
        <v>0.1146810286507505</v>
      </c>
      <c r="H368" t="s">
        <v>405</v>
      </c>
      <c r="I368" t="s">
        <v>405</v>
      </c>
    </row>
    <row r="369" spans="1:9">
      <c r="A369" s="1" t="s">
        <v>376</v>
      </c>
      <c r="B369">
        <f>HYPERLINK("https://www.suredividend.com/sure-analysis-DFS","Discover Financial Services")</f>
        <v>0</v>
      </c>
      <c r="C369" t="s">
        <v>629</v>
      </c>
      <c r="D369">
        <v>0.018915801614763</v>
      </c>
      <c r="E369">
        <v>0.01845278840258824</v>
      </c>
      <c r="F369">
        <v>0.075</v>
      </c>
      <c r="G369">
        <v>0.1121981521343223</v>
      </c>
      <c r="H369" t="s">
        <v>405</v>
      </c>
      <c r="I369" t="s">
        <v>382</v>
      </c>
    </row>
    <row r="370" spans="1:9">
      <c r="A370" s="1" t="s">
        <v>377</v>
      </c>
      <c r="B370">
        <f>HYPERLINK("https://www.suredividend.com/sure-analysis-NWL","Newell Brands, Inc.")</f>
        <v>0</v>
      </c>
      <c r="C370" t="s">
        <v>629</v>
      </c>
      <c r="D370">
        <v>0.046324269889224</v>
      </c>
      <c r="E370">
        <v>0.02067784341660839</v>
      </c>
      <c r="F370">
        <v>0.05</v>
      </c>
      <c r="G370">
        <v>0.1082703796809443</v>
      </c>
      <c r="H370" t="s">
        <v>405</v>
      </c>
      <c r="I370" t="s">
        <v>494</v>
      </c>
    </row>
    <row r="371" spans="1:9">
      <c r="A371" s="1" t="s">
        <v>378</v>
      </c>
      <c r="B371">
        <f>HYPERLINK("https://www.suredividend.com/sure-analysis-DTEGY","Deutsche Telekom AG")</f>
        <v>0</v>
      </c>
      <c r="C371" t="s">
        <v>629</v>
      </c>
      <c r="D371">
        <v>0.04793272171253801</v>
      </c>
      <c r="E371">
        <v>0.01941483562655222</v>
      </c>
      <c r="F371">
        <v>0.04</v>
      </c>
      <c r="G371">
        <v>0.1029686643689252</v>
      </c>
      <c r="H371" t="s">
        <v>405</v>
      </c>
      <c r="I371" t="s">
        <v>494</v>
      </c>
    </row>
    <row r="372" spans="1:9">
      <c r="A372" s="1" t="s">
        <v>379</v>
      </c>
      <c r="B372">
        <f>HYPERLINK("https://www.suredividend.com/sure-analysis-BTI","British American Tobacco plc")</f>
        <v>0</v>
      </c>
      <c r="C372" t="s">
        <v>629</v>
      </c>
      <c r="D372">
        <v>0.05976310588235201</v>
      </c>
      <c r="E372">
        <v>-0.007160641404701962</v>
      </c>
      <c r="F372">
        <v>0.05</v>
      </c>
      <c r="G372">
        <v>0.1006726095112476</v>
      </c>
      <c r="H372" t="s">
        <v>405</v>
      </c>
      <c r="I372" t="s">
        <v>634</v>
      </c>
    </row>
    <row r="373" spans="1:9">
      <c r="A373" s="1" t="s">
        <v>380</v>
      </c>
      <c r="B373">
        <f>HYPERLINK("https://www.suredividend.com/sure-analysis-CNP","CenterPoint Energy, Inc.")</f>
        <v>0</v>
      </c>
      <c r="C373" t="s">
        <v>629</v>
      </c>
      <c r="D373">
        <v>0.042648709315375</v>
      </c>
      <c r="E373">
        <v>0.009326822243696409</v>
      </c>
      <c r="F373">
        <v>0.056</v>
      </c>
      <c r="G373">
        <v>0.0999961479182303</v>
      </c>
      <c r="H373" t="s">
        <v>405</v>
      </c>
      <c r="I373" t="s">
        <v>494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630</v>
      </c>
      <c r="D374">
        <v>0.05221445221445201</v>
      </c>
      <c r="E374">
        <v>0.01405172438641378</v>
      </c>
      <c r="F374">
        <v>0.04</v>
      </c>
      <c r="G374">
        <v>0.09833247776527876</v>
      </c>
      <c r="H374" t="s">
        <v>405</v>
      </c>
      <c r="I374" t="s">
        <v>634</v>
      </c>
    </row>
    <row r="375" spans="1:9">
      <c r="A375" s="1" t="s">
        <v>382</v>
      </c>
      <c r="B375">
        <f>HYPERLINK("https://www.suredividend.com/sure-analysis-F","Ford Motor Co.")</f>
        <v>0</v>
      </c>
      <c r="C375" t="s">
        <v>629</v>
      </c>
      <c r="D375">
        <v>0.063291139240506</v>
      </c>
      <c r="E375">
        <v>-0.002118663107993135</v>
      </c>
      <c r="F375">
        <v>0.05</v>
      </c>
      <c r="G375">
        <v>0.09569963662668002</v>
      </c>
      <c r="H375" t="s">
        <v>405</v>
      </c>
      <c r="I375" t="s">
        <v>634</v>
      </c>
    </row>
    <row r="376" spans="1:9">
      <c r="A376" s="1" t="s">
        <v>383</v>
      </c>
      <c r="B376">
        <f>HYPERLINK("https://www.suredividend.com/sure-analysis-CM","Canadian Imperial Bank of Commerce")</f>
        <v>0</v>
      </c>
      <c r="C376" t="s">
        <v>629</v>
      </c>
      <c r="D376">
        <v>0.049906242831743</v>
      </c>
      <c r="E376">
        <v>-0.001067998165672601</v>
      </c>
      <c r="F376">
        <v>0.05</v>
      </c>
      <c r="G376">
        <v>0.09384946014327356</v>
      </c>
      <c r="H376" t="s">
        <v>405</v>
      </c>
      <c r="I376" t="s">
        <v>634</v>
      </c>
    </row>
    <row r="377" spans="1:9">
      <c r="A377" s="1" t="s">
        <v>384</v>
      </c>
      <c r="B377">
        <f>HYPERLINK("https://www.suredividend.com/sure-analysis-GWLIF","Great-West Lifeco, Inc.")</f>
        <v>0</v>
      </c>
      <c r="C377" t="s">
        <v>629</v>
      </c>
      <c r="D377">
        <v>0.04821732174655501</v>
      </c>
      <c r="E377">
        <v>0.01197394603228807</v>
      </c>
      <c r="F377">
        <v>0.04</v>
      </c>
      <c r="G377">
        <v>0.09384776532699446</v>
      </c>
      <c r="H377" t="s">
        <v>405</v>
      </c>
      <c r="I377" t="s">
        <v>634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629</v>
      </c>
      <c r="D378">
        <v>0.04328383116883101</v>
      </c>
      <c r="E378">
        <v>-0.01197153606515955</v>
      </c>
      <c r="F378">
        <v>0.05</v>
      </c>
      <c r="G378">
        <v>0.09283611224677646</v>
      </c>
      <c r="H378" t="s">
        <v>405</v>
      </c>
      <c r="I378" t="s">
        <v>494</v>
      </c>
    </row>
    <row r="379" spans="1:9">
      <c r="A379" s="1" t="s">
        <v>386</v>
      </c>
      <c r="B379">
        <f>HYPERLINK("https://www.suredividend.com/sure-analysis-WMB","The Williams Cos., Inc.")</f>
        <v>0</v>
      </c>
      <c r="C379" t="s">
        <v>629</v>
      </c>
      <c r="D379">
        <v>0.06218487394957901</v>
      </c>
      <c r="E379">
        <v>-0.02472191044052729</v>
      </c>
      <c r="F379">
        <v>0.06</v>
      </c>
      <c r="G379">
        <v>0.08943123681411547</v>
      </c>
      <c r="H379" t="s">
        <v>405</v>
      </c>
      <c r="I379" t="s">
        <v>634</v>
      </c>
    </row>
    <row r="380" spans="1:9">
      <c r="A380" s="1" t="s">
        <v>387</v>
      </c>
      <c r="B380">
        <f>HYPERLINK("https://www.suredividend.com/sure-analysis-GPS","Gap, Inc.")</f>
        <v>0</v>
      </c>
      <c r="C380" t="s">
        <v>629</v>
      </c>
      <c r="D380">
        <v>0.05514496873223401</v>
      </c>
      <c r="E380">
        <v>0.01554121190301738</v>
      </c>
      <c r="F380">
        <v>0.03</v>
      </c>
      <c r="G380">
        <v>0.08847993807922294</v>
      </c>
      <c r="H380" t="s">
        <v>405</v>
      </c>
      <c r="I380" t="s">
        <v>634</v>
      </c>
    </row>
    <row r="381" spans="1:9">
      <c r="A381" s="1" t="s">
        <v>388</v>
      </c>
      <c r="B381">
        <f>HYPERLINK("https://www.suredividend.com/sure-analysis-BIP","Brookfield Infrastructure Partners LP")</f>
        <v>0</v>
      </c>
      <c r="C381" t="s">
        <v>631</v>
      </c>
      <c r="D381">
        <v>0.04089123242349001</v>
      </c>
      <c r="E381">
        <v>-0.03724731203619192</v>
      </c>
      <c r="F381">
        <v>0.08500000000000001</v>
      </c>
      <c r="G381">
        <v>0.08602885195361165</v>
      </c>
      <c r="H381" t="s">
        <v>405</v>
      </c>
      <c r="I381" t="s">
        <v>494</v>
      </c>
    </row>
    <row r="382" spans="1:9">
      <c r="A382" s="1" t="s">
        <v>389</v>
      </c>
      <c r="B382">
        <f>HYPERLINK("https://www.suredividend.com/sure-analysis-PFE","Pfizer Inc.")</f>
        <v>0</v>
      </c>
      <c r="C382" t="s">
        <v>629</v>
      </c>
      <c r="D382">
        <v>0.036706602090237</v>
      </c>
      <c r="E382">
        <v>-0.006350867546663808</v>
      </c>
      <c r="F382">
        <v>0.06</v>
      </c>
      <c r="G382">
        <v>0.08231153603968955</v>
      </c>
      <c r="H382" t="s">
        <v>405</v>
      </c>
      <c r="I382" t="s">
        <v>405</v>
      </c>
    </row>
    <row r="383" spans="1:9">
      <c r="A383" s="1" t="s">
        <v>390</v>
      </c>
      <c r="B383">
        <f>HYPERLINK("https://www.suredividend.com/sure-analysis-TPR","Tapestry, Inc.")</f>
        <v>0</v>
      </c>
      <c r="C383" t="s">
        <v>629</v>
      </c>
      <c r="D383">
        <v>0.05054286783976</v>
      </c>
      <c r="E383">
        <v>0.002162101754897394</v>
      </c>
      <c r="F383">
        <v>0.04</v>
      </c>
      <c r="G383">
        <v>0.08194066566572977</v>
      </c>
      <c r="H383" t="s">
        <v>405</v>
      </c>
      <c r="I383" t="s">
        <v>634</v>
      </c>
    </row>
    <row r="384" spans="1:9">
      <c r="A384" s="1" t="s">
        <v>391</v>
      </c>
      <c r="B384">
        <f>HYPERLINK("https://www.suredividend.com/sure-analysis-MT","ArcelorMittal SA")</f>
        <v>0</v>
      </c>
      <c r="C384" t="s">
        <v>629</v>
      </c>
      <c r="D384">
        <v>0.011210762331838</v>
      </c>
      <c r="E384">
        <v>-0.1706446739711969</v>
      </c>
      <c r="F384">
        <v>0.285</v>
      </c>
      <c r="G384">
        <v>0.08010580666921463</v>
      </c>
      <c r="H384" t="s">
        <v>405</v>
      </c>
      <c r="I384" t="s">
        <v>382</v>
      </c>
    </row>
    <row r="385" spans="1:9">
      <c r="A385" s="1" t="s">
        <v>392</v>
      </c>
      <c r="B385">
        <f>HYPERLINK("https://www.suredividend.com/sure-analysis-MDP","Meredith Corp.")</f>
        <v>0</v>
      </c>
      <c r="C385" t="s">
        <v>629</v>
      </c>
      <c r="D385">
        <v>0.06528616623526</v>
      </c>
      <c r="E385">
        <v>-0.0103950707968522</v>
      </c>
      <c r="F385">
        <v>0.036</v>
      </c>
      <c r="G385">
        <v>0.07976477366652812</v>
      </c>
      <c r="H385" t="s">
        <v>405</v>
      </c>
      <c r="I385" t="s">
        <v>634</v>
      </c>
    </row>
    <row r="386" spans="1:9">
      <c r="A386" s="1" t="s">
        <v>393</v>
      </c>
      <c r="B386">
        <f>HYPERLINK("https://www.suredividend.com/sure-analysis-M","Macy's, Inc.")</f>
        <v>0</v>
      </c>
      <c r="C386" t="s">
        <v>629</v>
      </c>
      <c r="D386">
        <v>0.093209876543209</v>
      </c>
      <c r="E386">
        <v>0.05327276858309049</v>
      </c>
      <c r="F386">
        <v>-0.05</v>
      </c>
      <c r="G386">
        <v>0.07951212430899601</v>
      </c>
      <c r="H386" t="s">
        <v>405</v>
      </c>
      <c r="I386" t="s">
        <v>633</v>
      </c>
    </row>
    <row r="387" spans="1:9">
      <c r="A387" s="1" t="s">
        <v>394</v>
      </c>
      <c r="B387">
        <f>HYPERLINK("https://www.suredividend.com/sure-analysis-SNY","Sanofi")</f>
        <v>0</v>
      </c>
      <c r="C387" t="s">
        <v>629</v>
      </c>
      <c r="D387">
        <v>0.03407121661721</v>
      </c>
      <c r="E387">
        <v>0.005672180866939547</v>
      </c>
      <c r="F387">
        <v>0.04</v>
      </c>
      <c r="G387">
        <v>0.07842581557140482</v>
      </c>
      <c r="H387" t="s">
        <v>405</v>
      </c>
      <c r="I387" t="s">
        <v>405</v>
      </c>
    </row>
    <row r="388" spans="1:9">
      <c r="A388" s="1" t="s">
        <v>395</v>
      </c>
      <c r="B388">
        <f>HYPERLINK("https://www.suredividend.com/sure-analysis-HTA","Healthcare Trust of America, Inc.")</f>
        <v>0</v>
      </c>
      <c r="C388" t="s">
        <v>630</v>
      </c>
      <c r="D388">
        <v>0.04130723291307201</v>
      </c>
      <c r="E388">
        <v>-0.0009307289101490035</v>
      </c>
      <c r="F388">
        <v>0.04</v>
      </c>
      <c r="G388">
        <v>0.07692399203601741</v>
      </c>
      <c r="H388" t="s">
        <v>405</v>
      </c>
      <c r="I388" t="s">
        <v>405</v>
      </c>
    </row>
    <row r="389" spans="1:9">
      <c r="A389" s="1" t="s">
        <v>396</v>
      </c>
      <c r="B389">
        <f>HYPERLINK("https://www.suredividend.com/sure-analysis-INN","Summit Hotel Properties, Inc.")</f>
        <v>0</v>
      </c>
      <c r="C389" t="s">
        <v>630</v>
      </c>
      <c r="D389">
        <v>0.058536585365853</v>
      </c>
      <c r="E389">
        <v>-0.00492634806525849</v>
      </c>
      <c r="F389">
        <v>0.028</v>
      </c>
      <c r="G389">
        <v>0.07445324253258168</v>
      </c>
      <c r="H389" t="s">
        <v>405</v>
      </c>
      <c r="I389" t="s">
        <v>634</v>
      </c>
    </row>
    <row r="390" spans="1:9">
      <c r="A390" s="1" t="s">
        <v>397</v>
      </c>
      <c r="B390">
        <f>HYPERLINK("https://www.suredividend.com/sure-analysis-WPP","WPP Plc")</f>
        <v>0</v>
      </c>
      <c r="C390" t="s">
        <v>629</v>
      </c>
      <c r="D390">
        <v>0.054490270113273</v>
      </c>
      <c r="E390">
        <v>-0.008448254400956867</v>
      </c>
      <c r="F390">
        <v>0.03</v>
      </c>
      <c r="G390">
        <v>0.07296556091743822</v>
      </c>
      <c r="H390" t="s">
        <v>405</v>
      </c>
      <c r="I390" t="s">
        <v>634</v>
      </c>
    </row>
    <row r="391" spans="1:9">
      <c r="A391" s="1" t="s">
        <v>398</v>
      </c>
      <c r="B391">
        <f>HYPERLINK("https://www.suredividend.com/sure-analysis-OKE","ONEOK, Inc.")</f>
        <v>0</v>
      </c>
      <c r="C391" t="s">
        <v>629</v>
      </c>
      <c r="D391">
        <v>0.046149753956643</v>
      </c>
      <c r="E391">
        <v>-0.03784216455851908</v>
      </c>
      <c r="F391">
        <v>0.065</v>
      </c>
      <c r="G391">
        <v>0.07238637376833124</v>
      </c>
      <c r="H391" t="s">
        <v>405</v>
      </c>
      <c r="I391" t="s">
        <v>494</v>
      </c>
    </row>
    <row r="392" spans="1:9">
      <c r="A392" s="1" t="s">
        <v>399</v>
      </c>
      <c r="B392">
        <f>HYPERLINK("https://www.suredividend.com/sure-analysis-TRP","TC Energy Corp.")</f>
        <v>0</v>
      </c>
      <c r="C392" t="s">
        <v>629</v>
      </c>
      <c r="D392">
        <v>0.041787200481515</v>
      </c>
      <c r="E392">
        <v>-0.007701181226406284</v>
      </c>
      <c r="F392">
        <v>0.04</v>
      </c>
      <c r="G392">
        <v>0.0711365415787486</v>
      </c>
      <c r="H392" t="s">
        <v>405</v>
      </c>
      <c r="I392" t="s">
        <v>405</v>
      </c>
    </row>
    <row r="393" spans="1:9">
      <c r="A393" s="1" t="s">
        <v>400</v>
      </c>
      <c r="B393">
        <f>HYPERLINK("https://www.suredividend.com/sure-analysis-GIS","General Mills, Inc.")</f>
        <v>0</v>
      </c>
      <c r="C393" t="s">
        <v>629</v>
      </c>
      <c r="D393">
        <v>0.03678678678678601</v>
      </c>
      <c r="E393">
        <v>0.01000788009864984</v>
      </c>
      <c r="F393">
        <v>0.03</v>
      </c>
      <c r="G393">
        <v>0.07099626371582168</v>
      </c>
      <c r="H393" t="s">
        <v>405</v>
      </c>
      <c r="I393" t="s">
        <v>405</v>
      </c>
    </row>
    <row r="394" spans="1:9">
      <c r="A394" s="1" t="s">
        <v>401</v>
      </c>
      <c r="B394">
        <f>HYPERLINK("https://www.suredividend.com/sure-analysis-MPW","Medical Properties Trust, Inc.")</f>
        <v>0</v>
      </c>
      <c r="C394" t="s">
        <v>630</v>
      </c>
      <c r="D394">
        <v>0.04879227053140001</v>
      </c>
      <c r="E394">
        <v>-0.02756533520359794</v>
      </c>
      <c r="F394">
        <v>0.05</v>
      </c>
      <c r="G394">
        <v>0.07023566695800354</v>
      </c>
      <c r="H394" t="s">
        <v>405</v>
      </c>
      <c r="I394" t="s">
        <v>494</v>
      </c>
    </row>
    <row r="395" spans="1:9">
      <c r="A395" s="1" t="s">
        <v>402</v>
      </c>
      <c r="B395">
        <f>HYPERLINK("https://www.suredividend.com/sure-analysis-BXP","Boston Properties, Inc.")</f>
        <v>0</v>
      </c>
      <c r="C395" t="s">
        <v>630</v>
      </c>
      <c r="D395">
        <v>0.027986448666961</v>
      </c>
      <c r="E395">
        <v>-0.001151566524810854</v>
      </c>
      <c r="F395">
        <v>0.044</v>
      </c>
      <c r="G395">
        <v>0.06847254387322832</v>
      </c>
      <c r="H395" t="s">
        <v>405</v>
      </c>
      <c r="I395" t="s">
        <v>405</v>
      </c>
    </row>
    <row r="396" spans="1:9">
      <c r="A396" s="1" t="s">
        <v>403</v>
      </c>
      <c r="B396">
        <f>HYPERLINK("https://www.suredividend.com/sure-analysis-PSA","Public Storage")</f>
        <v>0</v>
      </c>
      <c r="C396" t="s">
        <v>630</v>
      </c>
      <c r="D396">
        <v>0.03782505910165401</v>
      </c>
      <c r="E396">
        <v>0.003287999579234979</v>
      </c>
      <c r="F396">
        <v>0.03</v>
      </c>
      <c r="G396">
        <v>0.06830432718888235</v>
      </c>
      <c r="H396" t="s">
        <v>405</v>
      </c>
      <c r="I396" t="s">
        <v>405</v>
      </c>
    </row>
    <row r="397" spans="1:9">
      <c r="A397" s="1" t="s">
        <v>404</v>
      </c>
      <c r="B397">
        <f>HYPERLINK("https://www.suredividend.com/sure-analysis-DLR","Digital Realty Trust, Inc.")</f>
        <v>0</v>
      </c>
      <c r="C397" t="s">
        <v>630</v>
      </c>
      <c r="D397">
        <v>0.036010845619386</v>
      </c>
      <c r="E397">
        <v>-0.03453637277528165</v>
      </c>
      <c r="F397">
        <v>0.07000000000000001</v>
      </c>
      <c r="G397">
        <v>0.06822391639735836</v>
      </c>
      <c r="H397" t="s">
        <v>405</v>
      </c>
      <c r="I397" t="s">
        <v>494</v>
      </c>
    </row>
    <row r="398" spans="1:9">
      <c r="A398" s="1" t="s">
        <v>405</v>
      </c>
      <c r="B398">
        <f>HYPERLINK("https://www.suredividend.com/sure-analysis-D","Dominion Energy, Inc.")</f>
        <v>0</v>
      </c>
      <c r="C398" t="s">
        <v>629</v>
      </c>
      <c r="D398">
        <v>0.043579931972789</v>
      </c>
      <c r="E398">
        <v>-0.0319037549033041</v>
      </c>
      <c r="F398">
        <v>0.058</v>
      </c>
      <c r="G398">
        <v>0.06805820293931952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HYPERLINK("https://www.suredividend.com/sure-analysis-LAMR","Lamar Advertising Co.")</f>
        <v>0</v>
      </c>
      <c r="C399" t="s">
        <v>630</v>
      </c>
      <c r="D399">
        <v>0.042986425339366</v>
      </c>
      <c r="E399">
        <v>-0.03234220446957825</v>
      </c>
      <c r="F399">
        <v>0.06</v>
      </c>
      <c r="G399">
        <v>0.06777177351619335</v>
      </c>
      <c r="H399" t="s">
        <v>405</v>
      </c>
      <c r="I399" t="s">
        <v>494</v>
      </c>
    </row>
    <row r="400" spans="1:9">
      <c r="A400" s="1" t="s">
        <v>407</v>
      </c>
      <c r="B400">
        <f>HYPERLINK("https://www.suredividend.com/sure-analysis-STAG","STAG Industrial, Inc.")</f>
        <v>0</v>
      </c>
      <c r="C400" t="s">
        <v>630</v>
      </c>
      <c r="D400">
        <v>0.04546184713375701</v>
      </c>
      <c r="E400">
        <v>-0.02974291389767481</v>
      </c>
      <c r="F400">
        <v>0.06</v>
      </c>
      <c r="G400">
        <v>0.06731706880480171</v>
      </c>
      <c r="H400" t="s">
        <v>405</v>
      </c>
      <c r="I400" t="s">
        <v>405</v>
      </c>
    </row>
    <row r="401" spans="1:9">
      <c r="A401" s="1" t="s">
        <v>408</v>
      </c>
      <c r="B401">
        <f>HYPERLINK("https://www.suredividend.com/sure-analysis-TXN","Texas Instruments Incorporated")</f>
        <v>0</v>
      </c>
      <c r="C401" t="s">
        <v>629</v>
      </c>
      <c r="D401">
        <v>0.02489336952307</v>
      </c>
      <c r="E401">
        <v>-0.04768635850484793</v>
      </c>
      <c r="F401">
        <v>0.09</v>
      </c>
      <c r="G401">
        <v>0.06606175477777088</v>
      </c>
      <c r="H401" t="s">
        <v>405</v>
      </c>
      <c r="I401" t="s">
        <v>405</v>
      </c>
    </row>
    <row r="402" spans="1:9">
      <c r="A402" s="1" t="s">
        <v>409</v>
      </c>
      <c r="B402">
        <f>HYPERLINK("https://www.suredividend.com/sure-analysis-GSK","GlaxoSmithKline Plc")</f>
        <v>0</v>
      </c>
      <c r="C402" t="s">
        <v>629</v>
      </c>
      <c r="D402">
        <v>0.042252895181741</v>
      </c>
      <c r="E402">
        <v>-0.005642350334195245</v>
      </c>
      <c r="F402">
        <v>0.03</v>
      </c>
      <c r="G402">
        <v>0.06563680224373214</v>
      </c>
      <c r="H402" t="s">
        <v>405</v>
      </c>
      <c r="I402" t="s">
        <v>405</v>
      </c>
    </row>
    <row r="403" spans="1:9">
      <c r="A403" s="1" t="s">
        <v>410</v>
      </c>
      <c r="B403">
        <f>HYPERLINK("https://www.suredividend.com/sure-analysis-WDR","Waddell &amp; Reed Financial, Inc.")</f>
        <v>0</v>
      </c>
      <c r="C403" t="s">
        <v>629</v>
      </c>
      <c r="D403">
        <v>0.05948839976204601</v>
      </c>
      <c r="E403">
        <v>0.02479542402078239</v>
      </c>
      <c r="F403">
        <v>-0.01</v>
      </c>
      <c r="G403">
        <v>0.06534801079014141</v>
      </c>
      <c r="H403" t="s">
        <v>405</v>
      </c>
      <c r="I403" t="s">
        <v>634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629</v>
      </c>
      <c r="D404">
        <v>0.025230470645317</v>
      </c>
      <c r="E404">
        <v>-0.04350833365869855</v>
      </c>
      <c r="F404">
        <v>0.09</v>
      </c>
      <c r="G404">
        <v>0.06488857561810057</v>
      </c>
      <c r="H404" t="s">
        <v>405</v>
      </c>
      <c r="I404" t="s">
        <v>382</v>
      </c>
    </row>
    <row r="405" spans="1:9">
      <c r="A405" s="1" t="s">
        <v>412</v>
      </c>
      <c r="B405">
        <f>HYPERLINK("https://www.suredividend.com/sure-analysis-DUK","Duke Energy Corp.")</f>
        <v>0</v>
      </c>
      <c r="C405" t="s">
        <v>629</v>
      </c>
      <c r="D405">
        <v>0.041133303906422</v>
      </c>
      <c r="E405">
        <v>-0.01272310470690119</v>
      </c>
      <c r="F405">
        <v>0.04</v>
      </c>
      <c r="G405">
        <v>0.06475949307348294</v>
      </c>
      <c r="H405" t="s">
        <v>405</v>
      </c>
      <c r="I405" t="s">
        <v>494</v>
      </c>
    </row>
    <row r="406" spans="1:9">
      <c r="A406" s="1" t="s">
        <v>413</v>
      </c>
      <c r="B406">
        <f>HYPERLINK("https://www.suredividend.com/sure-analysis-INFY","Infosys Ltd.")</f>
        <v>0</v>
      </c>
      <c r="C406" t="s">
        <v>629</v>
      </c>
      <c r="D406">
        <v>0.030991253644314</v>
      </c>
      <c r="E406">
        <v>-0.0307998794631017</v>
      </c>
      <c r="F406">
        <v>0.07000000000000001</v>
      </c>
      <c r="G406">
        <v>0.06413343450481479</v>
      </c>
      <c r="H406" t="s">
        <v>405</v>
      </c>
      <c r="I406" t="s">
        <v>405</v>
      </c>
    </row>
    <row r="407" spans="1:9">
      <c r="A407" s="1" t="s">
        <v>414</v>
      </c>
      <c r="B407">
        <f>HYPERLINK("https://www.suredividend.com/sure-analysis-UL","Unilever Plc")</f>
        <v>0</v>
      </c>
      <c r="C407" t="s">
        <v>629</v>
      </c>
      <c r="D407">
        <v>0.031603524229074</v>
      </c>
      <c r="E407">
        <v>-0.01733045727506199</v>
      </c>
      <c r="F407">
        <v>0.05</v>
      </c>
      <c r="G407">
        <v>0.06356952672034333</v>
      </c>
      <c r="H407" t="s">
        <v>405</v>
      </c>
      <c r="I407" t="s">
        <v>405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629</v>
      </c>
      <c r="D408">
        <v>0.071123919308357</v>
      </c>
      <c r="E408">
        <v>-0.01668595664154726</v>
      </c>
      <c r="F408">
        <v>0.015</v>
      </c>
      <c r="G408">
        <v>0.06303690185101463</v>
      </c>
      <c r="H408" t="s">
        <v>405</v>
      </c>
      <c r="I408" t="s">
        <v>634</v>
      </c>
    </row>
    <row r="409" spans="1:9">
      <c r="A409" s="1" t="s">
        <v>416</v>
      </c>
      <c r="B409">
        <f>HYPERLINK("https://www.suredividend.com/sure-analysis-PPRQF","Choice Properties Real Estate Investment Trust")</f>
        <v>0</v>
      </c>
      <c r="C409" t="s">
        <v>630</v>
      </c>
      <c r="D409">
        <v>0.05341099654493901</v>
      </c>
      <c r="E409">
        <v>-0.01459616729575852</v>
      </c>
      <c r="F409">
        <v>0.027</v>
      </c>
      <c r="G409">
        <v>0.06297067373051712</v>
      </c>
      <c r="H409" t="s">
        <v>405</v>
      </c>
      <c r="I409" t="s">
        <v>494</v>
      </c>
    </row>
    <row r="410" spans="1:9">
      <c r="A410" s="1" t="s">
        <v>417</v>
      </c>
      <c r="B410">
        <f>HYPERLINK("https://www.suredividend.com/sure-analysis-HST","Host Hotels &amp; Resorts, Inc.")</f>
        <v>0</v>
      </c>
      <c r="C410" t="s">
        <v>630</v>
      </c>
      <c r="D410">
        <v>0.042757883484767</v>
      </c>
      <c r="E410">
        <v>0.00308090403544603</v>
      </c>
      <c r="F410">
        <v>0.02</v>
      </c>
      <c r="G410">
        <v>0.06197917571194966</v>
      </c>
      <c r="H410" t="s">
        <v>405</v>
      </c>
      <c r="I410" t="s">
        <v>634</v>
      </c>
    </row>
    <row r="411" spans="1:9">
      <c r="A411" s="1" t="s">
        <v>418</v>
      </c>
      <c r="B411">
        <f>HYPERLINK("https://www.suredividend.com/sure-analysis-STOR","STORE Capital Corp.")</f>
        <v>0</v>
      </c>
      <c r="C411" t="s">
        <v>630</v>
      </c>
      <c r="D411">
        <v>0.03608941556692701</v>
      </c>
      <c r="E411">
        <v>-0.02330762293384014</v>
      </c>
      <c r="F411">
        <v>0.05</v>
      </c>
      <c r="G411">
        <v>0.06086439707899594</v>
      </c>
      <c r="H411" t="s">
        <v>405</v>
      </c>
      <c r="I411" t="s">
        <v>405</v>
      </c>
    </row>
    <row r="412" spans="1:9">
      <c r="A412" s="1" t="s">
        <v>419</v>
      </c>
      <c r="B412">
        <f>HYPERLINK("https://www.suredividend.com/sure-analysis-KHC","The Kraft Heinz Co.")</f>
        <v>0</v>
      </c>
      <c r="C412" t="s">
        <v>629</v>
      </c>
      <c r="D412">
        <v>0.05664183736809401</v>
      </c>
      <c r="E412">
        <v>-0.02083813158549364</v>
      </c>
      <c r="F412">
        <v>0.033</v>
      </c>
      <c r="G412">
        <v>0.06077622787270553</v>
      </c>
      <c r="H412" t="s">
        <v>405</v>
      </c>
      <c r="I412" t="s">
        <v>494</v>
      </c>
    </row>
    <row r="413" spans="1:9">
      <c r="A413" s="1" t="s">
        <v>420</v>
      </c>
      <c r="B413">
        <f>HYPERLINK("https://www.suredividend.com/sure-analysis-RCI","Rogers Communications, Inc.")</f>
        <v>0</v>
      </c>
      <c r="C413" t="s">
        <v>629</v>
      </c>
      <c r="D413">
        <v>0.030292464422807</v>
      </c>
      <c r="E413">
        <v>-0.009308755944702374</v>
      </c>
      <c r="F413">
        <v>0.04</v>
      </c>
      <c r="G413">
        <v>0.05832475079528043</v>
      </c>
      <c r="H413" t="s">
        <v>405</v>
      </c>
      <c r="I413" t="s">
        <v>405</v>
      </c>
    </row>
    <row r="414" spans="1:9">
      <c r="A414" s="1" t="s">
        <v>421</v>
      </c>
      <c r="B414">
        <f>HYPERLINK("https://www.suredividend.com/sure-analysis-QSR","Restaurant Brands International, Inc.")</f>
        <v>0</v>
      </c>
      <c r="C414" t="s">
        <v>629</v>
      </c>
      <c r="D414">
        <v>0.030187639135164</v>
      </c>
      <c r="E414">
        <v>-0.05842946687154338</v>
      </c>
      <c r="F414">
        <v>0.09</v>
      </c>
      <c r="G414">
        <v>0.05772545410064778</v>
      </c>
      <c r="H414" t="s">
        <v>405</v>
      </c>
      <c r="I414" t="s">
        <v>382</v>
      </c>
    </row>
    <row r="415" spans="1:9">
      <c r="A415" s="1" t="s">
        <v>422</v>
      </c>
      <c r="B415">
        <f>HYPERLINK("https://www.suredividend.com/sure-analysis-OUT","OUTFRONT Media, Inc.")</f>
        <v>0</v>
      </c>
      <c r="C415" t="s">
        <v>629</v>
      </c>
      <c r="D415">
        <v>0.053811659192825</v>
      </c>
      <c r="E415">
        <v>-0.005745769013187796</v>
      </c>
      <c r="F415">
        <v>0.015</v>
      </c>
      <c r="G415">
        <v>0.05748684737206311</v>
      </c>
      <c r="H415" t="s">
        <v>405</v>
      </c>
      <c r="I415" t="s">
        <v>494</v>
      </c>
    </row>
    <row r="416" spans="1:9">
      <c r="A416" s="1" t="s">
        <v>423</v>
      </c>
      <c r="B416">
        <f>HYPERLINK("https://www.suredividend.com/sure-analysis-SU","Suncor Energy, Inc.")</f>
        <v>0</v>
      </c>
      <c r="C416" t="s">
        <v>629</v>
      </c>
      <c r="D416">
        <v>0.03790334671768601</v>
      </c>
      <c r="E416">
        <v>-0.02071652677940605</v>
      </c>
      <c r="F416">
        <v>0.04</v>
      </c>
      <c r="G416">
        <v>0.05686460254339876</v>
      </c>
      <c r="H416" t="s">
        <v>405</v>
      </c>
      <c r="I416" t="s">
        <v>405</v>
      </c>
    </row>
    <row r="417" spans="1:9">
      <c r="A417" s="1" t="s">
        <v>424</v>
      </c>
      <c r="B417">
        <f>HYPERLINK("https://www.suredividend.com/sure-analysis-UFS","Domtar Corp.")</f>
        <v>0</v>
      </c>
      <c r="C417" t="s">
        <v>629</v>
      </c>
      <c r="D417">
        <v>0.0458408447077</v>
      </c>
      <c r="E417">
        <v>-0.02055482583435009</v>
      </c>
      <c r="F417">
        <v>0.03</v>
      </c>
      <c r="G417">
        <v>0.05365787148570789</v>
      </c>
      <c r="H417" t="s">
        <v>405</v>
      </c>
      <c r="I417" t="s">
        <v>634</v>
      </c>
    </row>
    <row r="418" spans="1:9">
      <c r="A418" s="1" t="s">
        <v>425</v>
      </c>
      <c r="B418">
        <f>HYPERLINK("https://www.suredividend.com/sure-analysis-BEP","Brookfield Renewable Partners LP")</f>
        <v>0</v>
      </c>
      <c r="C418" t="s">
        <v>631</v>
      </c>
      <c r="D418">
        <v>0.044131541935203</v>
      </c>
      <c r="E418">
        <v>-0.04883264802522513</v>
      </c>
      <c r="F418">
        <v>0.06</v>
      </c>
      <c r="G418">
        <v>0.05364201593588946</v>
      </c>
      <c r="H418" t="s">
        <v>405</v>
      </c>
      <c r="I418" t="s">
        <v>405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629</v>
      </c>
      <c r="D419">
        <v>0.024009146341463</v>
      </c>
      <c r="E419">
        <v>-0.05135146708850935</v>
      </c>
      <c r="F419">
        <v>0.08</v>
      </c>
      <c r="G419">
        <v>0.0518682157691317</v>
      </c>
      <c r="H419" t="s">
        <v>405</v>
      </c>
      <c r="I419" t="s">
        <v>382</v>
      </c>
    </row>
    <row r="420" spans="1:9">
      <c r="A420" s="1" t="s">
        <v>427</v>
      </c>
      <c r="B420">
        <f>HYPERLINK("https://www.suredividend.com/sure-analysis-KIM","Kimco Realty Corp.")</f>
        <v>0</v>
      </c>
      <c r="C420" t="s">
        <v>630</v>
      </c>
      <c r="D420">
        <v>0.05455431076473401</v>
      </c>
      <c r="E420">
        <v>-0.03703169201161172</v>
      </c>
      <c r="F420">
        <v>0.034</v>
      </c>
      <c r="G420">
        <v>0.05153932948686135</v>
      </c>
      <c r="H420" t="s">
        <v>405</v>
      </c>
      <c r="I420" t="s">
        <v>494</v>
      </c>
    </row>
    <row r="421" spans="1:9">
      <c r="A421" s="1" t="s">
        <v>428</v>
      </c>
      <c r="B421">
        <f>HYPERLINK("https://www.suredividend.com/sure-analysis-KDP","Keurig Dr Pepper, Inc.")</f>
        <v>0</v>
      </c>
      <c r="C421" t="s">
        <v>629</v>
      </c>
      <c r="D421">
        <v>0.02078281953585</v>
      </c>
      <c r="E421">
        <v>-0.06167237557610861</v>
      </c>
      <c r="F421">
        <v>0.1</v>
      </c>
      <c r="G421">
        <v>0.04985440535515462</v>
      </c>
      <c r="H421" t="s">
        <v>405</v>
      </c>
      <c r="I421" t="s">
        <v>382</v>
      </c>
    </row>
    <row r="422" spans="1:9">
      <c r="A422" s="1" t="s">
        <v>429</v>
      </c>
      <c r="B422">
        <f>HYPERLINK("https://www.suredividend.com/sure-analysis-OPI","Office Properties Income Trust")</f>
        <v>0</v>
      </c>
      <c r="C422" t="s">
        <v>630</v>
      </c>
      <c r="D422">
        <v>0.105874960728872</v>
      </c>
      <c r="E422">
        <v>-0.03965486226204795</v>
      </c>
      <c r="F422">
        <v>0.02</v>
      </c>
      <c r="G422">
        <v>0.04982792351329879</v>
      </c>
      <c r="H422" t="s">
        <v>405</v>
      </c>
      <c r="I422" t="s">
        <v>633</v>
      </c>
    </row>
    <row r="423" spans="1:9">
      <c r="A423" s="1" t="s">
        <v>430</v>
      </c>
      <c r="B423">
        <f>HYPERLINK("https://www.suredividend.com/sure-analysis-JWN","Nordstrom, Inc.")</f>
        <v>0</v>
      </c>
      <c r="C423" t="s">
        <v>629</v>
      </c>
      <c r="D423">
        <v>0.036399409739301</v>
      </c>
      <c r="E423">
        <v>-0.003267720160250454</v>
      </c>
      <c r="F423">
        <v>0.02</v>
      </c>
      <c r="G423">
        <v>0.04865963533830842</v>
      </c>
      <c r="H423" t="s">
        <v>405</v>
      </c>
      <c r="I423" t="s">
        <v>494</v>
      </c>
    </row>
    <row r="424" spans="1:9">
      <c r="A424" s="1" t="s">
        <v>431</v>
      </c>
      <c r="B424">
        <f>HYPERLINK("https://www.suredividend.com/sure-analysis-AEP","American Electric Power Co., Inc.")</f>
        <v>0</v>
      </c>
      <c r="C424" t="s">
        <v>629</v>
      </c>
      <c r="D424">
        <v>0.028240252897787</v>
      </c>
      <c r="E424">
        <v>-0.02879808964133312</v>
      </c>
      <c r="F424">
        <v>0.05</v>
      </c>
      <c r="G424">
        <v>0.04840675878283207</v>
      </c>
      <c r="H424" t="s">
        <v>405</v>
      </c>
      <c r="I424" t="s">
        <v>405</v>
      </c>
    </row>
    <row r="425" spans="1:9">
      <c r="A425" s="1" t="s">
        <v>432</v>
      </c>
      <c r="B425">
        <f>HYPERLINK("https://www.suredividend.com/sure-analysis-BHP","BHP Group Ltd.")</f>
        <v>0</v>
      </c>
      <c r="C425" t="s">
        <v>629</v>
      </c>
      <c r="D425">
        <v>0.048933038999264</v>
      </c>
      <c r="E425">
        <v>-0.005054517862385755</v>
      </c>
      <c r="F425">
        <v>0.01</v>
      </c>
      <c r="G425">
        <v>0.04733282419588147</v>
      </c>
      <c r="H425" t="s">
        <v>405</v>
      </c>
      <c r="I425" t="s">
        <v>494</v>
      </c>
    </row>
    <row r="426" spans="1:9">
      <c r="A426" s="1" t="s">
        <v>433</v>
      </c>
      <c r="B426">
        <f>HYPERLINK("https://www.suredividend.com/sure-analysis-CNQ","Canadian Natural Resources Ltd.")</f>
        <v>0</v>
      </c>
      <c r="C426" t="s">
        <v>629</v>
      </c>
      <c r="D426">
        <v>0.03481005205251</v>
      </c>
      <c r="E426">
        <v>-0.04577545121441184</v>
      </c>
      <c r="F426">
        <v>0.057</v>
      </c>
      <c r="G426">
        <v>0.04567478478033893</v>
      </c>
      <c r="H426" t="s">
        <v>405</v>
      </c>
      <c r="I426" t="s">
        <v>494</v>
      </c>
    </row>
    <row r="427" spans="1:9">
      <c r="A427" s="1" t="s">
        <v>434</v>
      </c>
      <c r="B427">
        <f>HYPERLINK("https://www.suredividend.com/sure-analysis-SRE","Sempra Energy")</f>
        <v>0</v>
      </c>
      <c r="C427" t="s">
        <v>629</v>
      </c>
      <c r="D427">
        <v>0.025085876601928</v>
      </c>
      <c r="E427">
        <v>-0.06016655549445882</v>
      </c>
      <c r="F427">
        <v>0.08</v>
      </c>
      <c r="G427">
        <v>0.04386583544353684</v>
      </c>
      <c r="H427" t="s">
        <v>405</v>
      </c>
      <c r="I427" t="s">
        <v>405</v>
      </c>
    </row>
    <row r="428" spans="1:9">
      <c r="A428" s="1" t="s">
        <v>435</v>
      </c>
      <c r="B428">
        <f>HYPERLINK("https://www.suredividend.com/sure-analysis-VOD","Vodafone Group Plc")</f>
        <v>0</v>
      </c>
      <c r="C428" t="s">
        <v>629</v>
      </c>
      <c r="D428">
        <v>0.048055680655066</v>
      </c>
      <c r="E428">
        <v>-0.05150872568126719</v>
      </c>
      <c r="F428">
        <v>0.05</v>
      </c>
      <c r="G428">
        <v>0.04322440048015275</v>
      </c>
      <c r="H428" t="s">
        <v>405</v>
      </c>
      <c r="I428" t="s">
        <v>494</v>
      </c>
    </row>
    <row r="429" spans="1:9">
      <c r="A429" s="1" t="s">
        <v>436</v>
      </c>
      <c r="B429">
        <f>HYPERLINK("https://www.suredividend.com/sure-analysis-FLO","Flowers Foods, Inc.")</f>
        <v>0</v>
      </c>
      <c r="C429" t="s">
        <v>629</v>
      </c>
      <c r="D429">
        <v>0.033514492753623</v>
      </c>
      <c r="E429">
        <v>-0.02959973517411063</v>
      </c>
      <c r="F429">
        <v>0.04</v>
      </c>
      <c r="G429">
        <v>0.04295944290206566</v>
      </c>
      <c r="H429" t="s">
        <v>405</v>
      </c>
      <c r="I429" t="s">
        <v>405</v>
      </c>
    </row>
    <row r="430" spans="1:9">
      <c r="A430" s="1" t="s">
        <v>437</v>
      </c>
      <c r="B430">
        <f>HYPERLINK("https://www.suredividend.com/sure-analysis-OTTR","Otter Tail Corp.")</f>
        <v>0</v>
      </c>
      <c r="C430" t="s">
        <v>629</v>
      </c>
      <c r="D430">
        <v>0.026532567049808</v>
      </c>
      <c r="E430">
        <v>-0.03360108274668594</v>
      </c>
      <c r="F430">
        <v>0.05</v>
      </c>
      <c r="G430">
        <v>0.04262949141907413</v>
      </c>
      <c r="H430" t="s">
        <v>405</v>
      </c>
      <c r="I430" t="s">
        <v>382</v>
      </c>
    </row>
    <row r="431" spans="1:9">
      <c r="A431" s="1" t="s">
        <v>438</v>
      </c>
      <c r="B431">
        <f>HYPERLINK("https://www.suredividend.com/sure-analysis-WPC","W.P. Carey, Inc.")</f>
        <v>0</v>
      </c>
      <c r="C431" t="s">
        <v>630</v>
      </c>
      <c r="D431">
        <v>0.052630238186218</v>
      </c>
      <c r="E431">
        <v>-0.04306351229283545</v>
      </c>
      <c r="F431">
        <v>0.033</v>
      </c>
      <c r="G431">
        <v>0.04110306519743268</v>
      </c>
      <c r="H431" t="s">
        <v>405</v>
      </c>
      <c r="I431" t="s">
        <v>494</v>
      </c>
    </row>
    <row r="432" spans="1:9">
      <c r="A432" s="1" t="s">
        <v>439</v>
      </c>
      <c r="B432">
        <f>HYPERLINK("https://www.suredividend.com/sure-analysis-CF","CF Industries Holdings, Inc.")</f>
        <v>0</v>
      </c>
      <c r="C432" t="s">
        <v>629</v>
      </c>
      <c r="D432">
        <v>0.024855012427506</v>
      </c>
      <c r="E432">
        <v>-0.04179271332776668</v>
      </c>
      <c r="F432">
        <v>0.06</v>
      </c>
      <c r="G432">
        <v>0.04013618209038605</v>
      </c>
      <c r="H432" t="s">
        <v>405</v>
      </c>
      <c r="I432" t="s">
        <v>382</v>
      </c>
    </row>
    <row r="433" spans="1:9">
      <c r="A433" s="1" t="s">
        <v>440</v>
      </c>
      <c r="B433">
        <f>HYPERLINK("https://www.suredividend.com/sure-analysis-TCP","TC Pipelines LP")</f>
        <v>0</v>
      </c>
      <c r="C433" t="s">
        <v>631</v>
      </c>
      <c r="D433">
        <v>0.064564191705984</v>
      </c>
      <c r="E433">
        <v>-0.04493337297125111</v>
      </c>
      <c r="F433">
        <v>0.02</v>
      </c>
      <c r="G433">
        <v>0.03970284680845904</v>
      </c>
      <c r="H433" t="s">
        <v>405</v>
      </c>
      <c r="I433" t="s">
        <v>634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629</v>
      </c>
      <c r="D434">
        <v>0.058834178131788</v>
      </c>
      <c r="E434">
        <v>-0.07702569476252563</v>
      </c>
      <c r="F434">
        <v>0.05</v>
      </c>
      <c r="G434">
        <v>0.03815248372365931</v>
      </c>
      <c r="H434" t="s">
        <v>405</v>
      </c>
      <c r="I434" t="s">
        <v>494</v>
      </c>
    </row>
    <row r="435" spans="1:9">
      <c r="A435" s="1" t="s">
        <v>442</v>
      </c>
      <c r="B435">
        <f>HYPERLINK("https://www.suredividend.com/sure-analysis-O","Realty Income Corp.")</f>
        <v>0</v>
      </c>
      <c r="C435" t="s">
        <v>630</v>
      </c>
      <c r="D435">
        <v>0.037206896551724</v>
      </c>
      <c r="E435">
        <v>-0.05033593643519441</v>
      </c>
      <c r="F435">
        <v>0.05</v>
      </c>
      <c r="G435">
        <v>0.03775246965121881</v>
      </c>
      <c r="H435" t="s">
        <v>405</v>
      </c>
      <c r="I435" t="s">
        <v>494</v>
      </c>
    </row>
    <row r="436" spans="1:9">
      <c r="A436" s="1" t="s">
        <v>443</v>
      </c>
      <c r="B436">
        <f>HYPERLINK("https://www.suredividend.com/sure-analysis-UBA","Urstadt Biddle Properties, Inc.")</f>
        <v>0</v>
      </c>
      <c r="C436" t="s">
        <v>630</v>
      </c>
      <c r="D436">
        <v>0.046121593291404</v>
      </c>
      <c r="E436">
        <v>-0.02513117541455956</v>
      </c>
      <c r="F436">
        <v>0.018</v>
      </c>
      <c r="G436">
        <v>0.03769497090680951</v>
      </c>
      <c r="H436" t="s">
        <v>405</v>
      </c>
      <c r="I436" t="s">
        <v>634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629</v>
      </c>
      <c r="D437">
        <v>0.032982382550335</v>
      </c>
      <c r="E437">
        <v>-0.05464864547507764</v>
      </c>
      <c r="F437">
        <v>0.06</v>
      </c>
      <c r="G437">
        <v>0.0375880658288148</v>
      </c>
      <c r="H437" t="s">
        <v>405</v>
      </c>
      <c r="I437" t="s">
        <v>405</v>
      </c>
    </row>
    <row r="438" spans="1:9">
      <c r="A438" s="1" t="s">
        <v>445</v>
      </c>
      <c r="B438">
        <f>HYPERLINK("https://www.suredividend.com/sure-analysis-DOW","Dow, Inc.")</f>
        <v>0</v>
      </c>
      <c r="C438" t="s">
        <v>629</v>
      </c>
      <c r="D438">
        <v>0.038454495513642</v>
      </c>
      <c r="E438">
        <v>-0.0511546736383468</v>
      </c>
      <c r="F438">
        <v>0.03</v>
      </c>
      <c r="G438">
        <v>0.03547710344993882</v>
      </c>
      <c r="H438" t="s">
        <v>405</v>
      </c>
      <c r="I438" t="s">
        <v>405</v>
      </c>
    </row>
    <row r="439" spans="1:9">
      <c r="A439" s="1" t="s">
        <v>446</v>
      </c>
      <c r="B439">
        <f>HYPERLINK("https://www.suredividend.com/sure-analysis-SIEGY","Siemens AG")</f>
        <v>0</v>
      </c>
      <c r="C439" t="s">
        <v>629</v>
      </c>
      <c r="D439">
        <v>0.033372717508055</v>
      </c>
      <c r="E439">
        <v>-0.04414696263408457</v>
      </c>
      <c r="F439">
        <v>0.045</v>
      </c>
      <c r="G439">
        <v>0.03497704173308613</v>
      </c>
      <c r="H439" t="s">
        <v>405</v>
      </c>
      <c r="I439" t="s">
        <v>405</v>
      </c>
    </row>
    <row r="440" spans="1:9">
      <c r="A440" s="1" t="s">
        <v>447</v>
      </c>
      <c r="B440">
        <f>HYPERLINK("https://www.suredividend.com/sure-analysis-RIO","Rio Tinto Plc")</f>
        <v>0</v>
      </c>
      <c r="C440" t="s">
        <v>629</v>
      </c>
      <c r="D440">
        <v>0.056491407180534</v>
      </c>
      <c r="E440">
        <v>-0.03180493932044526</v>
      </c>
      <c r="F440">
        <v>0.01</v>
      </c>
      <c r="G440">
        <v>0.0337192901865484</v>
      </c>
      <c r="H440" t="s">
        <v>405</v>
      </c>
      <c r="I440" t="s">
        <v>634</v>
      </c>
    </row>
    <row r="441" spans="1:9">
      <c r="A441" s="1" t="s">
        <v>448</v>
      </c>
      <c r="B441">
        <f>HYPERLINK("https://www.suredividend.com/sure-analysis-DTE","DTE Energy Co.")</f>
        <v>0</v>
      </c>
      <c r="C441" t="s">
        <v>629</v>
      </c>
      <c r="D441">
        <v>0.029108270445094</v>
      </c>
      <c r="E441">
        <v>-0.05474249229451433</v>
      </c>
      <c r="F441">
        <v>0.06</v>
      </c>
      <c r="G441">
        <v>0.0334278396836718</v>
      </c>
      <c r="H441" t="s">
        <v>405</v>
      </c>
      <c r="I441" t="s">
        <v>405</v>
      </c>
    </row>
    <row r="442" spans="1:9">
      <c r="A442" s="1" t="s">
        <v>449</v>
      </c>
      <c r="B442">
        <f>HYPERLINK("https://www.suredividend.com/sure-analysis-VLO","Valero Energy Corp.")</f>
        <v>0</v>
      </c>
      <c r="C442" t="s">
        <v>629</v>
      </c>
      <c r="D442">
        <v>0.036737692872887</v>
      </c>
      <c r="E442">
        <v>-0.09763189146030204</v>
      </c>
      <c r="F442">
        <v>0.096</v>
      </c>
      <c r="G442">
        <v>0.03111688529310719</v>
      </c>
      <c r="H442" t="s">
        <v>405</v>
      </c>
      <c r="I442" t="s">
        <v>494</v>
      </c>
    </row>
    <row r="443" spans="1:9">
      <c r="A443" s="1" t="s">
        <v>450</v>
      </c>
      <c r="B443">
        <f>HYPERLINK("https://www.suredividend.com/sure-analysis-CODI","Compass Diversified Holdings")</f>
        <v>0</v>
      </c>
      <c r="C443" t="s">
        <v>629</v>
      </c>
      <c r="D443">
        <v>0.058064516129032</v>
      </c>
      <c r="E443">
        <v>-0.07274443575124789</v>
      </c>
      <c r="F443">
        <v>0.045</v>
      </c>
      <c r="G443">
        <v>0.02737200629154879</v>
      </c>
      <c r="H443" t="s">
        <v>405</v>
      </c>
      <c r="I443" t="s">
        <v>494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629</v>
      </c>
      <c r="D444">
        <v>0.028294165789781</v>
      </c>
      <c r="E444">
        <v>-0.05341639764830286</v>
      </c>
      <c r="F444">
        <v>0.05</v>
      </c>
      <c r="G444">
        <v>0.02624953477869396</v>
      </c>
      <c r="H444" t="s">
        <v>405</v>
      </c>
      <c r="I444" t="s">
        <v>382</v>
      </c>
    </row>
    <row r="445" spans="1:9">
      <c r="A445" s="1" t="s">
        <v>452</v>
      </c>
      <c r="B445">
        <f>HYPERLINK("https://www.suredividend.com/sure-analysis-TRSWF","TransAlta Renewables, Inc.")</f>
        <v>0</v>
      </c>
      <c r="C445" t="s">
        <v>629</v>
      </c>
      <c r="D445">
        <v>0.06002393702833501</v>
      </c>
      <c r="E445">
        <v>-0.0527336709209334</v>
      </c>
      <c r="F445">
        <v>0.015</v>
      </c>
      <c r="G445">
        <v>0.02476100190150032</v>
      </c>
      <c r="H445" t="s">
        <v>405</v>
      </c>
      <c r="I445" t="s">
        <v>634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629</v>
      </c>
      <c r="D446">
        <v>0.017295597484276</v>
      </c>
      <c r="E446">
        <v>-0.06390707138229468</v>
      </c>
      <c r="F446">
        <v>0.07000000000000001</v>
      </c>
      <c r="G446">
        <v>0.02355795079972145</v>
      </c>
      <c r="H446" t="s">
        <v>405</v>
      </c>
      <c r="I446" t="s">
        <v>382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629</v>
      </c>
      <c r="D447">
        <v>0.042267695404226</v>
      </c>
      <c r="E447">
        <v>-0.05895120926801756</v>
      </c>
      <c r="F447">
        <v>0.038</v>
      </c>
      <c r="G447">
        <v>0.02192307998753762</v>
      </c>
      <c r="H447" t="s">
        <v>405</v>
      </c>
      <c r="I447" t="s">
        <v>494</v>
      </c>
    </row>
    <row r="448" spans="1:9">
      <c r="A448" s="1" t="s">
        <v>455</v>
      </c>
      <c r="B448">
        <f>HYPERLINK("https://www.suredividend.com/sure-analysis-AVB","AvalonBay Communities, Inc.")</f>
        <v>0</v>
      </c>
      <c r="C448" t="s">
        <v>630</v>
      </c>
      <c r="D448">
        <v>0.028988990913898</v>
      </c>
      <c r="E448">
        <v>-0.04182460691159462</v>
      </c>
      <c r="F448">
        <v>0.03</v>
      </c>
      <c r="G448">
        <v>0.01896740515770534</v>
      </c>
      <c r="H448" t="s">
        <v>405</v>
      </c>
      <c r="I448" t="s">
        <v>382</v>
      </c>
    </row>
    <row r="449" spans="1:9">
      <c r="A449" s="1" t="s">
        <v>456</v>
      </c>
      <c r="B449">
        <f>HYPERLINK("https://www.suredividend.com/sure-analysis-NNN","National Retail Properties, Inc.")</f>
        <v>0</v>
      </c>
      <c r="C449" t="s">
        <v>630</v>
      </c>
      <c r="D449">
        <v>0.038549837382819</v>
      </c>
      <c r="E449">
        <v>-0.0617766887352732</v>
      </c>
      <c r="F449">
        <v>0.04</v>
      </c>
      <c r="G449">
        <v>0.01819918189466163</v>
      </c>
      <c r="H449" t="s">
        <v>405</v>
      </c>
      <c r="I449" t="s">
        <v>494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630</v>
      </c>
      <c r="D450">
        <v>0.027926525529265</v>
      </c>
      <c r="E450">
        <v>-0.04736836200621553</v>
      </c>
      <c r="F450">
        <v>0.035</v>
      </c>
      <c r="G450">
        <v>0.01615040682207813</v>
      </c>
      <c r="H450" t="s">
        <v>405</v>
      </c>
      <c r="I450" t="s">
        <v>382</v>
      </c>
    </row>
    <row r="451" spans="1:9">
      <c r="A451" s="1" t="s">
        <v>458</v>
      </c>
      <c r="B451">
        <f>HYPERLINK("https://www.suredividend.com/sure-analysis-SO","The Southern Co.")</f>
        <v>0</v>
      </c>
      <c r="C451" t="s">
        <v>629</v>
      </c>
      <c r="D451">
        <v>0.038208581271531</v>
      </c>
      <c r="E451">
        <v>-0.05159587733826809</v>
      </c>
      <c r="F451">
        <v>0.025</v>
      </c>
      <c r="G451">
        <v>0.01535252020872524</v>
      </c>
      <c r="H451" t="s">
        <v>405</v>
      </c>
      <c r="I451" t="s">
        <v>405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629</v>
      </c>
      <c r="D452">
        <v>0.032450210997125</v>
      </c>
      <c r="E452">
        <v>-0.04965332858499649</v>
      </c>
      <c r="F452">
        <v>0.03</v>
      </c>
      <c r="G452">
        <v>0.01497984019824972</v>
      </c>
      <c r="H452" t="s">
        <v>405</v>
      </c>
      <c r="I452" t="s">
        <v>405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629</v>
      </c>
      <c r="D453">
        <v>0.015315315315315</v>
      </c>
      <c r="E453">
        <v>-0.1258198563822377</v>
      </c>
      <c r="F453">
        <v>0.135</v>
      </c>
      <c r="G453">
        <v>0.01112807524269388</v>
      </c>
      <c r="H453" t="s">
        <v>405</v>
      </c>
      <c r="I453" t="s">
        <v>382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629</v>
      </c>
      <c r="D454">
        <v>0.02847264592231</v>
      </c>
      <c r="E454">
        <v>-0.05528610482403551</v>
      </c>
      <c r="F454">
        <v>0.03</v>
      </c>
      <c r="G454">
        <v>0.004116392883623865</v>
      </c>
      <c r="H454" t="s">
        <v>405</v>
      </c>
      <c r="I454" t="s">
        <v>382</v>
      </c>
    </row>
    <row r="455" spans="1:9">
      <c r="A455" s="1" t="s">
        <v>462</v>
      </c>
      <c r="B455">
        <f>HYPERLINK("https://www.suredividend.com/sure-analysis-HAS","Hasbro, Inc.")</f>
        <v>0</v>
      </c>
      <c r="C455" t="s">
        <v>629</v>
      </c>
      <c r="D455">
        <v>0.025774688676513</v>
      </c>
      <c r="E455">
        <v>-0.06760270392231615</v>
      </c>
      <c r="F455">
        <v>0.04</v>
      </c>
      <c r="G455">
        <v>0.001003577758522445</v>
      </c>
      <c r="H455" t="s">
        <v>405</v>
      </c>
      <c r="I455" t="s">
        <v>405</v>
      </c>
    </row>
    <row r="456" spans="1:9">
      <c r="A456" s="1" t="s">
        <v>463</v>
      </c>
      <c r="B456">
        <f>HYPERLINK("https://www.suredividend.com/sure-analysis-WEC","WEC Energy Group, Inc.")</f>
        <v>0</v>
      </c>
      <c r="C456" t="s">
        <v>629</v>
      </c>
      <c r="D456">
        <v>0.025013462574044</v>
      </c>
      <c r="E456">
        <v>-0.08058923294935083</v>
      </c>
      <c r="F456">
        <v>0.052</v>
      </c>
      <c r="G456">
        <v>-0.001038944414582188</v>
      </c>
      <c r="H456" t="s">
        <v>405</v>
      </c>
      <c r="I456" t="s">
        <v>382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629</v>
      </c>
      <c r="D457">
        <v>0.025353132922854</v>
      </c>
      <c r="E457">
        <v>-0.07202251593857156</v>
      </c>
      <c r="F457">
        <v>0.04</v>
      </c>
      <c r="G457">
        <v>-0.00118690086500961</v>
      </c>
      <c r="H457" t="s">
        <v>405</v>
      </c>
      <c r="I457" t="s">
        <v>382</v>
      </c>
    </row>
    <row r="458" spans="1:9">
      <c r="A458" s="1" t="s">
        <v>465</v>
      </c>
      <c r="B458">
        <f>HYPERLINK("https://www.suredividend.com/sure-analysis-PPL","PPL Corp.")</f>
        <v>0</v>
      </c>
      <c r="C458" t="s">
        <v>629</v>
      </c>
      <c r="D458">
        <v>0.045981021490371</v>
      </c>
      <c r="E458">
        <v>-0.07701873275438409</v>
      </c>
      <c r="F458">
        <v>0.02</v>
      </c>
      <c r="G458">
        <v>-0.003251484678651662</v>
      </c>
      <c r="H458" t="s">
        <v>405</v>
      </c>
      <c r="I458" t="s">
        <v>634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629</v>
      </c>
      <c r="D459">
        <v>0.024863600935307</v>
      </c>
      <c r="E459">
        <v>-0.08122213030719783</v>
      </c>
      <c r="F459">
        <v>0.04</v>
      </c>
      <c r="G459">
        <v>-0.01314518090659844</v>
      </c>
      <c r="H459" t="s">
        <v>405</v>
      </c>
      <c r="I459" t="s">
        <v>405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629</v>
      </c>
      <c r="D460">
        <v>0.014367816091954</v>
      </c>
      <c r="E460">
        <v>-0.1124486902749792</v>
      </c>
      <c r="F460">
        <v>0.08</v>
      </c>
      <c r="G460">
        <v>-0.0219610357890756</v>
      </c>
      <c r="H460" t="s">
        <v>405</v>
      </c>
      <c r="I460" t="s">
        <v>382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629</v>
      </c>
      <c r="D461">
        <v>0.022294284556141</v>
      </c>
      <c r="E461">
        <v>-0.09775481267153441</v>
      </c>
      <c r="F461">
        <v>0.043</v>
      </c>
      <c r="G461">
        <v>-0.02701356221286699</v>
      </c>
      <c r="H461" t="s">
        <v>405</v>
      </c>
      <c r="I461" t="s">
        <v>382</v>
      </c>
    </row>
    <row r="462" spans="1:9">
      <c r="A462" s="1" t="s">
        <v>469</v>
      </c>
      <c r="B462">
        <f>HYPERLINK("https://www.suredividend.com/sure-analysis-WPM","Wheaton Precious Metals Corp.")</f>
        <v>0</v>
      </c>
      <c r="C462" t="s">
        <v>629</v>
      </c>
      <c r="D462">
        <v>0.01332024995318</v>
      </c>
      <c r="E462">
        <v>-0.1372065708608455</v>
      </c>
      <c r="F462">
        <v>0.07000000000000001</v>
      </c>
      <c r="G462">
        <v>-0.05926326195875231</v>
      </c>
      <c r="H462" t="s">
        <v>405</v>
      </c>
      <c r="I462" t="s">
        <v>382</v>
      </c>
    </row>
    <row r="463" spans="1:9">
      <c r="A463" s="1" t="s">
        <v>470</v>
      </c>
      <c r="B463">
        <f>HYPERLINK("https://www.suredividend.com/sure-analysis-UHT","Universal Health Realty Income Trust")</f>
        <v>0</v>
      </c>
      <c r="C463" t="s">
        <v>630</v>
      </c>
      <c r="D463">
        <v>0.023014861995753</v>
      </c>
      <c r="E463">
        <v>-0.1320525819759397</v>
      </c>
      <c r="F463">
        <v>0.03</v>
      </c>
      <c r="G463">
        <v>-0.07110404330537912</v>
      </c>
      <c r="H463" t="s">
        <v>405</v>
      </c>
      <c r="I463" t="s">
        <v>382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629</v>
      </c>
      <c r="D464">
        <v>0.017830609212481</v>
      </c>
      <c r="E464">
        <v>-0.2154818667086039</v>
      </c>
      <c r="F464">
        <v>0.02</v>
      </c>
      <c r="G464">
        <v>-0.1581814016644222</v>
      </c>
      <c r="H464" t="s">
        <v>405</v>
      </c>
      <c r="I464" t="s">
        <v>382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631</v>
      </c>
      <c r="D465">
        <v>0.164082221420843</v>
      </c>
      <c r="E465">
        <v>0.07602416417296753</v>
      </c>
      <c r="F465">
        <v>0.037</v>
      </c>
      <c r="G465">
        <v>0.2107742919865139</v>
      </c>
      <c r="H465" t="s">
        <v>382</v>
      </c>
      <c r="I465" t="s">
        <v>634</v>
      </c>
    </row>
    <row r="466" spans="1:9">
      <c r="A466" s="1" t="s">
        <v>473</v>
      </c>
      <c r="B466">
        <f>HYPERLINK("https://www.suredividend.com/sure-analysis-PRT","PermRock Royalty Trust")</f>
        <v>0</v>
      </c>
      <c r="C466" t="s">
        <v>629</v>
      </c>
      <c r="D466">
        <v>0.151814220338983</v>
      </c>
      <c r="E466">
        <v>0.04062941312869106</v>
      </c>
      <c r="F466">
        <v>0.04</v>
      </c>
      <c r="G466">
        <v>0.1859900011819002</v>
      </c>
      <c r="H466" t="s">
        <v>382</v>
      </c>
      <c r="I466" t="s">
        <v>494</v>
      </c>
    </row>
    <row r="467" spans="1:9">
      <c r="A467" s="1" t="s">
        <v>474</v>
      </c>
      <c r="B467">
        <f>HYPERLINK("https://www.suredividend.com/sure-analysis-FCAU","Fiat Chrysler Automobiles NV")</f>
        <v>0</v>
      </c>
      <c r="C467" t="s">
        <v>629</v>
      </c>
      <c r="D467">
        <v>0.04957851057198501</v>
      </c>
      <c r="E467">
        <v>0.04897322137525006</v>
      </c>
      <c r="F467">
        <v>0.08</v>
      </c>
      <c r="G467">
        <v>0.1667305103005843</v>
      </c>
      <c r="H467" t="s">
        <v>382</v>
      </c>
      <c r="I467" t="s">
        <v>494</v>
      </c>
    </row>
    <row r="468" spans="1:9">
      <c r="A468" s="1" t="s">
        <v>475</v>
      </c>
      <c r="B468">
        <f>HYPERLINK("https://www.suredividend.com/sure-analysis-SIX","Six Flags Entertainment Corp.")</f>
        <v>0</v>
      </c>
      <c r="C468" t="s">
        <v>629</v>
      </c>
      <c r="D468">
        <v>0.07085763663858201</v>
      </c>
      <c r="E468">
        <v>0.03881968163606375</v>
      </c>
      <c r="F468">
        <v>0.08</v>
      </c>
      <c r="G468">
        <v>0.1657814470548395</v>
      </c>
      <c r="H468" t="s">
        <v>382</v>
      </c>
      <c r="I468" t="s">
        <v>405</v>
      </c>
    </row>
    <row r="469" spans="1:9">
      <c r="A469" s="1" t="s">
        <v>476</v>
      </c>
      <c r="B469">
        <f>HYPERLINK("https://www.suredividend.com/sure-analysis-BPR","Brookfield Property REIT, Inc.")</f>
        <v>0</v>
      </c>
      <c r="C469" t="s">
        <v>630</v>
      </c>
      <c r="D469">
        <v>0.07096247960848201</v>
      </c>
      <c r="E469">
        <v>0.05469260873672188</v>
      </c>
      <c r="F469">
        <v>0.05</v>
      </c>
      <c r="G469">
        <v>0.1599160404197613</v>
      </c>
      <c r="H469" t="s">
        <v>382</v>
      </c>
      <c r="I469" t="s">
        <v>494</v>
      </c>
    </row>
    <row r="470" spans="1:9">
      <c r="A470" s="1" t="s">
        <v>477</v>
      </c>
      <c r="B470">
        <f>HYPERLINK("https://www.suredividend.com/sure-analysis-SLB","Schlumberger NV")</f>
        <v>0</v>
      </c>
      <c r="C470" t="s">
        <v>629</v>
      </c>
      <c r="D470">
        <v>0.050722799898554</v>
      </c>
      <c r="E470">
        <v>-0.0291985239217325</v>
      </c>
      <c r="F470">
        <v>0.155</v>
      </c>
      <c r="G470">
        <v>0.153374252336417</v>
      </c>
      <c r="H470" t="s">
        <v>382</v>
      </c>
      <c r="I470" t="s">
        <v>405</v>
      </c>
    </row>
    <row r="471" spans="1:9">
      <c r="A471" s="1" t="s">
        <v>478</v>
      </c>
      <c r="B471">
        <f>HYPERLINK("https://www.suredividend.com/sure-analysis-PTR","PetroChina Co., Ltd.")</f>
        <v>0</v>
      </c>
      <c r="C471" t="s">
        <v>629</v>
      </c>
      <c r="D471">
        <v>0.077621213355048</v>
      </c>
      <c r="E471">
        <v>0.02287100098932981</v>
      </c>
      <c r="F471">
        <v>0.097</v>
      </c>
      <c r="G471">
        <v>0.1500797985965174</v>
      </c>
      <c r="H471" t="s">
        <v>382</v>
      </c>
      <c r="I471" t="s">
        <v>494</v>
      </c>
    </row>
    <row r="472" spans="1:9">
      <c r="A472" s="1" t="s">
        <v>479</v>
      </c>
      <c r="B472">
        <f>HYPERLINK("https://www.suredividend.com/sure-analysis-MAC","Macerich Co.")</f>
        <v>0</v>
      </c>
      <c r="C472" t="s">
        <v>630</v>
      </c>
      <c r="D472">
        <v>0.11333585190782</v>
      </c>
      <c r="E472">
        <v>0.03867387293165736</v>
      </c>
      <c r="F472">
        <v>0.02</v>
      </c>
      <c r="G472">
        <v>0.141874123787854</v>
      </c>
      <c r="H472" t="s">
        <v>382</v>
      </c>
      <c r="I472" t="s">
        <v>634</v>
      </c>
    </row>
    <row r="473" spans="1:9">
      <c r="A473" s="1" t="s">
        <v>480</v>
      </c>
      <c r="B473">
        <f>HYPERLINK("https://www.suredividend.com/sure-analysis-CRT","Cross Timbers Royalty Trust")</f>
        <v>0</v>
      </c>
      <c r="C473" t="s">
        <v>629</v>
      </c>
      <c r="D473">
        <v>0.13522998678996</v>
      </c>
      <c r="E473">
        <v>-0.01553465652281982</v>
      </c>
      <c r="F473">
        <v>0.053</v>
      </c>
      <c r="G473">
        <v>0.1393170428080377</v>
      </c>
      <c r="H473" t="s">
        <v>382</v>
      </c>
      <c r="I473" t="s">
        <v>494</v>
      </c>
    </row>
    <row r="474" spans="1:9">
      <c r="A474" s="1" t="s">
        <v>481</v>
      </c>
      <c r="B474">
        <f>HYPERLINK("https://www.suredividend.com/sure-analysis-CMA","Comerica, Inc.")</f>
        <v>0</v>
      </c>
      <c r="C474" t="s">
        <v>629</v>
      </c>
      <c r="D474">
        <v>0.036345912825511</v>
      </c>
      <c r="E474">
        <v>0.03912277880759185</v>
      </c>
      <c r="F474">
        <v>0.06</v>
      </c>
      <c r="G474">
        <v>0.1304829609601315</v>
      </c>
      <c r="H474" t="s">
        <v>382</v>
      </c>
      <c r="I474" t="s">
        <v>405</v>
      </c>
    </row>
    <row r="475" spans="1:9">
      <c r="A475" s="1" t="s">
        <v>482</v>
      </c>
      <c r="B475">
        <f>HYPERLINK("https://www.suredividend.com/sure-analysis-HEP","Holly Energy Partners LP")</f>
        <v>0</v>
      </c>
      <c r="C475" t="s">
        <v>631</v>
      </c>
      <c r="D475">
        <v>0.120062836624775</v>
      </c>
      <c r="E475">
        <v>0.01498403474804477</v>
      </c>
      <c r="F475">
        <v>0.02</v>
      </c>
      <c r="G475">
        <v>0.1288182304831138</v>
      </c>
      <c r="H475" t="s">
        <v>382</v>
      </c>
      <c r="I475" t="s">
        <v>634</v>
      </c>
    </row>
    <row r="476" spans="1:9">
      <c r="A476" s="1" t="s">
        <v>483</v>
      </c>
      <c r="B476">
        <f>HYPERLINK("https://www.suredividend.com/sure-analysis-OXY","Occidental Petroleum Corp.")</f>
        <v>0</v>
      </c>
      <c r="C476" t="s">
        <v>629</v>
      </c>
      <c r="D476">
        <v>0.08023583696488</v>
      </c>
      <c r="E476">
        <v>-0.04492572227811331</v>
      </c>
      <c r="F476">
        <v>0.122</v>
      </c>
      <c r="G476">
        <v>0.1285618370047639</v>
      </c>
      <c r="H476" t="s">
        <v>382</v>
      </c>
      <c r="I476" t="s">
        <v>494</v>
      </c>
    </row>
    <row r="477" spans="1:9">
      <c r="A477" s="1" t="s">
        <v>484</v>
      </c>
      <c r="B477">
        <f>HYPERLINK("https://www.suredividend.com/sure-analysis-OXLC","Oxford Lane Capital Corp.")</f>
        <v>0</v>
      </c>
      <c r="C477" t="s">
        <v>629</v>
      </c>
      <c r="D477">
        <v>0.212727272727272</v>
      </c>
      <c r="E477">
        <v>0.01755457717558762</v>
      </c>
      <c r="F477">
        <v>-0.02</v>
      </c>
      <c r="G477">
        <v>0.1258791496289089</v>
      </c>
      <c r="H477" t="s">
        <v>382</v>
      </c>
      <c r="I477" t="s">
        <v>494</v>
      </c>
    </row>
    <row r="478" spans="1:9">
      <c r="A478" s="1" t="s">
        <v>485</v>
      </c>
      <c r="B478">
        <f>HYPERLINK("https://www.suredividend.com/sure-analysis-EPR","EPR Properties")</f>
        <v>0</v>
      </c>
      <c r="C478" t="s">
        <v>630</v>
      </c>
      <c r="D478">
        <v>0.063371266002844</v>
      </c>
      <c r="E478">
        <v>-0.003726099642102576</v>
      </c>
      <c r="F478">
        <v>0.08</v>
      </c>
      <c r="G478">
        <v>0.1252140123482759</v>
      </c>
      <c r="H478" t="s">
        <v>382</v>
      </c>
      <c r="I478" t="s">
        <v>494</v>
      </c>
    </row>
    <row r="479" spans="1:9">
      <c r="A479" s="1" t="s">
        <v>486</v>
      </c>
      <c r="B479">
        <f>HYPERLINK("https://www.suredividend.com/sure-analysis-RDS.B","Royal Dutch Shell Plc")</f>
        <v>0</v>
      </c>
      <c r="C479" t="s">
        <v>629</v>
      </c>
      <c r="D479">
        <v>0.06363174818074101</v>
      </c>
      <c r="E479">
        <v>-0.003716814444002625</v>
      </c>
      <c r="F479">
        <v>0.082</v>
      </c>
      <c r="G479">
        <v>0.1229747802183079</v>
      </c>
      <c r="H479" t="s">
        <v>382</v>
      </c>
      <c r="I479" t="s">
        <v>494</v>
      </c>
    </row>
    <row r="480" spans="1:9">
      <c r="A480" s="1" t="s">
        <v>487</v>
      </c>
      <c r="B480">
        <f>HYPERLINK("https://www.suredividend.com/sure-analysis-HSBC","HSBC Holdings Plc")</f>
        <v>0</v>
      </c>
      <c r="C480" t="s">
        <v>629</v>
      </c>
      <c r="D480">
        <v>0.065440987400359</v>
      </c>
      <c r="E480">
        <v>0.02029580841833178</v>
      </c>
      <c r="F480">
        <v>0.055</v>
      </c>
      <c r="G480">
        <v>0.1213426966070894</v>
      </c>
      <c r="H480" t="s">
        <v>382</v>
      </c>
      <c r="I480" t="s">
        <v>405</v>
      </c>
    </row>
    <row r="481" spans="1:9">
      <c r="A481" s="1" t="s">
        <v>488</v>
      </c>
      <c r="B481">
        <f>HYPERLINK("https://www.suredividend.com/sure-analysis-MFGP","Micro Focus International Plc")</f>
        <v>0</v>
      </c>
      <c r="C481" t="s">
        <v>629</v>
      </c>
      <c r="D481">
        <v>0.136523389541537</v>
      </c>
      <c r="E481">
        <v>0.001578879689914547</v>
      </c>
      <c r="F481">
        <v>0.045</v>
      </c>
      <c r="G481">
        <v>0.1211533068650672</v>
      </c>
      <c r="H481" t="s">
        <v>382</v>
      </c>
      <c r="I481" t="s">
        <v>494</v>
      </c>
    </row>
    <row r="482" spans="1:9">
      <c r="A482" s="1" t="s">
        <v>489</v>
      </c>
      <c r="B482">
        <f>HYPERLINK("https://www.suredividend.com/sure-analysis-NLSN","Nielsen Holdings Plc")</f>
        <v>0</v>
      </c>
      <c r="C482" t="s">
        <v>629</v>
      </c>
      <c r="D482">
        <v>0.06734006734006701</v>
      </c>
      <c r="E482">
        <v>0.02913263516757247</v>
      </c>
      <c r="F482">
        <v>0.035</v>
      </c>
      <c r="G482">
        <v>0.1175373914787166</v>
      </c>
      <c r="H482" t="s">
        <v>382</v>
      </c>
      <c r="I482" t="s">
        <v>494</v>
      </c>
    </row>
    <row r="483" spans="1:9">
      <c r="A483" s="1" t="s">
        <v>490</v>
      </c>
      <c r="B483">
        <f>HYPERLINK("https://www.suredividend.com/sure-analysis-XOM","Exxon Mobil Corp.")</f>
        <v>0</v>
      </c>
      <c r="C483" t="s">
        <v>629</v>
      </c>
      <c r="D483">
        <v>0.048327137546468</v>
      </c>
      <c r="E483">
        <v>-0.0803841652125229</v>
      </c>
      <c r="F483">
        <v>0.174</v>
      </c>
      <c r="G483">
        <v>0.1160948783586619</v>
      </c>
      <c r="H483" t="s">
        <v>382</v>
      </c>
      <c r="I483" t="s">
        <v>405</v>
      </c>
    </row>
    <row r="484" spans="1:9">
      <c r="A484" s="1" t="s">
        <v>491</v>
      </c>
      <c r="B484">
        <f>HYPERLINK("https://www.suredividend.com/sure-analysis-BGS","B&amp;G Foods, Inc.")</f>
        <v>0</v>
      </c>
      <c r="C484" t="s">
        <v>629</v>
      </c>
      <c r="D484">
        <v>0.106026785714285</v>
      </c>
      <c r="E484">
        <v>0.01177307782550319</v>
      </c>
      <c r="F484">
        <v>0.02</v>
      </c>
      <c r="G484">
        <v>0.1145211065685752</v>
      </c>
      <c r="H484" t="s">
        <v>382</v>
      </c>
      <c r="I484" t="s">
        <v>494</v>
      </c>
    </row>
    <row r="485" spans="1:9">
      <c r="A485" s="1" t="s">
        <v>492</v>
      </c>
      <c r="B485">
        <f>HYPERLINK("https://www.suredividend.com/sure-analysis-IPPLF","Inter Pipeline Ltd.")</f>
        <v>0</v>
      </c>
      <c r="C485" t="s">
        <v>629</v>
      </c>
      <c r="D485">
        <v>0.07524170075804701</v>
      </c>
      <c r="E485">
        <v>-0.0011723361668875</v>
      </c>
      <c r="F485">
        <v>0.051</v>
      </c>
      <c r="G485">
        <v>0.1132945084751571</v>
      </c>
      <c r="H485" t="s">
        <v>382</v>
      </c>
      <c r="I485" t="s">
        <v>634</v>
      </c>
    </row>
    <row r="486" spans="1:9">
      <c r="A486" s="1" t="s">
        <v>493</v>
      </c>
      <c r="B486">
        <f>HYPERLINK("https://www.suredividend.com/sure-analysis-TEF","Telefónica SA")</f>
        <v>0</v>
      </c>
      <c r="C486" t="s">
        <v>629</v>
      </c>
      <c r="D486">
        <v>0.09304407713498601</v>
      </c>
      <c r="E486">
        <v>0.04390548076893097</v>
      </c>
      <c r="F486">
        <v>0.02</v>
      </c>
      <c r="G486">
        <v>0.1122028168047844</v>
      </c>
      <c r="H486" t="s">
        <v>382</v>
      </c>
      <c r="I486" t="s">
        <v>634</v>
      </c>
    </row>
    <row r="487" spans="1:9">
      <c r="A487" s="1" t="s">
        <v>494</v>
      </c>
      <c r="B487">
        <f>HYPERLINK("https://www.suredividend.com/sure-analysis-C","Citigroup, Inc.")</f>
        <v>0</v>
      </c>
      <c r="C487" t="s">
        <v>629</v>
      </c>
      <c r="D487">
        <v>0.023691249522353</v>
      </c>
      <c r="E487">
        <v>0.006264168242450463</v>
      </c>
      <c r="F487">
        <v>0.08</v>
      </c>
      <c r="G487">
        <v>0.1097654273876183</v>
      </c>
      <c r="H487" t="s">
        <v>382</v>
      </c>
      <c r="I487" t="s">
        <v>382</v>
      </c>
    </row>
    <row r="488" spans="1:9">
      <c r="A488" s="1" t="s">
        <v>495</v>
      </c>
      <c r="B488">
        <f>HYPERLINK("https://www.suredividend.com/sure-analysis-AB","AllianceBernstein Holding LP")</f>
        <v>0</v>
      </c>
      <c r="C488" t="s">
        <v>629</v>
      </c>
      <c r="D488">
        <v>0.079386257505003</v>
      </c>
      <c r="E488">
        <v>-0.01357225155415553</v>
      </c>
      <c r="F488">
        <v>0.054</v>
      </c>
      <c r="G488">
        <v>0.1069846502564529</v>
      </c>
      <c r="H488" t="s">
        <v>382</v>
      </c>
      <c r="I488" t="s">
        <v>494</v>
      </c>
    </row>
    <row r="489" spans="1:9">
      <c r="A489" s="1" t="s">
        <v>496</v>
      </c>
      <c r="B489">
        <f>HYPERLINK("https://www.suredividend.com/sure-analysis-BKR","Baker Hughes Co.")</f>
        <v>0</v>
      </c>
      <c r="C489" t="s">
        <v>629</v>
      </c>
      <c r="D489">
        <v>0.028696691909127</v>
      </c>
      <c r="E489">
        <v>-0.07489793152918534</v>
      </c>
      <c r="F489">
        <v>0.171</v>
      </c>
      <c r="G489">
        <v>0.1058749059804374</v>
      </c>
      <c r="H489" t="s">
        <v>382</v>
      </c>
      <c r="I489" t="s">
        <v>382</v>
      </c>
    </row>
    <row r="490" spans="1:9">
      <c r="A490" s="1" t="s">
        <v>497</v>
      </c>
      <c r="B490">
        <f>HYPERLINK("https://www.suredividend.com/sure-analysis-APAM","Artisan Partners Asset Management, Inc.")</f>
        <v>0</v>
      </c>
      <c r="C490" t="s">
        <v>629</v>
      </c>
      <c r="D490">
        <v>0.07221006564551401</v>
      </c>
      <c r="E490">
        <v>6.251172143634243e-05</v>
      </c>
      <c r="F490">
        <v>0.05</v>
      </c>
      <c r="G490">
        <v>0.1055830556292909</v>
      </c>
      <c r="H490" t="s">
        <v>382</v>
      </c>
      <c r="I490" t="s">
        <v>494</v>
      </c>
    </row>
    <row r="491" spans="1:9">
      <c r="A491" s="1" t="s">
        <v>498</v>
      </c>
      <c r="B491">
        <f>HYPERLINK("https://www.suredividend.com/sure-analysis-AEG","AEGON NV")</f>
        <v>0</v>
      </c>
      <c r="C491" t="s">
        <v>629</v>
      </c>
      <c r="D491">
        <v>0.062705077262693</v>
      </c>
      <c r="E491">
        <v>0.01206725779086915</v>
      </c>
      <c r="F491">
        <v>0.03</v>
      </c>
      <c r="G491">
        <v>0.1053108992488452</v>
      </c>
      <c r="H491" t="s">
        <v>382</v>
      </c>
      <c r="I491" t="s">
        <v>494</v>
      </c>
    </row>
    <row r="492" spans="1:9">
      <c r="A492" s="1" t="s">
        <v>499</v>
      </c>
      <c r="B492">
        <f>HYPERLINK("https://www.suredividend.com/sure-analysis-AGNC","AGNC Investment Corp.")</f>
        <v>0</v>
      </c>
      <c r="C492" t="s">
        <v>630</v>
      </c>
      <c r="D492">
        <v>0.116318464144551</v>
      </c>
      <c r="E492">
        <v>0.0032537431883084</v>
      </c>
      <c r="F492">
        <v>0.004</v>
      </c>
      <c r="G492">
        <v>0.1048985517044778</v>
      </c>
      <c r="H492" t="s">
        <v>382</v>
      </c>
      <c r="I492" t="s">
        <v>494</v>
      </c>
    </row>
    <row r="493" spans="1:9">
      <c r="A493" s="1" t="s">
        <v>500</v>
      </c>
      <c r="B493">
        <f>HYPERLINK("https://www.suredividend.com/sure-analysis-DX","Dynex Capital, Inc.")</f>
        <v>0</v>
      </c>
      <c r="C493" t="s">
        <v>630</v>
      </c>
      <c r="D493">
        <v>0.12396694214876</v>
      </c>
      <c r="E493">
        <v>0.0007073810425053395</v>
      </c>
      <c r="F493">
        <v>0</v>
      </c>
      <c r="G493">
        <v>0.1041454267348358</v>
      </c>
      <c r="H493" t="s">
        <v>382</v>
      </c>
      <c r="I493" t="s">
        <v>494</v>
      </c>
    </row>
    <row r="494" spans="1:9">
      <c r="A494" s="1" t="s">
        <v>501</v>
      </c>
      <c r="B494">
        <f>HYPERLINK("https://www.suredividend.com/sure-analysis-CTL","CenturyLink, Inc.")</f>
        <v>0</v>
      </c>
      <c r="C494" t="s">
        <v>629</v>
      </c>
      <c r="D494">
        <v>0.09757942511346401</v>
      </c>
      <c r="E494">
        <v>-0.003350669329023725</v>
      </c>
      <c r="F494">
        <v>0.05</v>
      </c>
      <c r="G494">
        <v>0.1030899219264458</v>
      </c>
      <c r="H494" t="s">
        <v>382</v>
      </c>
      <c r="I494" t="s">
        <v>494</v>
      </c>
    </row>
    <row r="495" spans="1:9">
      <c r="A495" s="1" t="s">
        <v>502</v>
      </c>
      <c r="B495">
        <f>HYPERLINK("https://www.suredividend.com/sure-analysis-COR","CoreSite Realty Corp.")</f>
        <v>0</v>
      </c>
      <c r="C495" t="s">
        <v>630</v>
      </c>
      <c r="D495">
        <v>0.040974920522783</v>
      </c>
      <c r="E495">
        <v>-0.03048535273050446</v>
      </c>
      <c r="F495">
        <v>0.098</v>
      </c>
      <c r="G495">
        <v>0.1014638915236141</v>
      </c>
      <c r="H495" t="s">
        <v>382</v>
      </c>
      <c r="I495" t="s">
        <v>405</v>
      </c>
    </row>
    <row r="496" spans="1:9">
      <c r="A496" s="1" t="s">
        <v>503</v>
      </c>
      <c r="B496">
        <f>HYPERLINK("https://www.suredividend.com/sure-analysis-CPTA","Capitala Finance Corp.")</f>
        <v>0</v>
      </c>
      <c r="C496" t="s">
        <v>629</v>
      </c>
      <c r="D496">
        <v>0.115028768699654</v>
      </c>
      <c r="E496">
        <v>0.007034957479237214</v>
      </c>
      <c r="F496">
        <v>0</v>
      </c>
      <c r="G496">
        <v>0.1000733705364099</v>
      </c>
      <c r="H496" t="s">
        <v>382</v>
      </c>
      <c r="I496" t="s">
        <v>494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630</v>
      </c>
      <c r="D497">
        <v>0.125850340136054</v>
      </c>
      <c r="E497">
        <v>0.02543062323625467</v>
      </c>
      <c r="F497">
        <v>-0.02</v>
      </c>
      <c r="G497">
        <v>0.09898382244232784</v>
      </c>
      <c r="H497" t="s">
        <v>382</v>
      </c>
      <c r="I497" t="s">
        <v>634</v>
      </c>
    </row>
    <row r="498" spans="1:9">
      <c r="A498" s="1" t="s">
        <v>505</v>
      </c>
      <c r="B498">
        <f>HYPERLINK("https://www.suredividend.com/sure-analysis-BP","BP Plc")</f>
        <v>0</v>
      </c>
      <c r="C498" t="s">
        <v>629</v>
      </c>
      <c r="D498">
        <v>0.06446499339498001</v>
      </c>
      <c r="E498">
        <v>-0.004532311384711996</v>
      </c>
      <c r="F498">
        <v>0.05</v>
      </c>
      <c r="G498">
        <v>0.09737337232424004</v>
      </c>
      <c r="H498" t="s">
        <v>382</v>
      </c>
      <c r="I498" t="s">
        <v>494</v>
      </c>
    </row>
    <row r="499" spans="1:9">
      <c r="A499" s="1" t="s">
        <v>506</v>
      </c>
      <c r="B499">
        <f>HYPERLINK("https://www.suredividend.com/sure-analysis-DIN","Dine Brands Global, Inc.")</f>
        <v>0</v>
      </c>
      <c r="C499" t="s">
        <v>629</v>
      </c>
      <c r="D499">
        <v>0.033173608551419</v>
      </c>
      <c r="E499">
        <v>0.03357033732485459</v>
      </c>
      <c r="F499">
        <v>0.035</v>
      </c>
      <c r="G499">
        <v>0.09667771549351212</v>
      </c>
      <c r="H499" t="s">
        <v>382</v>
      </c>
      <c r="I499" t="s">
        <v>382</v>
      </c>
    </row>
    <row r="500" spans="1:9">
      <c r="A500" s="1" t="s">
        <v>507</v>
      </c>
      <c r="B500">
        <f>HYPERLINK("https://www.suredividend.com/sure-analysis-SBRA","Sabra Health Care REIT, Inc.")</f>
        <v>0</v>
      </c>
      <c r="C500" t="s">
        <v>630</v>
      </c>
      <c r="D500">
        <v>0.084230229293401</v>
      </c>
      <c r="E500">
        <v>-0.03374090098041282</v>
      </c>
      <c r="F500">
        <v>0.043</v>
      </c>
      <c r="G500">
        <v>0.09530359729261129</v>
      </c>
      <c r="H500" t="s">
        <v>382</v>
      </c>
      <c r="I500" t="s">
        <v>494</v>
      </c>
    </row>
    <row r="501" spans="1:9">
      <c r="A501" s="1" t="s">
        <v>508</v>
      </c>
      <c r="B501">
        <f>HYPERLINK("https://www.suredividend.com/sure-analysis-APA","Apache Corp.")</f>
        <v>0</v>
      </c>
      <c r="C501" t="s">
        <v>629</v>
      </c>
      <c r="D501">
        <v>0.04420866489832</v>
      </c>
      <c r="E501">
        <v>-0.3323855457758007</v>
      </c>
      <c r="F501">
        <v>0.585</v>
      </c>
      <c r="G501">
        <v>0.09491543785898693</v>
      </c>
      <c r="H501" t="s">
        <v>382</v>
      </c>
      <c r="I501" t="s">
        <v>382</v>
      </c>
    </row>
    <row r="502" spans="1:9">
      <c r="A502" s="1" t="s">
        <v>509</v>
      </c>
      <c r="B502">
        <f>HYPERLINK("https://www.suredividend.com/sure-analysis-USAC","USA Compression Partners LP")</f>
        <v>0</v>
      </c>
      <c r="C502" t="s">
        <v>631</v>
      </c>
      <c r="D502">
        <v>0.124629080118694</v>
      </c>
      <c r="E502">
        <v>-0.01029898539093432</v>
      </c>
      <c r="F502">
        <v>0</v>
      </c>
      <c r="G502">
        <v>0.09478589584198072</v>
      </c>
      <c r="H502" t="s">
        <v>382</v>
      </c>
      <c r="I502" t="s">
        <v>634</v>
      </c>
    </row>
    <row r="503" spans="1:9">
      <c r="A503" s="1" t="s">
        <v>510</v>
      </c>
      <c r="B503">
        <f>HYPERLINK("https://www.suredividend.com/sure-analysis-CHRRF","Chorus Aviation, Inc.")</f>
        <v>0</v>
      </c>
      <c r="C503" t="s">
        <v>629</v>
      </c>
      <c r="D503">
        <v>0.057963387716528</v>
      </c>
      <c r="E503">
        <v>-0.008475799035301268</v>
      </c>
      <c r="F503">
        <v>0.05</v>
      </c>
      <c r="G503">
        <v>0.09274166480267643</v>
      </c>
      <c r="H503" t="s">
        <v>382</v>
      </c>
      <c r="I503" t="s">
        <v>494</v>
      </c>
    </row>
    <row r="504" spans="1:9">
      <c r="A504" s="1" t="s">
        <v>511</v>
      </c>
      <c r="B504">
        <f>HYPERLINK("https://www.suredividend.com/sure-analysis-LMRK","Landmark Infrastructure Partners LP")</f>
        <v>0</v>
      </c>
      <c r="C504" t="s">
        <v>629</v>
      </c>
      <c r="D504">
        <v>0.08606557377049101</v>
      </c>
      <c r="E504">
        <v>-0.02563723639874782</v>
      </c>
      <c r="F504">
        <v>0.05</v>
      </c>
      <c r="G504">
        <v>0.09177379395958774</v>
      </c>
      <c r="H504" t="s">
        <v>382</v>
      </c>
      <c r="I504" t="s">
        <v>494</v>
      </c>
    </row>
    <row r="505" spans="1:9">
      <c r="A505" s="1" t="s">
        <v>512</v>
      </c>
      <c r="B505">
        <f>HYPERLINK("https://www.suredividend.com/sure-analysis-VER","VEREIT, Inc.")</f>
        <v>0</v>
      </c>
      <c r="C505" t="s">
        <v>629</v>
      </c>
      <c r="D505">
        <v>0.059588299024918</v>
      </c>
      <c r="E505">
        <v>0.009148514106374295</v>
      </c>
      <c r="F505">
        <v>0.03</v>
      </c>
      <c r="G505">
        <v>0.09017854184250429</v>
      </c>
      <c r="H505" t="s">
        <v>382</v>
      </c>
      <c r="I505" t="s">
        <v>494</v>
      </c>
    </row>
    <row r="506" spans="1:9">
      <c r="A506" s="1" t="s">
        <v>513</v>
      </c>
      <c r="B506">
        <f>HYPERLINK("https://www.suredividend.com/sure-analysis-HP","Helmerich &amp; Payne, Inc.")</f>
        <v>0</v>
      </c>
      <c r="C506" t="s">
        <v>629</v>
      </c>
      <c r="D506">
        <v>0.064253393665158</v>
      </c>
      <c r="E506">
        <v>0.01663204204348334</v>
      </c>
      <c r="F506">
        <v>0.014</v>
      </c>
      <c r="G506">
        <v>0.08430802876182919</v>
      </c>
      <c r="H506" t="s">
        <v>382</v>
      </c>
      <c r="I506" t="s">
        <v>405</v>
      </c>
    </row>
    <row r="507" spans="1:9">
      <c r="A507" s="1" t="s">
        <v>514</v>
      </c>
      <c r="B507">
        <f>HYPERLINK("https://www.suredividend.com/sure-analysis-MIC","Macquarie Infrastructure Corp.")</f>
        <v>0</v>
      </c>
      <c r="C507" t="s">
        <v>629</v>
      </c>
      <c r="D507">
        <v>0.09205983889528101</v>
      </c>
      <c r="E507">
        <v>-0.01641014172868616</v>
      </c>
      <c r="F507">
        <v>0.02</v>
      </c>
      <c r="G507">
        <v>0.08357899748073483</v>
      </c>
      <c r="H507" t="s">
        <v>382</v>
      </c>
      <c r="I507" t="s">
        <v>634</v>
      </c>
    </row>
    <row r="508" spans="1:9">
      <c r="A508" s="1" t="s">
        <v>515</v>
      </c>
      <c r="B508">
        <f>HYPERLINK("https://www.suredividend.com/sure-analysis-LADR","Ladder Capital Corp.")</f>
        <v>0</v>
      </c>
      <c r="C508" t="s">
        <v>630</v>
      </c>
      <c r="D508">
        <v>0.07572383073496601</v>
      </c>
      <c r="E508">
        <v>-0.03537839368947282</v>
      </c>
      <c r="F508">
        <v>0.045</v>
      </c>
      <c r="G508">
        <v>0.08349745176502088</v>
      </c>
      <c r="H508" t="s">
        <v>382</v>
      </c>
      <c r="I508" t="s">
        <v>494</v>
      </c>
    </row>
    <row r="509" spans="1:9">
      <c r="A509" s="1" t="s">
        <v>516</v>
      </c>
      <c r="B509">
        <f>HYPERLINK("https://www.suredividend.com/sure-analysis-SNH","Senior Housing Properties Trust")</f>
        <v>0</v>
      </c>
      <c r="C509" t="s">
        <v>630</v>
      </c>
      <c r="D509">
        <v>0.134161490683229</v>
      </c>
      <c r="E509">
        <v>0.02256123756555906</v>
      </c>
      <c r="F509">
        <v>-0.01</v>
      </c>
      <c r="G509">
        <v>0.08324166403635958</v>
      </c>
      <c r="H509" t="s">
        <v>382</v>
      </c>
      <c r="I509" t="s">
        <v>634</v>
      </c>
    </row>
    <row r="510" spans="1:9">
      <c r="A510" s="1" t="s">
        <v>517</v>
      </c>
      <c r="B510">
        <f>HYPERLINK("https://www.suredividend.com/sure-analysis-DD","DuPont de Nemours, Inc.")</f>
        <v>0</v>
      </c>
      <c r="C510" t="s">
        <v>629</v>
      </c>
      <c r="D510">
        <v>0.04720692368214</v>
      </c>
      <c r="E510">
        <v>-0.008157174902301723</v>
      </c>
      <c r="F510">
        <v>0.05</v>
      </c>
      <c r="G510">
        <v>0.08283874402301561</v>
      </c>
      <c r="H510" t="s">
        <v>382</v>
      </c>
      <c r="I510" t="s">
        <v>405</v>
      </c>
    </row>
    <row r="511" spans="1:9">
      <c r="A511" s="1" t="s">
        <v>518</v>
      </c>
      <c r="B511">
        <f>HYPERLINK("https://www.suredividend.com/sure-analysis-SSREY","Swiss Re AG")</f>
        <v>0</v>
      </c>
      <c r="C511" t="s">
        <v>629</v>
      </c>
      <c r="D511">
        <v>0.04915053763440801</v>
      </c>
      <c r="E511">
        <v>-0.03789000465723225</v>
      </c>
      <c r="F511">
        <v>0.08</v>
      </c>
      <c r="G511">
        <v>0.08204512406211473</v>
      </c>
      <c r="H511" t="s">
        <v>382</v>
      </c>
      <c r="I511" t="s">
        <v>405</v>
      </c>
    </row>
    <row r="512" spans="1:9">
      <c r="A512" s="1" t="s">
        <v>519</v>
      </c>
      <c r="B512">
        <f>HYPERLINK("https://www.suredividend.com/sure-analysis-MAIN","Main Street Capital Corp.")</f>
        <v>0</v>
      </c>
      <c r="C512" t="s">
        <v>629</v>
      </c>
      <c r="D512">
        <v>0.055645161290322</v>
      </c>
      <c r="E512">
        <v>-0.01618361248810518</v>
      </c>
      <c r="F512">
        <v>0.04</v>
      </c>
      <c r="G512">
        <v>0.08189203967330205</v>
      </c>
      <c r="H512" t="s">
        <v>382</v>
      </c>
      <c r="I512" t="s">
        <v>405</v>
      </c>
    </row>
    <row r="513" spans="1:9">
      <c r="A513" s="1" t="s">
        <v>520</v>
      </c>
      <c r="B513">
        <f>HYPERLINK("https://www.suredividend.com/sure-analysis-CCI","Crown Castle International Corp.")</f>
        <v>0</v>
      </c>
      <c r="C513" t="s">
        <v>630</v>
      </c>
      <c r="D513">
        <v>0.03169014084507001</v>
      </c>
      <c r="E513">
        <v>-0.03150049031832014</v>
      </c>
      <c r="F513">
        <v>0.08500000000000001</v>
      </c>
      <c r="G513">
        <v>0.08155294205326435</v>
      </c>
      <c r="H513" t="s">
        <v>382</v>
      </c>
      <c r="I513" t="s">
        <v>382</v>
      </c>
    </row>
    <row r="514" spans="1:9">
      <c r="A514" s="1" t="s">
        <v>521</v>
      </c>
      <c r="B514">
        <f>HYPERLINK("https://www.suredividend.com/sure-analysis-DUNDF","Dream Global Real Estate Investment Trust")</f>
        <v>0</v>
      </c>
      <c r="C514" t="s">
        <v>630</v>
      </c>
      <c r="D514">
        <v>0.04731861198738101</v>
      </c>
      <c r="E514">
        <v>0.00515571783268931</v>
      </c>
      <c r="F514">
        <v>0.032</v>
      </c>
      <c r="G514">
        <v>0.08027691512030222</v>
      </c>
      <c r="H514" t="s">
        <v>382</v>
      </c>
      <c r="I514" t="s">
        <v>405</v>
      </c>
    </row>
    <row r="515" spans="1:9">
      <c r="A515" s="1" t="s">
        <v>522</v>
      </c>
      <c r="B515">
        <f>HYPERLINK("https://www.suredividend.com/sure-analysis-PM","Philip Morris International, Inc.")</f>
        <v>0</v>
      </c>
      <c r="C515" t="s">
        <v>629</v>
      </c>
      <c r="D515">
        <v>0.05382901372112101</v>
      </c>
      <c r="E515">
        <v>-0.007790187076362143</v>
      </c>
      <c r="F515">
        <v>0.04</v>
      </c>
      <c r="G515">
        <v>0.08014238955555708</v>
      </c>
      <c r="H515" t="s">
        <v>382</v>
      </c>
      <c r="I515" t="s">
        <v>494</v>
      </c>
    </row>
    <row r="516" spans="1:9">
      <c r="A516" s="1" t="s">
        <v>523</v>
      </c>
      <c r="B516">
        <f>HYPERLINK("https://www.suredividend.com/sure-analysis-BMWYY","Bayerische Motoren Werke AG")</f>
        <v>0</v>
      </c>
      <c r="C516" t="s">
        <v>629</v>
      </c>
      <c r="D516">
        <v>0.04760980966325001</v>
      </c>
      <c r="E516">
        <v>-0.03807687687237893</v>
      </c>
      <c r="F516">
        <v>0.08</v>
      </c>
      <c r="G516">
        <v>0.08003440680338736</v>
      </c>
      <c r="H516" t="s">
        <v>382</v>
      </c>
      <c r="I516" t="s">
        <v>405</v>
      </c>
    </row>
    <row r="517" spans="1:9">
      <c r="A517" s="1" t="s">
        <v>524</v>
      </c>
      <c r="B517">
        <f>HYPERLINK("https://www.suredividend.com/sure-analysis-NRZ","New Residential Investment Corp.")</f>
        <v>0</v>
      </c>
      <c r="C517" t="s">
        <v>630</v>
      </c>
      <c r="D517">
        <v>0.121285627653123</v>
      </c>
      <c r="E517">
        <v>-0.04644765320603828</v>
      </c>
      <c r="F517">
        <v>0.018</v>
      </c>
      <c r="G517">
        <v>0.0798543367374922</v>
      </c>
      <c r="H517" t="s">
        <v>382</v>
      </c>
      <c r="I517" t="s">
        <v>634</v>
      </c>
    </row>
    <row r="518" spans="1:9">
      <c r="A518" s="1" t="s">
        <v>525</v>
      </c>
      <c r="B518">
        <f>HYPERLINK("https://www.suredividend.com/sure-analysis-IRM","Iron Mountain, Inc.")</f>
        <v>0</v>
      </c>
      <c r="C518" t="s">
        <v>630</v>
      </c>
      <c r="D518">
        <v>0.07647058823529401</v>
      </c>
      <c r="E518">
        <v>-0.02610922486331857</v>
      </c>
      <c r="F518">
        <v>0.035</v>
      </c>
      <c r="G518">
        <v>0.07928024145438739</v>
      </c>
      <c r="H518" t="s">
        <v>382</v>
      </c>
      <c r="I518" t="s">
        <v>494</v>
      </c>
    </row>
    <row r="519" spans="1:9">
      <c r="A519" s="1" t="s">
        <v>526</v>
      </c>
      <c r="B519">
        <f>HYPERLINK("https://www.suredividend.com/sure-analysis-ARCC","Ares Capital Corp.")</f>
        <v>0</v>
      </c>
      <c r="C519" t="s">
        <v>632</v>
      </c>
      <c r="D519">
        <v>0.08520900321543401</v>
      </c>
      <c r="E519">
        <v>-0.007176214622575339</v>
      </c>
      <c r="F519">
        <v>0.01</v>
      </c>
      <c r="G519">
        <v>0.0784046525778026</v>
      </c>
      <c r="H519" t="s">
        <v>382</v>
      </c>
      <c r="I519" t="s">
        <v>634</v>
      </c>
    </row>
    <row r="520" spans="1:9">
      <c r="A520" s="1" t="s">
        <v>527</v>
      </c>
      <c r="B520">
        <f>HYPERLINK("https://www.suredividend.com/sure-analysis-CIM","Chimera Investment Corp.")</f>
        <v>0</v>
      </c>
      <c r="C520" t="s">
        <v>629</v>
      </c>
      <c r="D520">
        <v>0.09478672985781901</v>
      </c>
      <c r="E520">
        <v>-0.04229160747589078</v>
      </c>
      <c r="F520">
        <v>0.028</v>
      </c>
      <c r="G520">
        <v>0.07823859564113467</v>
      </c>
      <c r="H520" t="s">
        <v>382</v>
      </c>
      <c r="I520" t="s">
        <v>494</v>
      </c>
    </row>
    <row r="521" spans="1:9">
      <c r="A521" s="1" t="s">
        <v>528</v>
      </c>
      <c r="B521">
        <f>HYPERLINK("https://www.suredividend.com/sure-analysis-GLPI","Gaming &amp; Leisure Properties, Inc.")</f>
        <v>0</v>
      </c>
      <c r="C521" t="s">
        <v>630</v>
      </c>
      <c r="D521">
        <v>0.06321171275854001</v>
      </c>
      <c r="E521">
        <v>0.0134382625189895</v>
      </c>
      <c r="F521">
        <v>0.012</v>
      </c>
      <c r="G521">
        <v>0.07791205840744841</v>
      </c>
      <c r="H521" t="s">
        <v>382</v>
      </c>
      <c r="I521" t="s">
        <v>494</v>
      </c>
    </row>
    <row r="522" spans="1:9">
      <c r="A522" s="1" t="s">
        <v>529</v>
      </c>
      <c r="B522">
        <f>HYPERLINK("https://www.suredividend.com/sure-analysis-ARI","Apollo Commercial Real Estate Finance, Inc.")</f>
        <v>0</v>
      </c>
      <c r="C522" t="s">
        <v>630</v>
      </c>
      <c r="D522">
        <v>0.09802876931273301</v>
      </c>
      <c r="E522">
        <v>-0.01961438626469547</v>
      </c>
      <c r="F522">
        <v>0.01</v>
      </c>
      <c r="G522">
        <v>0.07595898937630507</v>
      </c>
      <c r="H522" t="s">
        <v>382</v>
      </c>
      <c r="I522" t="s">
        <v>494</v>
      </c>
    </row>
    <row r="523" spans="1:9">
      <c r="A523" s="1" t="s">
        <v>530</v>
      </c>
      <c r="B523">
        <f>HYPERLINK("https://www.suredividend.com/sure-analysis-LTC","LTC Properties, Inc.")</f>
        <v>0</v>
      </c>
      <c r="C523" t="s">
        <v>630</v>
      </c>
      <c r="D523">
        <v>0.051178451178451</v>
      </c>
      <c r="E523">
        <v>0.002012088709965276</v>
      </c>
      <c r="F523">
        <v>0.03</v>
      </c>
      <c r="G523">
        <v>0.07587910977106538</v>
      </c>
      <c r="H523" t="s">
        <v>382</v>
      </c>
      <c r="I523" t="s">
        <v>494</v>
      </c>
    </row>
    <row r="524" spans="1:9">
      <c r="A524" s="1" t="s">
        <v>531</v>
      </c>
      <c r="B524">
        <f>HYPERLINK("https://www.suredividend.com/sure-analysis-VET","Vermilion Energy, Inc.")</f>
        <v>0</v>
      </c>
      <c r="C524" t="s">
        <v>629</v>
      </c>
      <c r="D524">
        <v>0.132805003273885</v>
      </c>
      <c r="E524">
        <v>-0.1257016760151201</v>
      </c>
      <c r="F524">
        <v>0.08400000000000001</v>
      </c>
      <c r="G524">
        <v>0.0758780561455521</v>
      </c>
      <c r="H524" t="s">
        <v>382</v>
      </c>
      <c r="I524" t="s">
        <v>494</v>
      </c>
    </row>
    <row r="525" spans="1:9">
      <c r="A525" s="1" t="s">
        <v>532</v>
      </c>
      <c r="B525">
        <f>HYPERLINK("https://www.suredividend.com/sure-analysis-OHI","Omega Healthcare Investors, Inc.")</f>
        <v>0</v>
      </c>
      <c r="C525" t="s">
        <v>630</v>
      </c>
      <c r="D525">
        <v>0.06207383023747901</v>
      </c>
      <c r="E525">
        <v>-0.02747389369887343</v>
      </c>
      <c r="F525">
        <v>0.045</v>
      </c>
      <c r="G525">
        <v>0.07560693724244349</v>
      </c>
      <c r="H525" t="s">
        <v>382</v>
      </c>
      <c r="I525" t="s">
        <v>494</v>
      </c>
    </row>
    <row r="526" spans="1:9">
      <c r="A526" s="1" t="s">
        <v>533</v>
      </c>
      <c r="B526">
        <f>HYPERLINK("https://www.suredividend.com/sure-analysis-MCY","Mercury General Corp.")</f>
        <v>0</v>
      </c>
      <c r="C526" t="s">
        <v>629</v>
      </c>
      <c r="D526">
        <v>0.051624845742492</v>
      </c>
      <c r="E526">
        <v>0.01740105354500443</v>
      </c>
      <c r="F526">
        <v>0.015</v>
      </c>
      <c r="G526">
        <v>0.07498570704752416</v>
      </c>
      <c r="H526" t="s">
        <v>382</v>
      </c>
      <c r="I526" t="s">
        <v>405</v>
      </c>
    </row>
    <row r="527" spans="1:9">
      <c r="A527" s="1" t="s">
        <v>534</v>
      </c>
      <c r="B527">
        <f>HYPERLINK("https://www.suredividend.com/sure-analysis-CLDT","Chatham Lodging Trust")</f>
        <v>0</v>
      </c>
      <c r="C527" t="s">
        <v>630</v>
      </c>
      <c r="D527">
        <v>0.071544715447154</v>
      </c>
      <c r="E527">
        <v>-0.00492634806525849</v>
      </c>
      <c r="F527">
        <v>0.02</v>
      </c>
      <c r="G527">
        <v>0.07488709523324633</v>
      </c>
      <c r="H527" t="s">
        <v>382</v>
      </c>
      <c r="I527" t="s">
        <v>634</v>
      </c>
    </row>
    <row r="528" spans="1:9">
      <c r="A528" s="1" t="s">
        <v>535</v>
      </c>
      <c r="B528">
        <f>HYPERLINK("https://www.suredividend.com/sure-analysis-GNL","Global Net Lease, Inc.")</f>
        <v>0</v>
      </c>
      <c r="C528" t="s">
        <v>630</v>
      </c>
      <c r="D528">
        <v>0.08795837462834401</v>
      </c>
      <c r="E528">
        <v>-0.01936817043378025</v>
      </c>
      <c r="F528">
        <v>0</v>
      </c>
      <c r="G528">
        <v>0.07484411076110842</v>
      </c>
      <c r="H528" t="s">
        <v>382</v>
      </c>
      <c r="I528" t="s">
        <v>494</v>
      </c>
    </row>
    <row r="529" spans="1:9">
      <c r="A529" s="1" t="s">
        <v>536</v>
      </c>
      <c r="B529">
        <f>HYPERLINK("https://www.suredividend.com/sure-analysis-TRGP","Targa Resources Corp.")</f>
        <v>0</v>
      </c>
      <c r="C529" t="s">
        <v>629</v>
      </c>
      <c r="D529">
        <v>0.09164149043303101</v>
      </c>
      <c r="E529">
        <v>-0.03639079497496656</v>
      </c>
      <c r="F529">
        <v>0.03</v>
      </c>
      <c r="G529">
        <v>0.07466080707936951</v>
      </c>
      <c r="H529" t="s">
        <v>382</v>
      </c>
      <c r="I529" t="s">
        <v>494</v>
      </c>
    </row>
    <row r="530" spans="1:9">
      <c r="A530" s="1" t="s">
        <v>537</v>
      </c>
      <c r="B530">
        <f>HYPERLINK("https://www.suredividend.com/sure-analysis-VTR","Ventas, Inc.")</f>
        <v>0</v>
      </c>
      <c r="C530" t="s">
        <v>630</v>
      </c>
      <c r="D530">
        <v>0.055178416013925</v>
      </c>
      <c r="E530">
        <v>-0.01230979840756019</v>
      </c>
      <c r="F530">
        <v>0.04</v>
      </c>
      <c r="G530">
        <v>0.07436294992492143</v>
      </c>
      <c r="H530" t="s">
        <v>382</v>
      </c>
      <c r="I530" t="s">
        <v>494</v>
      </c>
    </row>
    <row r="531" spans="1:9">
      <c r="A531" s="1" t="s">
        <v>538</v>
      </c>
      <c r="B531">
        <f>HYPERLINK("https://www.suredividend.com/sure-analysis-SJR","Shaw Communications, Inc.")</f>
        <v>0</v>
      </c>
      <c r="C531" t="s">
        <v>629</v>
      </c>
      <c r="D531">
        <v>0.04439176745181701</v>
      </c>
      <c r="E531">
        <v>-0.03333077840207699</v>
      </c>
      <c r="F531">
        <v>0.07000000000000001</v>
      </c>
      <c r="G531">
        <v>0.07387652853390358</v>
      </c>
      <c r="H531" t="s">
        <v>382</v>
      </c>
      <c r="I531" t="s">
        <v>405</v>
      </c>
    </row>
    <row r="532" spans="1:9">
      <c r="A532" s="1" t="s">
        <v>539</v>
      </c>
      <c r="B532">
        <f>HYPERLINK("https://www.suredividend.com/sure-analysis-APLE","Apple Hospitality REIT, Inc.")</f>
        <v>0</v>
      </c>
      <c r="C532" t="s">
        <v>630</v>
      </c>
      <c r="D532">
        <v>0.07416563658838</v>
      </c>
      <c r="E532">
        <v>-0.002234936679756716</v>
      </c>
      <c r="F532">
        <v>0.01</v>
      </c>
      <c r="G532">
        <v>0.07283007842918487</v>
      </c>
      <c r="H532" t="s">
        <v>382</v>
      </c>
      <c r="I532" t="s">
        <v>634</v>
      </c>
    </row>
    <row r="533" spans="1:9">
      <c r="A533" s="1" t="s">
        <v>540</v>
      </c>
      <c r="B533">
        <f>HYPERLINK("https://www.suredividend.com/sure-analysis-PSEC","Prospect Capital Corp.")</f>
        <v>0</v>
      </c>
      <c r="C533" t="s">
        <v>632</v>
      </c>
      <c r="D533">
        <v>0.108270676691729</v>
      </c>
      <c r="E533">
        <v>-0.02900263934574143</v>
      </c>
      <c r="F533">
        <v>0</v>
      </c>
      <c r="G533">
        <v>0.07029881893145684</v>
      </c>
      <c r="H533" t="s">
        <v>382</v>
      </c>
      <c r="I533" t="s">
        <v>494</v>
      </c>
    </row>
    <row r="534" spans="1:9">
      <c r="A534" s="1" t="s">
        <v>541</v>
      </c>
      <c r="B534">
        <f>HYPERLINK("https://www.suredividend.com/sure-analysis-SCM","Stellus Capital Investment Corp.")</f>
        <v>0</v>
      </c>
      <c r="C534" t="s">
        <v>629</v>
      </c>
      <c r="D534">
        <v>0.09494413407821201</v>
      </c>
      <c r="E534">
        <v>-0.0347325852957544</v>
      </c>
      <c r="F534">
        <v>0.02</v>
      </c>
      <c r="G534">
        <v>0.06962072204618974</v>
      </c>
      <c r="H534" t="s">
        <v>382</v>
      </c>
      <c r="I534" t="s">
        <v>494</v>
      </c>
    </row>
    <row r="535" spans="1:9">
      <c r="A535" s="1" t="s">
        <v>542</v>
      </c>
      <c r="B535">
        <f>HYPERLINK("https://www.suredividend.com/sure-analysis-FUN","Cedar Fair LP")</f>
        <v>0</v>
      </c>
      <c r="C535" t="s">
        <v>629</v>
      </c>
      <c r="D535">
        <v>0.065894924309884</v>
      </c>
      <c r="E535">
        <v>-0.02293366747134151</v>
      </c>
      <c r="F535">
        <v>0.027</v>
      </c>
      <c r="G535">
        <v>0.06570713031587028</v>
      </c>
      <c r="H535" t="s">
        <v>382</v>
      </c>
      <c r="I535" t="s">
        <v>405</v>
      </c>
    </row>
    <row r="536" spans="1:9">
      <c r="A536" s="1" t="s">
        <v>543</v>
      </c>
      <c r="B536">
        <f>HYPERLINK("https://www.suredividend.com/sure-analysis-PBA","Pembina Pipeline Corp.")</f>
        <v>0</v>
      </c>
      <c r="C536" t="s">
        <v>629</v>
      </c>
      <c r="D536">
        <v>0.047361752544054</v>
      </c>
      <c r="E536">
        <v>-0.02898602932799588</v>
      </c>
      <c r="F536">
        <v>0.05</v>
      </c>
      <c r="G536">
        <v>0.06363506181649958</v>
      </c>
      <c r="H536" t="s">
        <v>382</v>
      </c>
      <c r="I536" t="s">
        <v>405</v>
      </c>
    </row>
    <row r="537" spans="1:9">
      <c r="A537" s="1" t="s">
        <v>544</v>
      </c>
      <c r="B537">
        <f>HYPERLINK("https://www.suredividend.com/sure-analysis-AQN","Algonquin Power &amp; Utilities Corp.")</f>
        <v>0</v>
      </c>
      <c r="C537" t="s">
        <v>629</v>
      </c>
      <c r="D537">
        <v>0.038312805501532</v>
      </c>
      <c r="E537">
        <v>-0.04884760748533934</v>
      </c>
      <c r="F537">
        <v>0.075</v>
      </c>
      <c r="G537">
        <v>0.06354274558555351</v>
      </c>
      <c r="H537" t="s">
        <v>382</v>
      </c>
      <c r="I537" t="s">
        <v>382</v>
      </c>
    </row>
    <row r="538" spans="1:9">
      <c r="A538" s="1" t="s">
        <v>545</v>
      </c>
      <c r="B538">
        <f>HYPERLINK("https://www.suredividend.com/sure-analysis-BCE","BCE, Inc.")</f>
        <v>0</v>
      </c>
      <c r="C538" t="s">
        <v>629</v>
      </c>
      <c r="D538">
        <v>0.051032990662939</v>
      </c>
      <c r="E538">
        <v>-0.01909372979559354</v>
      </c>
      <c r="F538">
        <v>0.035</v>
      </c>
      <c r="G538">
        <v>0.06350376440347505</v>
      </c>
      <c r="H538" t="s">
        <v>382</v>
      </c>
      <c r="I538" t="s">
        <v>494</v>
      </c>
    </row>
    <row r="539" spans="1:9">
      <c r="A539" s="1" t="s">
        <v>546</v>
      </c>
      <c r="B539">
        <f>HYPERLINK("https://www.suredividend.com/sure-analysis-NLY","Annaly Capital Management, Inc.")</f>
        <v>0</v>
      </c>
      <c r="C539" t="s">
        <v>630</v>
      </c>
      <c r="D539">
        <v>0.115424973767051</v>
      </c>
      <c r="E539">
        <v>-0.0002099517296175746</v>
      </c>
      <c r="F539">
        <v>-0.036</v>
      </c>
      <c r="G539">
        <v>0.0628459744872234</v>
      </c>
      <c r="H539" t="s">
        <v>382</v>
      </c>
      <c r="I539" t="s">
        <v>494</v>
      </c>
    </row>
    <row r="540" spans="1:9">
      <c r="A540" s="1" t="s">
        <v>547</v>
      </c>
      <c r="B540">
        <f>HYPERLINK("https://www.suredividend.com/sure-analysis-BXMT","Blackstone Mortgage Trust, Inc.")</f>
        <v>0</v>
      </c>
      <c r="C540" t="s">
        <v>630</v>
      </c>
      <c r="D540">
        <v>0.065469904963041</v>
      </c>
      <c r="E540">
        <v>-0.01569064026522671</v>
      </c>
      <c r="F540">
        <v>0.018</v>
      </c>
      <c r="G540">
        <v>0.06272654954151258</v>
      </c>
      <c r="H540" t="s">
        <v>382</v>
      </c>
      <c r="I540" t="s">
        <v>494</v>
      </c>
    </row>
    <row r="541" spans="1:9">
      <c r="A541" s="1" t="s">
        <v>548</v>
      </c>
      <c r="B541">
        <f>HYPERLINK("https://www.suredividend.com/sure-analysis-PEGI","Pattern Energy Group, Inc.")</f>
        <v>0</v>
      </c>
      <c r="C541" t="s">
        <v>629</v>
      </c>
      <c r="D541">
        <v>0.06217311233885801</v>
      </c>
      <c r="E541">
        <v>-0.03263225983061036</v>
      </c>
      <c r="F541">
        <v>0.024</v>
      </c>
      <c r="G541">
        <v>0.06102813288922504</v>
      </c>
      <c r="H541" t="s">
        <v>382</v>
      </c>
      <c r="I541" t="s">
        <v>405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629</v>
      </c>
      <c r="D542">
        <v>0.163376446562287</v>
      </c>
      <c r="E542">
        <v>0.00418537650906603</v>
      </c>
      <c r="F542">
        <v>-0.05</v>
      </c>
      <c r="G542">
        <v>0.06019629618092703</v>
      </c>
      <c r="H542" t="s">
        <v>382</v>
      </c>
      <c r="I542" t="s">
        <v>494</v>
      </c>
    </row>
    <row r="543" spans="1:9">
      <c r="A543" s="1" t="s">
        <v>550</v>
      </c>
      <c r="B543">
        <f>HYPERLINK("https://www.suredividend.com/sure-analysis-CORR","CorEnergy Infrastructure Trust, Inc.")</f>
        <v>0</v>
      </c>
      <c r="C543" t="s">
        <v>629</v>
      </c>
      <c r="D543">
        <v>0.067598017124831</v>
      </c>
      <c r="E543">
        <v>-0.02056743731181665</v>
      </c>
      <c r="F543">
        <v>0.02</v>
      </c>
      <c r="G543">
        <v>0.05918767554126014</v>
      </c>
      <c r="H543" t="s">
        <v>382</v>
      </c>
      <c r="I543" t="s">
        <v>494</v>
      </c>
    </row>
    <row r="544" spans="1:9">
      <c r="A544" s="1" t="s">
        <v>551</v>
      </c>
      <c r="B544">
        <f>HYPERLINK("https://www.suredividend.com/sure-analysis-SPKE","Spark Energy, Inc.")</f>
        <v>0</v>
      </c>
      <c r="C544" t="s">
        <v>629</v>
      </c>
      <c r="D544">
        <v>0.077457264957264</v>
      </c>
      <c r="E544">
        <v>-0.1970013140480809</v>
      </c>
      <c r="F544">
        <v>0.229</v>
      </c>
      <c r="G544">
        <v>0.05806916289907815</v>
      </c>
      <c r="H544" t="s">
        <v>382</v>
      </c>
      <c r="I544" t="s">
        <v>405</v>
      </c>
    </row>
    <row r="545" spans="1:9">
      <c r="A545" s="1" t="s">
        <v>552</v>
      </c>
      <c r="B545">
        <f>HYPERLINK("https://www.suredividend.com/sure-analysis-STWD","Starwood Property Trust, Inc.")</f>
        <v>0</v>
      </c>
      <c r="C545" t="s">
        <v>630</v>
      </c>
      <c r="D545">
        <v>0.076433121019108</v>
      </c>
      <c r="E545">
        <v>-0.02617569600024883</v>
      </c>
      <c r="F545">
        <v>0.01</v>
      </c>
      <c r="G545">
        <v>0.05430102307706575</v>
      </c>
      <c r="H545" t="s">
        <v>382</v>
      </c>
      <c r="I545" t="s">
        <v>494</v>
      </c>
    </row>
    <row r="546" spans="1:9">
      <c r="A546" s="1" t="s">
        <v>553</v>
      </c>
      <c r="B546">
        <f>HYPERLINK("https://www.suredividend.com/sure-analysis-PDCO","Patterson Cos., Inc.")</f>
        <v>0</v>
      </c>
      <c r="C546" t="s">
        <v>629</v>
      </c>
      <c r="D546">
        <v>0.04997597308986</v>
      </c>
      <c r="E546">
        <v>-0.02859555819669024</v>
      </c>
      <c r="F546">
        <v>0.04</v>
      </c>
      <c r="G546">
        <v>0.0542379556628112</v>
      </c>
      <c r="H546" t="s">
        <v>382</v>
      </c>
      <c r="I546" t="s">
        <v>405</v>
      </c>
    </row>
    <row r="547" spans="1:9">
      <c r="A547" s="1" t="s">
        <v>554</v>
      </c>
      <c r="B547">
        <f>HYPERLINK("https://www.suredividend.com/sure-analysis-ALARF","Alaris Royalty Corp.")</f>
        <v>0</v>
      </c>
      <c r="C547" t="s">
        <v>629</v>
      </c>
      <c r="D547">
        <v>0.072640236427368</v>
      </c>
      <c r="E547">
        <v>-0.02575129033651014</v>
      </c>
      <c r="F547">
        <v>0.02</v>
      </c>
      <c r="G547">
        <v>0.05207690294303347</v>
      </c>
      <c r="H547" t="s">
        <v>382</v>
      </c>
      <c r="I547" t="s">
        <v>494</v>
      </c>
    </row>
    <row r="548" spans="1:9">
      <c r="A548" s="1" t="s">
        <v>555</v>
      </c>
      <c r="B548">
        <f>HYPERLINK("https://www.suredividend.com/sure-analysis-WY","Weyerhaeuser Co.")</f>
        <v>0</v>
      </c>
      <c r="C548" t="s">
        <v>629</v>
      </c>
      <c r="D548">
        <v>0.045107794361525</v>
      </c>
      <c r="E548">
        <v>-0.02182785928402675</v>
      </c>
      <c r="F548">
        <v>0.031</v>
      </c>
      <c r="G548">
        <v>0.05070138370622956</v>
      </c>
      <c r="H548" t="s">
        <v>382</v>
      </c>
      <c r="I548" t="s">
        <v>405</v>
      </c>
    </row>
    <row r="549" spans="1:9">
      <c r="A549" s="1" t="s">
        <v>556</v>
      </c>
      <c r="B549">
        <f>HYPERLINK("https://www.suredividend.com/sure-analysis-MGP","MGM Growth Properties LLC")</f>
        <v>0</v>
      </c>
      <c r="C549" t="s">
        <v>630</v>
      </c>
      <c r="D549">
        <v>0.060536649214659</v>
      </c>
      <c r="E549">
        <v>-0.01042451105778375</v>
      </c>
      <c r="F549">
        <v>0.003</v>
      </c>
      <c r="G549">
        <v>0.0487753515122118</v>
      </c>
      <c r="H549" t="s">
        <v>382</v>
      </c>
      <c r="I549" t="s">
        <v>405</v>
      </c>
    </row>
    <row r="550" spans="1:9">
      <c r="A550" s="1" t="s">
        <v>557</v>
      </c>
      <c r="B550">
        <f>HYPERLINK("https://www.suredividend.com/sure-analysis-VGR","Vector Group Ltd.")</f>
        <v>0</v>
      </c>
      <c r="C550" t="s">
        <v>629</v>
      </c>
      <c r="D550">
        <v>0.118124400710155</v>
      </c>
      <c r="E550">
        <v>-0.03136402426954787</v>
      </c>
      <c r="F550">
        <v>0.03</v>
      </c>
      <c r="G550">
        <v>0.04743673270196647</v>
      </c>
      <c r="H550" t="s">
        <v>382</v>
      </c>
      <c r="I550" t="s">
        <v>494</v>
      </c>
    </row>
    <row r="551" spans="1:9">
      <c r="A551" s="1" t="s">
        <v>558</v>
      </c>
      <c r="B551">
        <f>HYPERLINK("https://www.suredividend.com/sure-analysis-DREUF","Dream Industrial Real Estate Investment Trust")</f>
        <v>0</v>
      </c>
      <c r="C551" t="s">
        <v>630</v>
      </c>
      <c r="D551">
        <v>0.052429094160913</v>
      </c>
      <c r="E551">
        <v>-0.02202240427569502</v>
      </c>
      <c r="F551">
        <v>0.024</v>
      </c>
      <c r="G551">
        <v>0.047274827704338</v>
      </c>
      <c r="H551" t="s">
        <v>382</v>
      </c>
      <c r="I551" t="s">
        <v>494</v>
      </c>
    </row>
    <row r="552" spans="1:9">
      <c r="A552" s="1" t="s">
        <v>559</v>
      </c>
      <c r="B552">
        <f>HYPERLINK("https://www.suredividend.com/sure-analysis-LVS","Las Vegas Sands Corp.")</f>
        <v>0</v>
      </c>
      <c r="C552" t="s">
        <v>629</v>
      </c>
      <c r="D552">
        <v>0.044651977236246</v>
      </c>
      <c r="E552">
        <v>-0.04653971994697459</v>
      </c>
      <c r="F552">
        <v>0.05</v>
      </c>
      <c r="G552">
        <v>0.04692378263775931</v>
      </c>
      <c r="H552" t="s">
        <v>382</v>
      </c>
      <c r="I552" t="s">
        <v>405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630</v>
      </c>
      <c r="D553">
        <v>0.049250535331905</v>
      </c>
      <c r="E553">
        <v>-0.03049819460778258</v>
      </c>
      <c r="F553">
        <v>0.033</v>
      </c>
      <c r="G553">
        <v>0.0462665012833694</v>
      </c>
      <c r="H553" t="s">
        <v>382</v>
      </c>
      <c r="I553" t="s">
        <v>405</v>
      </c>
    </row>
    <row r="554" spans="1:9">
      <c r="A554" s="1" t="s">
        <v>561</v>
      </c>
      <c r="B554">
        <f>HYPERLINK("https://www.suredividend.com/sure-analysis-OLN","Olin Corp.")</f>
        <v>0</v>
      </c>
      <c r="C554" t="s">
        <v>629</v>
      </c>
      <c r="D554">
        <v>0.046003450258769</v>
      </c>
      <c r="E554">
        <v>-0.08752994555774407</v>
      </c>
      <c r="F554">
        <v>0.1</v>
      </c>
      <c r="G554">
        <v>0.04542887265814133</v>
      </c>
      <c r="H554" t="s">
        <v>382</v>
      </c>
      <c r="I554" t="s">
        <v>405</v>
      </c>
    </row>
    <row r="555" spans="1:9">
      <c r="A555" s="1" t="s">
        <v>562</v>
      </c>
      <c r="B555">
        <f>HYPERLINK("https://www.suredividend.com/sure-analysis-NYCB","New York Community Bancorp, Inc.")</f>
        <v>0</v>
      </c>
      <c r="C555" t="s">
        <v>629</v>
      </c>
      <c r="D555">
        <v>0.056903765690376</v>
      </c>
      <c r="E555">
        <v>-0.05512377623345099</v>
      </c>
      <c r="F555">
        <v>0.05</v>
      </c>
      <c r="G555">
        <v>0.04492504372301886</v>
      </c>
      <c r="H555" t="s">
        <v>382</v>
      </c>
      <c r="I555" t="s">
        <v>405</v>
      </c>
    </row>
    <row r="556" spans="1:9">
      <c r="A556" s="1" t="s">
        <v>563</v>
      </c>
      <c r="B556">
        <f>HYPERLINK("https://www.suredividend.com/sure-analysis-GLAD","Gladstone Capital Corp.")</f>
        <v>0</v>
      </c>
      <c r="C556" t="s">
        <v>629</v>
      </c>
      <c r="D556">
        <v>0.08219178082191701</v>
      </c>
      <c r="E556">
        <v>-0.03618516650263126</v>
      </c>
      <c r="F556">
        <v>0</v>
      </c>
      <c r="G556">
        <v>0.04440890239383832</v>
      </c>
      <c r="H556" t="s">
        <v>382</v>
      </c>
      <c r="I556" t="s">
        <v>494</v>
      </c>
    </row>
    <row r="557" spans="1:9">
      <c r="A557" s="1" t="s">
        <v>564</v>
      </c>
      <c r="B557">
        <f>HYPERLINK("https://www.suredividend.com/sure-analysis-ANF","Abercrombie &amp; Fitch Co.")</f>
        <v>0</v>
      </c>
      <c r="C557" t="s">
        <v>629</v>
      </c>
      <c r="D557">
        <v>0.04825090470446301</v>
      </c>
      <c r="E557">
        <v>-0.04748512799451698</v>
      </c>
      <c r="F557">
        <v>0.05</v>
      </c>
      <c r="G557">
        <v>0.04429059766702093</v>
      </c>
      <c r="H557" t="s">
        <v>382</v>
      </c>
      <c r="I557" t="s">
        <v>405</v>
      </c>
    </row>
    <row r="558" spans="1:9">
      <c r="A558" s="1" t="s">
        <v>565</v>
      </c>
      <c r="B558">
        <f>HYPERLINK("https://www.suredividend.com/sure-analysis-ABEV","Ambev SA")</f>
        <v>0</v>
      </c>
      <c r="C558" t="s">
        <v>629</v>
      </c>
      <c r="D558">
        <v>0.04343544857768</v>
      </c>
      <c r="E558">
        <v>-0.01674397094141555</v>
      </c>
      <c r="F558">
        <v>0.03</v>
      </c>
      <c r="G558">
        <v>0.04358590157296449</v>
      </c>
      <c r="H558" t="s">
        <v>382</v>
      </c>
      <c r="I558" t="s">
        <v>405</v>
      </c>
    </row>
    <row r="559" spans="1:9">
      <c r="A559" s="1" t="s">
        <v>566</v>
      </c>
      <c r="B559">
        <f>HYPERLINK("https://www.suredividend.com/sure-analysis-DEA","Easterly Government Properties, Inc.")</f>
        <v>0</v>
      </c>
      <c r="C559" t="s">
        <v>630</v>
      </c>
      <c r="D559">
        <v>0.044444444444444</v>
      </c>
      <c r="E559">
        <v>-0.04080358104240489</v>
      </c>
      <c r="F559">
        <v>0.035</v>
      </c>
      <c r="G559">
        <v>0.04096909897869949</v>
      </c>
      <c r="H559" t="s">
        <v>382</v>
      </c>
      <c r="I559" t="s">
        <v>405</v>
      </c>
    </row>
    <row r="560" spans="1:9">
      <c r="A560" s="1" t="s">
        <v>567</v>
      </c>
      <c r="B560">
        <f>HYPERLINK("https://www.suredividend.com/sure-analysis-BBBY","Bed Bath &amp; Beyond, Inc.")</f>
        <v>0</v>
      </c>
      <c r="C560" t="s">
        <v>629</v>
      </c>
      <c r="D560">
        <v>0.03952095808383201</v>
      </c>
      <c r="E560">
        <v>-0.02124282768097308</v>
      </c>
      <c r="F560">
        <v>0.02</v>
      </c>
      <c r="G560">
        <v>0.03995199589153153</v>
      </c>
      <c r="H560" t="s">
        <v>382</v>
      </c>
      <c r="I560" t="s">
        <v>405</v>
      </c>
    </row>
    <row r="561" spans="1:9">
      <c r="A561" s="1" t="s">
        <v>568</v>
      </c>
      <c r="B561" t="s">
        <v>628</v>
      </c>
      <c r="C561" t="s">
        <v>630</v>
      </c>
      <c r="D561">
        <v>0.0433</v>
      </c>
      <c r="E561">
        <v>-0.04237350811181984</v>
      </c>
      <c r="F561">
        <v>0.04</v>
      </c>
      <c r="G561">
        <v>0.03790439424563252</v>
      </c>
      <c r="H561" t="s">
        <v>382</v>
      </c>
      <c r="I561" t="s">
        <v>405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629</v>
      </c>
      <c r="D562">
        <v>0.09615384615384601</v>
      </c>
      <c r="E562">
        <v>-0.07238508069012062</v>
      </c>
      <c r="F562">
        <v>0</v>
      </c>
      <c r="G562">
        <v>0.03746949225212437</v>
      </c>
      <c r="H562" t="s">
        <v>382</v>
      </c>
      <c r="I562" t="s">
        <v>494</v>
      </c>
    </row>
    <row r="563" spans="1:9">
      <c r="A563" s="1" t="s">
        <v>570</v>
      </c>
      <c r="B563">
        <f>HYPERLINK("https://www.suredividend.com/sure-analysis-GAIN","Gladstone Investment Corp.")</f>
        <v>0</v>
      </c>
      <c r="C563" t="s">
        <v>632</v>
      </c>
      <c r="D563">
        <v>0.054986522911051</v>
      </c>
      <c r="E563">
        <v>-0.05812828090922373</v>
      </c>
      <c r="F563">
        <v>0.036</v>
      </c>
      <c r="G563">
        <v>0.03482225754771706</v>
      </c>
      <c r="H563" t="s">
        <v>382</v>
      </c>
      <c r="I563" t="s">
        <v>405</v>
      </c>
    </row>
    <row r="564" spans="1:9">
      <c r="A564" s="1" t="s">
        <v>571</v>
      </c>
      <c r="B564">
        <f>HYPERLINK("https://www.suredividend.com/sure-analysis-WSR","Whitestone REIT")</f>
        <v>0</v>
      </c>
      <c r="C564" t="s">
        <v>630</v>
      </c>
      <c r="D564">
        <v>0.08475836431226701</v>
      </c>
      <c r="E564">
        <v>-0.03941880538460607</v>
      </c>
      <c r="F564">
        <v>0</v>
      </c>
      <c r="G564">
        <v>0.03310238428765522</v>
      </c>
      <c r="H564" t="s">
        <v>382</v>
      </c>
      <c r="I564" t="s">
        <v>494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630</v>
      </c>
      <c r="D565">
        <v>0.08873239436619701</v>
      </c>
      <c r="E565">
        <v>-0.02192661490818626</v>
      </c>
      <c r="F565">
        <v>-0.049</v>
      </c>
      <c r="G565">
        <v>0.02753299290886524</v>
      </c>
      <c r="H565" t="s">
        <v>382</v>
      </c>
      <c r="I565" t="s">
        <v>494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630</v>
      </c>
      <c r="D566">
        <v>0.04328358208955201</v>
      </c>
      <c r="E566">
        <v>-0.04460099413022767</v>
      </c>
      <c r="F566">
        <v>0.03</v>
      </c>
      <c r="G566">
        <v>0.02747921505546325</v>
      </c>
      <c r="H566" t="s">
        <v>382</v>
      </c>
      <c r="I566" t="s">
        <v>405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630</v>
      </c>
      <c r="D567">
        <v>0.067965564114182</v>
      </c>
      <c r="E567">
        <v>-0.05086209541301323</v>
      </c>
      <c r="F567">
        <v>0</v>
      </c>
      <c r="G567">
        <v>0.02111051930084207</v>
      </c>
      <c r="H567" t="s">
        <v>382</v>
      </c>
      <c r="I567" t="s">
        <v>494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629</v>
      </c>
      <c r="D568">
        <v>0.086210858585858</v>
      </c>
      <c r="E568">
        <v>-0.07859171596405057</v>
      </c>
      <c r="F568">
        <v>0.008</v>
      </c>
      <c r="G568">
        <v>0.01923023248224176</v>
      </c>
      <c r="H568" t="s">
        <v>382</v>
      </c>
      <c r="I568" t="s">
        <v>494</v>
      </c>
    </row>
    <row r="569" spans="1:9">
      <c r="A569" s="1" t="s">
        <v>576</v>
      </c>
      <c r="B569">
        <f>HYPERLINK("https://www.suredividend.com/sure-analysis-ASML","ASML Holding NV")</f>
        <v>0</v>
      </c>
      <c r="C569" t="s">
        <v>629</v>
      </c>
      <c r="D569">
        <v>0.010171702033448</v>
      </c>
      <c r="E569">
        <v>-0.1056374520199792</v>
      </c>
      <c r="F569">
        <v>0.12</v>
      </c>
      <c r="G569">
        <v>0.0136782236214692</v>
      </c>
      <c r="H569" t="s">
        <v>382</v>
      </c>
      <c r="I569" t="s">
        <v>382</v>
      </c>
    </row>
    <row r="570" spans="1:9">
      <c r="A570" s="1" t="s">
        <v>577</v>
      </c>
      <c r="B570">
        <f>HYPERLINK("https://www.suredividend.com/sure-analysis-BX","The Blackstone Group, Inc.")</f>
        <v>0</v>
      </c>
      <c r="C570" t="s">
        <v>629</v>
      </c>
      <c r="D570">
        <v>0.037096774193548</v>
      </c>
      <c r="E570">
        <v>-0.08906630003740079</v>
      </c>
      <c r="F570">
        <v>0.06</v>
      </c>
      <c r="G570">
        <v>0.01067465933345169</v>
      </c>
      <c r="H570" t="s">
        <v>382</v>
      </c>
      <c r="I570" t="s">
        <v>405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629</v>
      </c>
      <c r="D571">
        <v>0.041036269430051</v>
      </c>
      <c r="E571">
        <v>-0.0968078879841946</v>
      </c>
      <c r="F571">
        <v>0.06</v>
      </c>
      <c r="G571">
        <v>0.01045134062258857</v>
      </c>
      <c r="H571" t="s">
        <v>382</v>
      </c>
      <c r="I571" t="s">
        <v>405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630</v>
      </c>
      <c r="D572">
        <v>0.04169531249999901</v>
      </c>
      <c r="E572">
        <v>-0.06802018170216217</v>
      </c>
      <c r="F572">
        <v>0.03</v>
      </c>
      <c r="G572">
        <v>0.00530544175982528</v>
      </c>
      <c r="H572" t="s">
        <v>382</v>
      </c>
      <c r="I572" t="s">
        <v>382</v>
      </c>
    </row>
    <row r="573" spans="1:9">
      <c r="A573" s="1" t="s">
        <v>580</v>
      </c>
      <c r="B573">
        <f>HYPERLINK("https://www.suredividend.com/sure-analysis-ABR","Arbor Realty Trust, Inc.")</f>
        <v>0</v>
      </c>
      <c r="C573" t="s">
        <v>630</v>
      </c>
      <c r="D573">
        <v>0.07597535934291501</v>
      </c>
      <c r="E573">
        <v>-0.08442162291465571</v>
      </c>
      <c r="F573">
        <v>0</v>
      </c>
      <c r="G573">
        <v>-0.004280151629145523</v>
      </c>
      <c r="H573" t="s">
        <v>382</v>
      </c>
      <c r="I573" t="s">
        <v>494</v>
      </c>
    </row>
    <row r="574" spans="1:9">
      <c r="A574" s="1" t="s">
        <v>581</v>
      </c>
      <c r="B574">
        <f>HYPERLINK("https://www.suredividend.com/sure-analysis-TSM","Taiwan Semiconductor Manufacturing Co., Ltd.")</f>
        <v>0</v>
      </c>
      <c r="C574" t="s">
        <v>629</v>
      </c>
      <c r="D574">
        <v>0.033031779734161</v>
      </c>
      <c r="E574">
        <v>-0.1233150618410975</v>
      </c>
      <c r="F574">
        <v>0.1</v>
      </c>
      <c r="G574">
        <v>-0.005256855076768541</v>
      </c>
      <c r="H574" t="s">
        <v>382</v>
      </c>
      <c r="I574" t="s">
        <v>382</v>
      </c>
    </row>
    <row r="575" spans="1:9">
      <c r="A575" s="1" t="s">
        <v>582</v>
      </c>
      <c r="B575">
        <f>HYPERLINK("https://www.suredividend.com/sure-analysis-SJT","San Juan Basin Royalty Trust")</f>
        <v>0</v>
      </c>
      <c r="C575" t="s">
        <v>629</v>
      </c>
      <c r="D575">
        <v>0.07716535433070801</v>
      </c>
      <c r="E575">
        <v>-0.1651648975738208</v>
      </c>
      <c r="F575">
        <v>0.175</v>
      </c>
      <c r="G575">
        <v>-0.01906875464923941</v>
      </c>
      <c r="H575" t="s">
        <v>382</v>
      </c>
      <c r="I575" t="s">
        <v>405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629</v>
      </c>
      <c r="D576">
        <v>0.05243598862019901</v>
      </c>
      <c r="E576">
        <v>-0.1181084354037524</v>
      </c>
      <c r="F576">
        <v>0.04</v>
      </c>
      <c r="G576">
        <v>-0.02880702513660449</v>
      </c>
      <c r="H576" t="s">
        <v>382</v>
      </c>
      <c r="I576" t="s">
        <v>405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629</v>
      </c>
      <c r="D577">
        <v>0.027150217994451</v>
      </c>
      <c r="E577">
        <v>-0.1175638247400567</v>
      </c>
      <c r="F577">
        <v>0.04</v>
      </c>
      <c r="G577">
        <v>-0.04611634774417228</v>
      </c>
      <c r="H577" t="s">
        <v>382</v>
      </c>
      <c r="I577" t="s">
        <v>382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629</v>
      </c>
      <c r="D578">
        <v>0.032727867779414</v>
      </c>
      <c r="E578">
        <v>-0.1507211748100373</v>
      </c>
      <c r="F578">
        <v>0.065</v>
      </c>
      <c r="G578">
        <v>-0.0511819076113984</v>
      </c>
      <c r="H578" t="s">
        <v>382</v>
      </c>
      <c r="I578" t="s">
        <v>382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629</v>
      </c>
      <c r="D579">
        <v>0.0204706467714</v>
      </c>
      <c r="E579">
        <v>-0.1905652558828781</v>
      </c>
      <c r="F579">
        <v>0.08</v>
      </c>
      <c r="G579">
        <v>-0.09224497504342821</v>
      </c>
      <c r="H579" t="s">
        <v>382</v>
      </c>
      <c r="I579" t="s">
        <v>382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629</v>
      </c>
      <c r="D580">
        <v>0.06343906510851401</v>
      </c>
      <c r="E580">
        <v>-0.2749785012121825</v>
      </c>
      <c r="F580">
        <v>0.2</v>
      </c>
      <c r="G580">
        <v>-0.129974201454619</v>
      </c>
      <c r="H580" t="s">
        <v>382</v>
      </c>
      <c r="I580" t="s">
        <v>405</v>
      </c>
    </row>
    <row r="581" spans="1:9">
      <c r="A581" s="1" t="s">
        <v>588</v>
      </c>
      <c r="B581">
        <f>HYPERLINK("https://www.suredividend.com/sure-analysis-TKGBY","Turkiye Garanti Bankasi AS")</f>
        <v>0</v>
      </c>
      <c r="C581" t="s">
        <v>629</v>
      </c>
      <c r="E581">
        <v>0.495129535408056</v>
      </c>
      <c r="F581">
        <v>0.04</v>
      </c>
      <c r="G581">
        <v>0.5549347168243781</v>
      </c>
      <c r="H581" t="s">
        <v>635</v>
      </c>
      <c r="I581" t="s">
        <v>635</v>
      </c>
    </row>
    <row r="582" spans="1:9">
      <c r="A582" s="1" t="s">
        <v>589</v>
      </c>
      <c r="B582">
        <f>HYPERLINK("https://www.suredividend.com/sure-analysis-ACB","Aurora Cannabis, Inc.")</f>
        <v>0</v>
      </c>
      <c r="C582" t="s">
        <v>629</v>
      </c>
      <c r="E582">
        <v>-0.07789208851827223</v>
      </c>
      <c r="F582">
        <v>0.404</v>
      </c>
      <c r="G582">
        <v>0.2946395077203459</v>
      </c>
      <c r="H582" t="s">
        <v>635</v>
      </c>
      <c r="I582" t="s">
        <v>635</v>
      </c>
    </row>
    <row r="583" spans="1:9">
      <c r="A583" s="1" t="s">
        <v>590</v>
      </c>
      <c r="B583">
        <f>HYPERLINK("https://www.suredividend.com/sure-analysis-TEVA","Teva Pharmaceutical Industries Ltd.")</f>
        <v>0</v>
      </c>
      <c r="C583" t="s">
        <v>629</v>
      </c>
      <c r="E583">
        <v>0.1571982186689969</v>
      </c>
      <c r="F583">
        <v>0.04</v>
      </c>
      <c r="G583">
        <v>0.2034861474157568</v>
      </c>
      <c r="H583" t="s">
        <v>635</v>
      </c>
      <c r="I583" t="s">
        <v>635</v>
      </c>
    </row>
    <row r="584" spans="1:9">
      <c r="A584" s="1" t="s">
        <v>591</v>
      </c>
      <c r="B584">
        <f>HYPERLINK("https://www.suredividend.com/sure-analysis-DLPH","Delphi Technologies Plc")</f>
        <v>0</v>
      </c>
      <c r="C584" t="s">
        <v>629</v>
      </c>
      <c r="E584">
        <v>0.07224432617354637</v>
      </c>
      <c r="F584">
        <v>0.04</v>
      </c>
      <c r="G584">
        <v>0.1477901923207978</v>
      </c>
      <c r="H584" t="s">
        <v>635</v>
      </c>
      <c r="I584" t="s">
        <v>635</v>
      </c>
    </row>
    <row r="585" spans="1:9">
      <c r="A585" s="1" t="s">
        <v>592</v>
      </c>
      <c r="B585">
        <f>HYPERLINK("https://www.suredividend.com/sure-analysis-CELG","Celgene Corp.")</f>
        <v>0</v>
      </c>
      <c r="C585" t="s">
        <v>629</v>
      </c>
      <c r="E585">
        <v>0.01218992775146499</v>
      </c>
      <c r="F585">
        <v>0.1</v>
      </c>
      <c r="G585">
        <v>0.1134089205266118</v>
      </c>
      <c r="H585" t="s">
        <v>635</v>
      </c>
      <c r="I585" t="s">
        <v>635</v>
      </c>
    </row>
    <row r="586" spans="1:9">
      <c r="A586" s="1" t="s">
        <v>593</v>
      </c>
      <c r="B586">
        <f>HYPERLINK("https://www.suredividend.com/sure-analysis-CRM","salesforce.com, inc.")</f>
        <v>0</v>
      </c>
      <c r="C586" t="s">
        <v>629</v>
      </c>
      <c r="E586">
        <v>-0.08593246891714634</v>
      </c>
      <c r="F586">
        <v>0.216</v>
      </c>
      <c r="G586">
        <v>0.11150611779675</v>
      </c>
      <c r="H586" t="s">
        <v>635</v>
      </c>
      <c r="I586" t="s">
        <v>635</v>
      </c>
    </row>
    <row r="587" spans="1:9">
      <c r="A587" s="1" t="s">
        <v>594</v>
      </c>
      <c r="B587">
        <f>HYPERLINK("https://www.suredividend.com/sure-analysis-ADBE","Adobe, Inc.")</f>
        <v>0</v>
      </c>
      <c r="C587" t="s">
        <v>629</v>
      </c>
      <c r="E587">
        <v>-0.07487766756610614</v>
      </c>
      <c r="F587">
        <v>0.2</v>
      </c>
      <c r="G587">
        <v>0.1101467989206726</v>
      </c>
      <c r="H587" t="s">
        <v>635</v>
      </c>
      <c r="I587" t="s">
        <v>635</v>
      </c>
    </row>
    <row r="588" spans="1:9">
      <c r="A588" s="1" t="s">
        <v>595</v>
      </c>
      <c r="B588">
        <f>HYPERLINK("https://www.suredividend.com/sure-analysis-NCLH","Norwegian Cruise Line Holdings Ltd.")</f>
        <v>0</v>
      </c>
      <c r="C588" t="s">
        <v>629</v>
      </c>
      <c r="E588">
        <v>0.02460982089168318</v>
      </c>
      <c r="F588">
        <v>0.08</v>
      </c>
      <c r="G588">
        <v>0.1065786065630179</v>
      </c>
      <c r="H588" t="s">
        <v>635</v>
      </c>
      <c r="I588" t="s">
        <v>635</v>
      </c>
    </row>
    <row r="589" spans="1:9">
      <c r="A589" s="1" t="s">
        <v>596</v>
      </c>
      <c r="B589">
        <f>HYPERLINK("https://www.suredividend.com/sure-analysis-UAL","United Airlines Holdings, Inc.")</f>
        <v>0</v>
      </c>
      <c r="C589" t="s">
        <v>629</v>
      </c>
      <c r="E589">
        <v>0.02293765056316666</v>
      </c>
      <c r="F589">
        <v>0.08</v>
      </c>
      <c r="G589">
        <v>0.1047726626082199</v>
      </c>
      <c r="H589" t="s">
        <v>635</v>
      </c>
      <c r="I589" t="s">
        <v>635</v>
      </c>
    </row>
    <row r="590" spans="1:9">
      <c r="A590" s="1" t="s">
        <v>597</v>
      </c>
      <c r="B590">
        <f>HYPERLINK("https://www.suredividend.com/sure-analysis-MU","Micron Technology, Inc.")</f>
        <v>0</v>
      </c>
      <c r="C590" t="s">
        <v>629</v>
      </c>
      <c r="E590">
        <v>-0.04385602246973452</v>
      </c>
      <c r="F590">
        <v>0.15</v>
      </c>
      <c r="G590">
        <v>0.09956557415980516</v>
      </c>
      <c r="H590" t="s">
        <v>635</v>
      </c>
      <c r="I590" t="s">
        <v>635</v>
      </c>
    </row>
    <row r="591" spans="1:9">
      <c r="A591" s="1" t="s">
        <v>598</v>
      </c>
      <c r="B591">
        <f>HYPERLINK("https://www.suredividend.com/sure-analysis-UBS","UBS Group AG")</f>
        <v>0</v>
      </c>
      <c r="C591" t="s">
        <v>629</v>
      </c>
      <c r="E591">
        <v>0.0389723515130509</v>
      </c>
      <c r="F591">
        <v>0.01</v>
      </c>
      <c r="G591">
        <v>0.09700818157273372</v>
      </c>
      <c r="H591" t="s">
        <v>635</v>
      </c>
      <c r="I591" t="s">
        <v>635</v>
      </c>
    </row>
    <row r="592" spans="1:9">
      <c r="A592" s="1" t="s">
        <v>599</v>
      </c>
      <c r="B592">
        <f>HYPERLINK("https://www.suredividend.com/sure-analysis-BRK.B","Berkshire Hathaway, Inc.")</f>
        <v>0</v>
      </c>
      <c r="C592" t="s">
        <v>629</v>
      </c>
      <c r="E592">
        <v>0.03746399105202869</v>
      </c>
      <c r="F592">
        <v>0.05</v>
      </c>
      <c r="G592">
        <v>0.08933719060463008</v>
      </c>
      <c r="H592" t="s">
        <v>635</v>
      </c>
      <c r="I592" t="s">
        <v>635</v>
      </c>
    </row>
    <row r="593" spans="1:9">
      <c r="A593" s="1" t="s">
        <v>600</v>
      </c>
      <c r="B593">
        <f>HYPERLINK("https://www.suredividend.com/sure-analysis-BABA","Alibaba Group Holding Ltd.")</f>
        <v>0</v>
      </c>
      <c r="C593" t="s">
        <v>629</v>
      </c>
      <c r="E593">
        <v>-0.09339286908407762</v>
      </c>
      <c r="F593">
        <v>0.2</v>
      </c>
      <c r="G593">
        <v>0.08792855709910685</v>
      </c>
      <c r="H593" t="s">
        <v>635</v>
      </c>
      <c r="I593" t="s">
        <v>635</v>
      </c>
    </row>
    <row r="594" spans="1:9">
      <c r="A594" s="1" t="s">
        <v>601</v>
      </c>
      <c r="B594">
        <f>HYPERLINK("https://www.suredividend.com/sure-analysis-ORC","Orchid Island Capital, Inc.")</f>
        <v>0</v>
      </c>
      <c r="C594" t="s">
        <v>630</v>
      </c>
      <c r="D594">
        <v>0.163822525597269</v>
      </c>
      <c r="E594">
        <v>0.01296975912467691</v>
      </c>
      <c r="F594">
        <v>-0.05</v>
      </c>
      <c r="G594">
        <v>0.08689274358314547</v>
      </c>
      <c r="H594" t="s">
        <v>635</v>
      </c>
      <c r="I594" t="s">
        <v>635</v>
      </c>
    </row>
    <row r="595" spans="1:9">
      <c r="A595" s="1" t="s">
        <v>602</v>
      </c>
      <c r="B595">
        <f>HYPERLINK("https://www.suredividend.com/sure-analysis-SQ","Square, Inc.")</f>
        <v>0</v>
      </c>
      <c r="C595" t="s">
        <v>629</v>
      </c>
      <c r="E595">
        <v>-0.0358984318194191</v>
      </c>
      <c r="F595">
        <v>0.123</v>
      </c>
      <c r="G595">
        <v>0.08268606106679233</v>
      </c>
      <c r="H595" t="s">
        <v>635</v>
      </c>
      <c r="I595" t="s">
        <v>635</v>
      </c>
    </row>
    <row r="596" spans="1:9">
      <c r="A596" s="1" t="s">
        <v>603</v>
      </c>
      <c r="B596">
        <f>HYPERLINK("https://www.suredividend.com/sure-analysis-NSANY","Nissan Motor Co., Ltd.")</f>
        <v>0</v>
      </c>
      <c r="C596" t="s">
        <v>629</v>
      </c>
      <c r="E596">
        <v>0.0304530232420388</v>
      </c>
      <c r="F596">
        <v>-0.02</v>
      </c>
      <c r="G596">
        <v>0.08181757350231256</v>
      </c>
      <c r="H596" t="s">
        <v>635</v>
      </c>
      <c r="I596" t="s">
        <v>635</v>
      </c>
    </row>
    <row r="597" spans="1:9">
      <c r="A597" s="1" t="s">
        <v>604</v>
      </c>
      <c r="B597">
        <f>HYPERLINK("https://www.suredividend.com/sure-analysis-AMZN","Amazon.com, Inc.")</f>
        <v>0</v>
      </c>
      <c r="C597" t="s">
        <v>629</v>
      </c>
      <c r="E597">
        <v>-0.0343546629301843</v>
      </c>
      <c r="F597">
        <v>0.12</v>
      </c>
      <c r="G597">
        <v>0.0815227775181937</v>
      </c>
      <c r="H597" t="s">
        <v>635</v>
      </c>
      <c r="I597" t="s">
        <v>635</v>
      </c>
    </row>
    <row r="598" spans="1:9">
      <c r="A598" s="1" t="s">
        <v>605</v>
      </c>
      <c r="B598">
        <f>HYPERLINK("https://www.suredividend.com/sure-analysis-ORLY","O'Reilly Automotive, Inc.")</f>
        <v>0</v>
      </c>
      <c r="C598" t="s">
        <v>629</v>
      </c>
      <c r="E598">
        <v>-0.03249081908431195</v>
      </c>
      <c r="F598">
        <v>0.11</v>
      </c>
      <c r="G598">
        <v>0.07393519081641386</v>
      </c>
      <c r="H598" t="s">
        <v>635</v>
      </c>
      <c r="I598" t="s">
        <v>635</v>
      </c>
    </row>
    <row r="599" spans="1:9">
      <c r="A599" s="1" t="s">
        <v>606</v>
      </c>
      <c r="B599">
        <f>HYPERLINK("https://www.suredividend.com/sure-analysis-FB","Facebook, Inc.")</f>
        <v>0</v>
      </c>
      <c r="C599" t="s">
        <v>629</v>
      </c>
      <c r="E599">
        <v>-0.01945286358348308</v>
      </c>
      <c r="F599">
        <v>0.09</v>
      </c>
      <c r="G599">
        <v>0.06879637869400357</v>
      </c>
      <c r="H599" t="s">
        <v>635</v>
      </c>
      <c r="I599" t="s">
        <v>635</v>
      </c>
    </row>
    <row r="600" spans="1:9">
      <c r="A600" s="1" t="s">
        <v>607</v>
      </c>
      <c r="B600">
        <f>HYPERLINK("https://www.suredividend.com/sure-analysis-GOOG","Alphabet, Inc.")</f>
        <v>0</v>
      </c>
      <c r="C600" t="s">
        <v>629</v>
      </c>
      <c r="E600">
        <v>-0.03251367634222024</v>
      </c>
      <c r="F600">
        <v>0.1</v>
      </c>
      <c r="G600">
        <v>0.06483501186178442</v>
      </c>
      <c r="H600" t="s">
        <v>635</v>
      </c>
      <c r="I600" t="s">
        <v>635</v>
      </c>
    </row>
    <row r="601" spans="1:9">
      <c r="A601" s="1" t="s">
        <v>608</v>
      </c>
      <c r="B601">
        <f>HYPERLINK("https://www.suredividend.com/sure-analysis-TMUS","T-Mobile US, Inc.")</f>
        <v>0</v>
      </c>
      <c r="C601" t="s">
        <v>629</v>
      </c>
      <c r="E601">
        <v>-0.01436002927853708</v>
      </c>
      <c r="F601">
        <v>0.08</v>
      </c>
      <c r="G601">
        <v>0.06449116837918001</v>
      </c>
      <c r="H601" t="s">
        <v>635</v>
      </c>
      <c r="I601" t="s">
        <v>635</v>
      </c>
    </row>
    <row r="602" spans="1:9">
      <c r="A602" s="1" t="s">
        <v>609</v>
      </c>
      <c r="B602">
        <f>HYPERLINK("https://www.suredividend.com/sure-analysis-S","Sprint Corp.")</f>
        <v>0</v>
      </c>
      <c r="C602" t="s">
        <v>629</v>
      </c>
      <c r="E602">
        <v>0.034947314015636</v>
      </c>
      <c r="F602">
        <v>0.02</v>
      </c>
      <c r="G602">
        <v>0.05564626029594888</v>
      </c>
      <c r="H602" t="s">
        <v>635</v>
      </c>
      <c r="I602" t="s">
        <v>635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629</v>
      </c>
      <c r="E603">
        <v>-0.1580849387969524</v>
      </c>
      <c r="F603">
        <v>0.25</v>
      </c>
      <c r="G603">
        <v>0.05239382650380953</v>
      </c>
      <c r="H603" t="s">
        <v>635</v>
      </c>
      <c r="I603" t="s">
        <v>635</v>
      </c>
    </row>
    <row r="604" spans="1:9">
      <c r="A604" s="1" t="s">
        <v>611</v>
      </c>
      <c r="B604">
        <f>HYPERLINK("https://www.suredividend.com/sure-analysis-MKL","Markel Corp.")</f>
        <v>0</v>
      </c>
      <c r="C604" t="s">
        <v>629</v>
      </c>
      <c r="E604">
        <v>-0.02792952447445185</v>
      </c>
      <c r="F604">
        <v>0.08</v>
      </c>
      <c r="G604">
        <v>0.04983611356759199</v>
      </c>
      <c r="H604" t="s">
        <v>635</v>
      </c>
      <c r="I604" t="s">
        <v>635</v>
      </c>
    </row>
    <row r="605" spans="1:9">
      <c r="A605" s="1" t="s">
        <v>612</v>
      </c>
      <c r="B605">
        <f>HYPERLINK("https://www.suredividend.com/sure-analysis-NBR","Nabors Industries Ltd.")</f>
        <v>0</v>
      </c>
      <c r="C605" t="s">
        <v>629</v>
      </c>
      <c r="D605">
        <v>0.030201342281879</v>
      </c>
      <c r="E605">
        <v>0.01749766059747238</v>
      </c>
      <c r="F605">
        <v>0.015</v>
      </c>
      <c r="G605">
        <v>0.04429842870802858</v>
      </c>
      <c r="H605" t="s">
        <v>635</v>
      </c>
      <c r="I605" t="s">
        <v>635</v>
      </c>
    </row>
    <row r="606" spans="1:9">
      <c r="A606" s="1" t="s">
        <v>613</v>
      </c>
      <c r="B606">
        <f>HYPERLINK("https://www.suredividend.com/sure-analysis-AZO","AutoZone, Inc.")</f>
        <v>0</v>
      </c>
      <c r="C606" t="s">
        <v>629</v>
      </c>
      <c r="E606">
        <v>-0.03909001318543148</v>
      </c>
      <c r="F606">
        <v>0.08</v>
      </c>
      <c r="G606">
        <v>0.03778278575973393</v>
      </c>
      <c r="H606" t="s">
        <v>635</v>
      </c>
      <c r="I606" t="s">
        <v>635</v>
      </c>
    </row>
    <row r="607" spans="1:9">
      <c r="A607" s="1" t="s">
        <v>614</v>
      </c>
      <c r="B607">
        <f>HYPERLINK("https://www.suredividend.com/sure-analysis-PTEN","Patterson-UTI Energy, Inc.")</f>
        <v>0</v>
      </c>
      <c r="C607" t="s">
        <v>629</v>
      </c>
      <c r="D607">
        <v>0.015873015873015</v>
      </c>
      <c r="E607">
        <v>0.008197818497166498</v>
      </c>
      <c r="F607">
        <v>0.013</v>
      </c>
      <c r="G607">
        <v>0.03749561488113407</v>
      </c>
      <c r="H607" t="s">
        <v>635</v>
      </c>
      <c r="I607" t="s">
        <v>635</v>
      </c>
    </row>
    <row r="608" spans="1:9">
      <c r="A608" s="1" t="s">
        <v>615</v>
      </c>
      <c r="B608">
        <f>HYPERLINK("https://www.suredividend.com/sure-analysis-VALE","Vale SA")</f>
        <v>0</v>
      </c>
      <c r="C608" t="s">
        <v>629</v>
      </c>
      <c r="E608">
        <v>0.0107678567904117</v>
      </c>
      <c r="F608">
        <v>0.016</v>
      </c>
      <c r="G608">
        <v>0.02694014249905829</v>
      </c>
      <c r="H608" t="s">
        <v>635</v>
      </c>
      <c r="I608" t="s">
        <v>635</v>
      </c>
    </row>
    <row r="609" spans="1:9">
      <c r="A609" s="1" t="s">
        <v>616</v>
      </c>
      <c r="B609">
        <f>HYPERLINK("https://www.suredividend.com/sure-analysis-NOV","National Oilwell Varco, Inc.")</f>
        <v>0</v>
      </c>
      <c r="C609" t="s">
        <v>629</v>
      </c>
      <c r="D609">
        <v>0.008220304151253001</v>
      </c>
      <c r="E609">
        <v>-0.01118021974268413</v>
      </c>
      <c r="F609">
        <v>0.018</v>
      </c>
      <c r="G609">
        <v>0.02571838662016512</v>
      </c>
      <c r="H609" t="s">
        <v>635</v>
      </c>
      <c r="I609" t="s">
        <v>635</v>
      </c>
    </row>
    <row r="610" spans="1:9">
      <c r="A610" s="1" t="s">
        <v>617</v>
      </c>
      <c r="B610">
        <f>HYPERLINK("https://www.suredividend.com/sure-analysis-PEAK","Healthpeak Properties, Inc.")</f>
        <v>0</v>
      </c>
      <c r="C610" t="s">
        <v>630</v>
      </c>
      <c r="E610">
        <v>-0.05775209739339926</v>
      </c>
      <c r="F610">
        <v>0.03</v>
      </c>
      <c r="G610">
        <v>0.01700067828765439</v>
      </c>
      <c r="H610" t="s">
        <v>635</v>
      </c>
      <c r="I610" t="s">
        <v>635</v>
      </c>
    </row>
    <row r="611" spans="1:9">
      <c r="A611" s="1" t="s">
        <v>618</v>
      </c>
      <c r="B611">
        <f>HYPERLINK("https://www.suredividend.com/sure-analysis-KTOS","Kratos Defense &amp; Security Solutions, Inc.")</f>
        <v>0</v>
      </c>
      <c r="C611" t="s">
        <v>629</v>
      </c>
      <c r="E611">
        <v>-0.05049304420770206</v>
      </c>
      <c r="F611">
        <v>0.06</v>
      </c>
      <c r="G611">
        <v>0.006477373139835763</v>
      </c>
      <c r="H611" t="s">
        <v>635</v>
      </c>
      <c r="I611" t="s">
        <v>635</v>
      </c>
    </row>
    <row r="612" spans="1:9">
      <c r="A612" s="1" t="s">
        <v>619</v>
      </c>
      <c r="B612">
        <f>HYPERLINK("https://www.suredividend.com/sure-analysis-JCP","J. C. Penney Co., Inc.")</f>
        <v>0</v>
      </c>
      <c r="C612" t="s">
        <v>629</v>
      </c>
      <c r="E612">
        <v>-0.03367430588112674</v>
      </c>
      <c r="F612">
        <v>0.04</v>
      </c>
      <c r="G612">
        <v>0.004978721883628134</v>
      </c>
      <c r="H612" t="s">
        <v>635</v>
      </c>
      <c r="I612" t="s">
        <v>635</v>
      </c>
    </row>
    <row r="613" spans="1:9">
      <c r="A613" s="1" t="s">
        <v>620</v>
      </c>
      <c r="B613">
        <f>HYPERLINK("https://www.suredividend.com/sure-analysis-TTM","Tata Motors Ltd.")</f>
        <v>0</v>
      </c>
      <c r="C613" t="s">
        <v>629</v>
      </c>
      <c r="E613">
        <v>-0.08524348824543948</v>
      </c>
      <c r="F613">
        <v>0.07000000000000001</v>
      </c>
      <c r="G613">
        <v>-0.02121053242262028</v>
      </c>
      <c r="H613" t="s">
        <v>635</v>
      </c>
      <c r="I613" t="s">
        <v>635</v>
      </c>
    </row>
    <row r="614" spans="1:9">
      <c r="A614" s="1" t="s">
        <v>621</v>
      </c>
      <c r="B614">
        <f>HYPERLINK("https://www.suredividend.com/sure-analysis-LPL","LG Display Co., Ltd.")</f>
        <v>0</v>
      </c>
      <c r="C614" t="s">
        <v>629</v>
      </c>
      <c r="E614">
        <v>-0.06373876987400073</v>
      </c>
      <c r="F614">
        <v>0.027</v>
      </c>
      <c r="G614">
        <v>-0.03845971666059889</v>
      </c>
      <c r="H614" t="s">
        <v>635</v>
      </c>
      <c r="I614" t="s">
        <v>635</v>
      </c>
    </row>
    <row r="615" spans="1:9">
      <c r="A615" s="1" t="s">
        <v>622</v>
      </c>
      <c r="B615">
        <f>HYPERLINK("https://www.suredividend.com/sure-analysis-CMG","Chipotle Mexican Grill, Inc.")</f>
        <v>0</v>
      </c>
      <c r="C615" t="s">
        <v>629</v>
      </c>
      <c r="E615">
        <v>-0.1529054530643911</v>
      </c>
      <c r="F615">
        <v>0.13</v>
      </c>
      <c r="G615">
        <v>-0.042783161962762</v>
      </c>
      <c r="H615" t="s">
        <v>635</v>
      </c>
      <c r="I615" t="s">
        <v>635</v>
      </c>
    </row>
    <row r="616" spans="1:9">
      <c r="A616" s="1" t="s">
        <v>623</v>
      </c>
      <c r="B616">
        <f>HYPERLINK("https://www.suredividend.com/sure-analysis-TSLA","Tesla, Inc.")</f>
        <v>0</v>
      </c>
      <c r="C616" t="s">
        <v>629</v>
      </c>
      <c r="E616">
        <v>-0.1576584149633089</v>
      </c>
      <c r="F616">
        <v>0.12</v>
      </c>
      <c r="G616">
        <v>-0.05657742475890581</v>
      </c>
      <c r="H616" t="s">
        <v>635</v>
      </c>
      <c r="I616" t="s">
        <v>635</v>
      </c>
    </row>
    <row r="617" spans="1:9">
      <c r="A617" s="1" t="s">
        <v>624</v>
      </c>
      <c r="B617">
        <f>HYPERLINK("https://www.suredividend.com/sure-analysis-AMD","Advanced Micro Devices, Inc.")</f>
        <v>0</v>
      </c>
      <c r="C617" t="s">
        <v>629</v>
      </c>
      <c r="E617">
        <v>-0.1837224450331145</v>
      </c>
      <c r="F617">
        <v>0.15</v>
      </c>
      <c r="G617">
        <v>-0.06128081178808176</v>
      </c>
      <c r="H617" t="s">
        <v>635</v>
      </c>
      <c r="I617" t="s">
        <v>635</v>
      </c>
    </row>
    <row r="618" spans="1:9">
      <c r="A618" s="1" t="s">
        <v>625</v>
      </c>
      <c r="B618">
        <f>HYPERLINK("https://www.suredividend.com/sure-analysis-NFLX","Netflix, Inc.")</f>
        <v>0</v>
      </c>
      <c r="C618" t="s">
        <v>629</v>
      </c>
      <c r="E618">
        <v>-0.112978506305313</v>
      </c>
      <c r="F618">
        <v>0.051</v>
      </c>
      <c r="G618">
        <v>-0.06774041012688403</v>
      </c>
      <c r="H618" t="s">
        <v>635</v>
      </c>
      <c r="I618" t="s">
        <v>635</v>
      </c>
    </row>
    <row r="619" spans="1:9">
      <c r="A619" s="1" t="s">
        <v>626</v>
      </c>
      <c r="B619">
        <f>HYPERLINK("https://www.suredividend.com/sure-analysis-APY","Apergy Corp.")</f>
        <v>0</v>
      </c>
      <c r="C619" t="s">
        <v>629</v>
      </c>
      <c r="E619">
        <v>-0.1565665159212306</v>
      </c>
      <c r="F619">
        <v>0</v>
      </c>
      <c r="G619">
        <v>-0.1565665159212306</v>
      </c>
      <c r="H619" t="s">
        <v>635</v>
      </c>
      <c r="I619" t="s">
        <v>635</v>
      </c>
    </row>
    <row r="620" spans="1:9">
      <c r="A620" s="1" t="s">
        <v>627</v>
      </c>
      <c r="B620">
        <f>HYPERLINK("https://www.suredividend.com/sure-analysis-SSI","Stage Stores, Inc.")</f>
        <v>0</v>
      </c>
      <c r="C620" t="s">
        <v>629</v>
      </c>
      <c r="E620">
        <v>-0.3646247862494261</v>
      </c>
      <c r="F620">
        <v>-0.138</v>
      </c>
      <c r="G620">
        <v>-0.3470011530976079</v>
      </c>
      <c r="H620" t="s">
        <v>635</v>
      </c>
      <c r="I620" t="s">
        <v>635</v>
      </c>
    </row>
  </sheetData>
  <autoFilter ref="A1:I620"/>
  <conditionalFormatting sqref="A1:I1">
    <cfRule type="cellIs" dxfId="6" priority="10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0" priority="3" operator="notEqual">
      <formula>-13.345</formula>
    </cfRule>
  </conditionalFormatting>
  <conditionalFormatting sqref="D2:D620">
    <cfRule type="cellIs" dxfId="5" priority="4" operator="notEqual">
      <formula>-13.345</formula>
    </cfRule>
  </conditionalFormatting>
  <conditionalFormatting sqref="E2:E620">
    <cfRule type="cellIs" dxfId="5" priority="5" operator="notEqual">
      <formula>-13.345</formula>
    </cfRule>
  </conditionalFormatting>
  <conditionalFormatting sqref="F2:F620">
    <cfRule type="cellIs" dxfId="5" priority="6" operator="notEqual">
      <formula>-13.345</formula>
    </cfRule>
  </conditionalFormatting>
  <conditionalFormatting sqref="G2:G620">
    <cfRule type="cellIs" dxfId="5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636</v>
      </c>
      <c r="D1" s="1" t="s">
        <v>637</v>
      </c>
      <c r="E1" s="1" t="s">
        <v>638</v>
      </c>
      <c r="F1" s="1" t="s">
        <v>1</v>
      </c>
      <c r="G1" s="1" t="s">
        <v>639</v>
      </c>
      <c r="H1" s="1" t="s">
        <v>640</v>
      </c>
      <c r="I1" s="1" t="s">
        <v>641</v>
      </c>
      <c r="J1" s="1" t="s">
        <v>642</v>
      </c>
      <c r="K1" s="1" t="s">
        <v>643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644</v>
      </c>
      <c r="S1" s="1" t="s">
        <v>645</v>
      </c>
      <c r="T1" s="1" t="s">
        <v>646</v>
      </c>
      <c r="U1" s="1" t="s">
        <v>647</v>
      </c>
      <c r="V1" s="1" t="s">
        <v>648</v>
      </c>
      <c r="W1" s="1" t="s">
        <v>649</v>
      </c>
      <c r="X1" s="1" t="s">
        <v>650</v>
      </c>
      <c r="Y1" s="1" t="s">
        <v>651</v>
      </c>
      <c r="Z1" s="1" t="s">
        <v>652</v>
      </c>
      <c r="AA1" s="1" t="s">
        <v>653</v>
      </c>
      <c r="AB1" s="1" t="s">
        <v>654</v>
      </c>
      <c r="AC1" s="1" t="s">
        <v>655</v>
      </c>
      <c r="AD1" s="1" t="s">
        <v>656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45.2</v>
      </c>
      <c r="D2">
        <v>10317.4876</v>
      </c>
      <c r="E2" t="s">
        <v>657</v>
      </c>
      <c r="F2" t="s">
        <v>629</v>
      </c>
      <c r="G2" t="s">
        <v>673</v>
      </c>
      <c r="H2" t="s">
        <v>703</v>
      </c>
      <c r="I2" t="s">
        <v>708</v>
      </c>
      <c r="J2" t="s">
        <v>1308</v>
      </c>
      <c r="K2">
        <v>43759</v>
      </c>
      <c r="L2">
        <v>0.001769911504424</v>
      </c>
      <c r="M2">
        <v>0.07203337901454931</v>
      </c>
      <c r="N2">
        <v>0.08</v>
      </c>
      <c r="O2">
        <v>0.1587793483849356</v>
      </c>
      <c r="P2" t="s">
        <v>633</v>
      </c>
      <c r="Q2" t="s">
        <v>405</v>
      </c>
      <c r="R2">
        <v>0</v>
      </c>
      <c r="S2">
        <v>0.02133333333333333</v>
      </c>
      <c r="T2">
        <v>64</v>
      </c>
      <c r="U2">
        <v>0.70625</v>
      </c>
      <c r="V2">
        <v>3.679</v>
      </c>
      <c r="W2">
        <v>3.75</v>
      </c>
      <c r="X2">
        <v>0.08</v>
      </c>
      <c r="Y2">
        <v>-0.006811999999999999</v>
      </c>
      <c r="Z2">
        <v>0.003430531732418525</v>
      </c>
      <c r="AA2">
        <v>0.1601941747572815</v>
      </c>
      <c r="AB2">
        <v>0.8182552504038771</v>
      </c>
      <c r="AC2">
        <v>0.9854604200323103</v>
      </c>
      <c r="AD2">
        <v>0.9757673667205169</v>
      </c>
    </row>
    <row r="3" spans="1:30">
      <c r="A3" s="1" t="s">
        <v>10</v>
      </c>
      <c r="B3">
        <f>HYPERLINK("https://www.suredividend.com/sure-analysis-OZK","Bank OZK")</f>
        <v>0</v>
      </c>
      <c r="C3">
        <v>30.93</v>
      </c>
      <c r="D3">
        <v>3977.62893</v>
      </c>
      <c r="E3" t="s">
        <v>658</v>
      </c>
      <c r="F3" t="s">
        <v>629</v>
      </c>
      <c r="G3" t="s">
        <v>673</v>
      </c>
      <c r="H3" t="s">
        <v>704</v>
      </c>
      <c r="I3" t="s">
        <v>709</v>
      </c>
      <c r="J3" t="s">
        <v>1309</v>
      </c>
      <c r="K3">
        <v>43756</v>
      </c>
      <c r="L3">
        <v>0.02909796314258</v>
      </c>
      <c r="M3">
        <v>0.04745877023974199</v>
      </c>
      <c r="N3">
        <v>0.06</v>
      </c>
      <c r="O3">
        <v>0.1349457040853803</v>
      </c>
      <c r="P3" t="s">
        <v>633</v>
      </c>
      <c r="Q3" t="s">
        <v>633</v>
      </c>
      <c r="R3">
        <v>23</v>
      </c>
      <c r="S3">
        <v>0.2647058823529412</v>
      </c>
      <c r="T3">
        <v>39</v>
      </c>
      <c r="U3">
        <v>0.7930769230769231</v>
      </c>
      <c r="V3">
        <v>3.4162</v>
      </c>
      <c r="W3">
        <v>3.4</v>
      </c>
      <c r="X3">
        <v>0.9</v>
      </c>
      <c r="Y3">
        <v>0.427319</v>
      </c>
      <c r="Z3">
        <v>0.4922813036020583</v>
      </c>
      <c r="AA3">
        <v>0.8042071197411004</v>
      </c>
      <c r="AB3">
        <v>0.6130856219709209</v>
      </c>
      <c r="AC3">
        <v>0.9628432956381261</v>
      </c>
      <c r="AD3">
        <v>0.9547657512116317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774</v>
      </c>
      <c r="D4">
        <v>609.138</v>
      </c>
      <c r="E4" t="s">
        <v>659</v>
      </c>
      <c r="F4" t="s">
        <v>629</v>
      </c>
      <c r="G4" t="s">
        <v>673</v>
      </c>
      <c r="H4" t="s">
        <v>705</v>
      </c>
      <c r="I4" t="s">
        <v>710</v>
      </c>
      <c r="J4" t="s">
        <v>1309</v>
      </c>
      <c r="K4">
        <v>43780</v>
      </c>
      <c r="L4">
        <v>0.018152454780361</v>
      </c>
      <c r="M4">
        <v>0.06289329562524149</v>
      </c>
      <c r="N4">
        <v>0.05</v>
      </c>
      <c r="O4">
        <v>0.1284647824318386</v>
      </c>
      <c r="P4" t="s">
        <v>633</v>
      </c>
      <c r="Q4" t="s">
        <v>633</v>
      </c>
      <c r="R4">
        <v>56</v>
      </c>
      <c r="S4">
        <v>0.2007142857142857</v>
      </c>
      <c r="T4">
        <v>1050</v>
      </c>
      <c r="U4">
        <v>0.7371428571428571</v>
      </c>
      <c r="V4">
        <v>69.2706</v>
      </c>
      <c r="W4">
        <v>70</v>
      </c>
      <c r="X4">
        <v>14.05</v>
      </c>
      <c r="Y4">
        <v>0.112069</v>
      </c>
      <c r="Z4">
        <v>0.2521440823327616</v>
      </c>
      <c r="AA4">
        <v>0.2944983818770227</v>
      </c>
      <c r="AB4">
        <v>0.4588045234248789</v>
      </c>
      <c r="AC4">
        <v>0.9789983844911148</v>
      </c>
      <c r="AD4">
        <v>0.9418416801292407</v>
      </c>
    </row>
    <row r="5" spans="1:30">
      <c r="A5" s="1" t="s">
        <v>12</v>
      </c>
      <c r="B5">
        <f>HYPERLINK("https://www.suredividend.com/sure-analysis-WBA","Walgreens Boots Alliance, Inc.")</f>
        <v>0</v>
      </c>
      <c r="C5">
        <v>58.39</v>
      </c>
      <c r="D5">
        <v>51849.56093</v>
      </c>
      <c r="E5" t="s">
        <v>658</v>
      </c>
      <c r="F5" t="s">
        <v>629</v>
      </c>
      <c r="G5" t="s">
        <v>673</v>
      </c>
      <c r="H5" t="s">
        <v>704</v>
      </c>
      <c r="I5" t="s">
        <v>711</v>
      </c>
      <c r="J5" t="s">
        <v>1310</v>
      </c>
      <c r="K5">
        <v>43766</v>
      </c>
      <c r="L5">
        <v>0.030441856482274</v>
      </c>
      <c r="M5">
        <v>0.04279467366953882</v>
      </c>
      <c r="N5">
        <v>0.05</v>
      </c>
      <c r="O5">
        <v>0.1218801108272836</v>
      </c>
      <c r="P5" t="s">
        <v>633</v>
      </c>
      <c r="Q5" t="s">
        <v>633</v>
      </c>
      <c r="R5">
        <v>43</v>
      </c>
      <c r="S5">
        <v>0.29625</v>
      </c>
      <c r="T5">
        <v>72</v>
      </c>
      <c r="U5">
        <v>0.8109722222222222</v>
      </c>
      <c r="V5">
        <v>4.3126</v>
      </c>
      <c r="W5">
        <v>6</v>
      </c>
      <c r="X5">
        <v>1.7775</v>
      </c>
      <c r="Y5">
        <v>-0.131876</v>
      </c>
      <c r="Z5">
        <v>0.5214408233276158</v>
      </c>
      <c r="AA5">
        <v>0.07281553398058253</v>
      </c>
      <c r="AB5">
        <v>0.4588045234248789</v>
      </c>
      <c r="AC5">
        <v>0.9531502423263327</v>
      </c>
      <c r="AD5">
        <v>0.924071082390953</v>
      </c>
    </row>
    <row r="6" spans="1:30">
      <c r="A6" s="1" t="s">
        <v>13</v>
      </c>
      <c r="B6">
        <f>HYPERLINK("https://www.suredividend.com/sure-analysis-AMP","Ameriprise Financial, Inc.")</f>
        <v>0</v>
      </c>
      <c r="C6">
        <v>168.09</v>
      </c>
      <c r="D6">
        <v>21296.33064</v>
      </c>
      <c r="E6" t="s">
        <v>660</v>
      </c>
      <c r="F6" t="s">
        <v>629</v>
      </c>
      <c r="G6" t="s">
        <v>673</v>
      </c>
      <c r="H6" t="s">
        <v>703</v>
      </c>
      <c r="I6" t="s">
        <v>712</v>
      </c>
      <c r="J6" t="s">
        <v>1309</v>
      </c>
      <c r="K6">
        <v>43761</v>
      </c>
      <c r="L6">
        <v>0.022249985127015</v>
      </c>
      <c r="M6">
        <v>0.01935620348287292</v>
      </c>
      <c r="N6">
        <v>0.08</v>
      </c>
      <c r="O6">
        <v>0.1201318324841862</v>
      </c>
      <c r="P6" t="s">
        <v>633</v>
      </c>
      <c r="Q6" t="s">
        <v>634</v>
      </c>
      <c r="R6">
        <v>15</v>
      </c>
      <c r="S6">
        <v>0.2322981366459627</v>
      </c>
      <c r="T6">
        <v>185</v>
      </c>
      <c r="U6">
        <v>0.9085945945945946</v>
      </c>
      <c r="V6">
        <v>14.3619</v>
      </c>
      <c r="W6">
        <v>16.1</v>
      </c>
      <c r="X6">
        <v>3.74</v>
      </c>
      <c r="Y6">
        <v>0.675705</v>
      </c>
      <c r="Z6">
        <v>0.3430531732418525</v>
      </c>
      <c r="AA6">
        <v>0.9466019417475728</v>
      </c>
      <c r="AB6">
        <v>0.8182552504038771</v>
      </c>
      <c r="AC6">
        <v>0.8562197092084007</v>
      </c>
      <c r="AD6">
        <v>0.9176090468497577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228.93</v>
      </c>
      <c r="D7">
        <v>81061.13691</v>
      </c>
      <c r="E7" t="s">
        <v>661</v>
      </c>
      <c r="F7" t="s">
        <v>629</v>
      </c>
      <c r="G7" t="s">
        <v>673</v>
      </c>
      <c r="H7" t="s">
        <v>703</v>
      </c>
      <c r="I7" t="s">
        <v>713</v>
      </c>
      <c r="J7" t="s">
        <v>1309</v>
      </c>
      <c r="K7">
        <v>43755</v>
      </c>
      <c r="L7">
        <v>0.016162145634036</v>
      </c>
      <c r="M7">
        <v>0.01531043328313264</v>
      </c>
      <c r="N7">
        <v>0.08</v>
      </c>
      <c r="O7">
        <v>0.1148943599916632</v>
      </c>
      <c r="P7" t="s">
        <v>633</v>
      </c>
      <c r="Q7" t="s">
        <v>494</v>
      </c>
      <c r="R7">
        <v>9</v>
      </c>
      <c r="S7">
        <v>0.1681818181818182</v>
      </c>
      <c r="T7">
        <v>247</v>
      </c>
      <c r="U7">
        <v>0.9268421052631579</v>
      </c>
      <c r="V7">
        <v>22.5788</v>
      </c>
      <c r="W7">
        <v>22</v>
      </c>
      <c r="X7">
        <v>3.7</v>
      </c>
      <c r="Y7">
        <v>0.430366</v>
      </c>
      <c r="Z7">
        <v>0.202401372212693</v>
      </c>
      <c r="AA7">
        <v>0.8074433656957929</v>
      </c>
      <c r="AB7">
        <v>0.8182552504038771</v>
      </c>
      <c r="AC7">
        <v>0.8239095315024233</v>
      </c>
      <c r="AD7">
        <v>0.8966074313408724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22.39</v>
      </c>
      <c r="D8">
        <v>6796.9323</v>
      </c>
      <c r="E8" t="s">
        <v>661</v>
      </c>
      <c r="F8" t="s">
        <v>629</v>
      </c>
      <c r="G8" t="s">
        <v>673</v>
      </c>
      <c r="H8" t="s">
        <v>703</v>
      </c>
      <c r="I8" t="s">
        <v>714</v>
      </c>
      <c r="J8" t="s">
        <v>1309</v>
      </c>
      <c r="K8">
        <v>43766</v>
      </c>
      <c r="L8">
        <v>0.03550692273336301</v>
      </c>
      <c r="M8">
        <v>0.01398476453982189</v>
      </c>
      <c r="N8">
        <v>0.07000000000000001</v>
      </c>
      <c r="O8">
        <v>0.1123503219568034</v>
      </c>
      <c r="P8" t="s">
        <v>633</v>
      </c>
      <c r="Q8" t="s">
        <v>633</v>
      </c>
      <c r="R8">
        <v>38</v>
      </c>
      <c r="S8">
        <v>0.418421052631579</v>
      </c>
      <c r="T8">
        <v>24</v>
      </c>
      <c r="U8">
        <v>0.9329166666666667</v>
      </c>
      <c r="V8">
        <v>2.2514</v>
      </c>
      <c r="W8">
        <v>1.9</v>
      </c>
      <c r="X8">
        <v>0.795</v>
      </c>
      <c r="Y8">
        <v>0.086893</v>
      </c>
      <c r="Z8">
        <v>0.5883361921097771</v>
      </c>
      <c r="AA8">
        <v>0.2669902912621359</v>
      </c>
      <c r="AB8">
        <v>0.7245557350565428</v>
      </c>
      <c r="AC8">
        <v>0.8126009693053312</v>
      </c>
      <c r="AD8">
        <v>0.8836833602584814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137.64</v>
      </c>
      <c r="D9">
        <v>24801.07632</v>
      </c>
      <c r="E9" t="s">
        <v>661</v>
      </c>
      <c r="F9" t="s">
        <v>629</v>
      </c>
      <c r="G9" t="s">
        <v>673</v>
      </c>
      <c r="H9" t="s">
        <v>703</v>
      </c>
      <c r="I9" t="s">
        <v>715</v>
      </c>
      <c r="J9" t="s">
        <v>1311</v>
      </c>
      <c r="K9">
        <v>43780</v>
      </c>
      <c r="L9">
        <v>0.01147922115664</v>
      </c>
      <c r="M9">
        <v>0.04557877019519951</v>
      </c>
      <c r="N9">
        <v>0.05</v>
      </c>
      <c r="O9">
        <v>0.1079816936317539</v>
      </c>
      <c r="P9" t="s">
        <v>633</v>
      </c>
      <c r="Q9" t="s">
        <v>494</v>
      </c>
      <c r="R9">
        <v>11</v>
      </c>
      <c r="S9">
        <v>0.1104895104895105</v>
      </c>
      <c r="T9">
        <v>172</v>
      </c>
      <c r="U9">
        <v>0.8002325581395348</v>
      </c>
      <c r="V9">
        <v>-3.4891</v>
      </c>
      <c r="W9">
        <v>14.3</v>
      </c>
      <c r="X9">
        <v>1.58</v>
      </c>
      <c r="Y9">
        <v>0.270445</v>
      </c>
      <c r="Z9">
        <v>0.09262435677530018</v>
      </c>
      <c r="AA9">
        <v>0.5906148867313916</v>
      </c>
      <c r="AB9">
        <v>0.4588045234248789</v>
      </c>
      <c r="AC9">
        <v>0.9579967689822294</v>
      </c>
      <c r="AD9">
        <v>0.862681744749596</v>
      </c>
    </row>
    <row r="10" spans="1:30">
      <c r="A10" s="1" t="s">
        <v>17</v>
      </c>
      <c r="B10">
        <f>HYPERLINK("https://www.suredividend.com/sure-analysis-ABC","AmerisourceBergen Corp.")</f>
        <v>0</v>
      </c>
      <c r="C10">
        <v>85.67</v>
      </c>
      <c r="D10">
        <v>17641.33774</v>
      </c>
      <c r="E10" t="s">
        <v>658</v>
      </c>
      <c r="F10" t="s">
        <v>629</v>
      </c>
      <c r="G10" t="s">
        <v>673</v>
      </c>
      <c r="H10" t="s">
        <v>703</v>
      </c>
      <c r="I10" t="s">
        <v>716</v>
      </c>
      <c r="J10" t="s">
        <v>1311</v>
      </c>
      <c r="K10">
        <v>43779</v>
      </c>
      <c r="L10">
        <v>0.018676316096649</v>
      </c>
      <c r="M10">
        <v>0.02934577324903853</v>
      </c>
      <c r="N10">
        <v>0.06</v>
      </c>
      <c r="O10">
        <v>0.1073539613441277</v>
      </c>
      <c r="P10" t="s">
        <v>633</v>
      </c>
      <c r="Q10" t="s">
        <v>634</v>
      </c>
      <c r="R10">
        <v>14</v>
      </c>
      <c r="S10">
        <v>0.2269503546099291</v>
      </c>
      <c r="T10">
        <v>99</v>
      </c>
      <c r="U10">
        <v>0.8653535353535353</v>
      </c>
      <c r="V10">
        <v>4.0677</v>
      </c>
      <c r="W10">
        <v>7.05</v>
      </c>
      <c r="X10">
        <v>1.6</v>
      </c>
      <c r="Y10">
        <v>0.190192</v>
      </c>
      <c r="Z10">
        <v>0.2675814751286449</v>
      </c>
      <c r="AA10">
        <v>0.4368932038834952</v>
      </c>
      <c r="AB10">
        <v>0.6130856219709209</v>
      </c>
      <c r="AC10">
        <v>0.9127625201938611</v>
      </c>
      <c r="AD10">
        <v>0.8562197092084007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47.34</v>
      </c>
      <c r="D11">
        <v>4086.6255</v>
      </c>
      <c r="E11" t="s">
        <v>659</v>
      </c>
      <c r="F11" t="s">
        <v>629</v>
      </c>
      <c r="G11" t="s">
        <v>673</v>
      </c>
      <c r="H11" t="s">
        <v>703</v>
      </c>
      <c r="I11" t="s">
        <v>717</v>
      </c>
      <c r="J11" t="s">
        <v>1312</v>
      </c>
      <c r="K11">
        <v>43787</v>
      </c>
      <c r="L11">
        <v>0.036332910857625</v>
      </c>
      <c r="M11">
        <v>0.05882078772010413</v>
      </c>
      <c r="N11">
        <v>0.02</v>
      </c>
      <c r="O11">
        <v>0.1071400932106632</v>
      </c>
      <c r="P11" t="s">
        <v>633</v>
      </c>
      <c r="Q11" t="s">
        <v>633</v>
      </c>
      <c r="R11">
        <v>48</v>
      </c>
      <c r="S11">
        <v>0.4985507246376811</v>
      </c>
      <c r="T11">
        <v>63</v>
      </c>
      <c r="U11">
        <v>0.7514285714285714</v>
      </c>
      <c r="V11">
        <v>3.5296</v>
      </c>
      <c r="W11">
        <v>3.45</v>
      </c>
      <c r="X11">
        <v>1.72</v>
      </c>
      <c r="Y11">
        <v>-0.109816</v>
      </c>
      <c r="Z11">
        <v>0.6020583190394511</v>
      </c>
      <c r="AA11">
        <v>0.0825242718446602</v>
      </c>
      <c r="AB11">
        <v>0.1219709208400646</v>
      </c>
      <c r="AC11">
        <v>0.9773828756058158</v>
      </c>
      <c r="AD11">
        <v>0.8546042003231018</v>
      </c>
    </row>
    <row r="12" spans="1:30">
      <c r="A12" s="1" t="s">
        <v>19</v>
      </c>
      <c r="B12">
        <f>HYPERLINK("https://www.suredividend.com/sure-analysis-FDX","FedEx Corp.")</f>
        <v>0</v>
      </c>
      <c r="C12">
        <v>148.12</v>
      </c>
      <c r="D12">
        <v>38676.94628</v>
      </c>
      <c r="E12" t="s">
        <v>662</v>
      </c>
      <c r="F12" t="s">
        <v>629</v>
      </c>
      <c r="G12" t="s">
        <v>673</v>
      </c>
      <c r="H12" t="s">
        <v>703</v>
      </c>
      <c r="I12" t="s">
        <v>718</v>
      </c>
      <c r="J12" t="s">
        <v>1313</v>
      </c>
      <c r="K12">
        <v>43819</v>
      </c>
      <c r="L12">
        <v>0.017553335133675</v>
      </c>
      <c r="M12">
        <v>0.01932993907468838</v>
      </c>
      <c r="N12">
        <v>0.07000000000000001</v>
      </c>
      <c r="O12">
        <v>0.106862832910001</v>
      </c>
      <c r="P12" t="s">
        <v>633</v>
      </c>
      <c r="Q12" t="s">
        <v>634</v>
      </c>
      <c r="R12">
        <v>17</v>
      </c>
      <c r="S12">
        <v>0.2389705882352941</v>
      </c>
      <c r="T12">
        <v>163</v>
      </c>
      <c r="U12">
        <v>0.9087116564417178</v>
      </c>
      <c r="V12">
        <v>0.289</v>
      </c>
      <c r="W12">
        <v>10.88</v>
      </c>
      <c r="X12">
        <v>2.6</v>
      </c>
      <c r="Y12">
        <v>-0.06253199999999999</v>
      </c>
      <c r="Z12">
        <v>0.2367066895368782</v>
      </c>
      <c r="AA12">
        <v>0.1035598705501618</v>
      </c>
      <c r="AB12">
        <v>0.7245557350565428</v>
      </c>
      <c r="AC12">
        <v>0.8546042003231018</v>
      </c>
      <c r="AD12">
        <v>0.851373182552504</v>
      </c>
    </row>
    <row r="13" spans="1:30">
      <c r="A13" s="1" t="s">
        <v>20</v>
      </c>
      <c r="B13">
        <f>HYPERLINK("https://www.suredividend.com/sure-analysis-ALB","Albemarle Corp.")</f>
        <v>0</v>
      </c>
      <c r="C13">
        <v>70.36</v>
      </c>
      <c r="D13">
        <v>7460.48188</v>
      </c>
      <c r="E13" t="s">
        <v>660</v>
      </c>
      <c r="F13" t="s">
        <v>629</v>
      </c>
      <c r="G13" t="s">
        <v>673</v>
      </c>
      <c r="H13" t="s">
        <v>703</v>
      </c>
      <c r="I13" t="s">
        <v>719</v>
      </c>
      <c r="J13" t="s">
        <v>1314</v>
      </c>
      <c r="K13">
        <v>43775</v>
      </c>
      <c r="L13">
        <v>0.02043064241046</v>
      </c>
      <c r="M13">
        <v>0.007394106653087151</v>
      </c>
      <c r="N13">
        <v>0.08</v>
      </c>
      <c r="O13">
        <v>0.1062567192505164</v>
      </c>
      <c r="P13" t="s">
        <v>633</v>
      </c>
      <c r="Q13" t="s">
        <v>634</v>
      </c>
      <c r="R13">
        <v>25</v>
      </c>
      <c r="S13">
        <v>0.2348856209150327</v>
      </c>
      <c r="T13">
        <v>73</v>
      </c>
      <c r="U13">
        <v>0.9638356164383561</v>
      </c>
      <c r="V13">
        <v>5.4028</v>
      </c>
      <c r="W13">
        <v>6.12</v>
      </c>
      <c r="X13">
        <v>1.4375</v>
      </c>
      <c r="Y13">
        <v>-0.059861</v>
      </c>
      <c r="Z13">
        <v>0.3138936535162951</v>
      </c>
      <c r="AA13">
        <v>0.1051779935275081</v>
      </c>
      <c r="AB13">
        <v>0.8182552504038771</v>
      </c>
      <c r="AC13">
        <v>0.7673667205169629</v>
      </c>
      <c r="AD13">
        <v>0.8481421647819063</v>
      </c>
    </row>
    <row r="14" spans="1:30">
      <c r="A14" s="1" t="s">
        <v>21</v>
      </c>
      <c r="B14">
        <f>HYPERLINK("https://www.suredividend.com/sure-analysis-PNGAY","Ping An Insurance (Group) Co. of China Ltd.")</f>
        <v>0</v>
      </c>
      <c r="C14">
        <v>23.65</v>
      </c>
      <c r="D14">
        <v>88067.6335</v>
      </c>
      <c r="E14" t="s">
        <v>663</v>
      </c>
      <c r="F14" t="s">
        <v>629</v>
      </c>
      <c r="G14" t="s">
        <v>674</v>
      </c>
      <c r="H14" t="s">
        <v>705</v>
      </c>
      <c r="I14" t="s">
        <v>720</v>
      </c>
      <c r="J14" t="s">
        <v>1309</v>
      </c>
      <c r="K14">
        <v>43733</v>
      </c>
      <c r="L14">
        <v>0.00742266384778</v>
      </c>
      <c r="M14">
        <v>0.002942463654836747</v>
      </c>
      <c r="N14">
        <v>0.08</v>
      </c>
      <c r="O14">
        <v>0.1035764478594559</v>
      </c>
      <c r="P14" t="s">
        <v>633</v>
      </c>
      <c r="Q14" t="s">
        <v>405</v>
      </c>
      <c r="R14">
        <v>6</v>
      </c>
      <c r="S14">
        <v>0.09387486631016041</v>
      </c>
      <c r="T14">
        <v>24</v>
      </c>
      <c r="U14">
        <v>0.9854166666666666</v>
      </c>
      <c r="V14">
        <v>1.0348</v>
      </c>
      <c r="W14">
        <v>1.87</v>
      </c>
      <c r="X14">
        <v>0.175546</v>
      </c>
      <c r="Y14">
        <v>0.2376</v>
      </c>
      <c r="Z14">
        <v>0.0274442538593482</v>
      </c>
      <c r="AA14">
        <v>0.5323624595469255</v>
      </c>
      <c r="AB14">
        <v>0.8182552504038771</v>
      </c>
      <c r="AC14">
        <v>0.7334410339256866</v>
      </c>
      <c r="AD14">
        <v>0.8319870759289176</v>
      </c>
    </row>
    <row r="15" spans="1:30">
      <c r="A15" s="1" t="s">
        <v>22</v>
      </c>
      <c r="B15">
        <f>HYPERLINK("https://www.suredividend.com/sure-analysis-IMO","Imperial Oil Ltd.")</f>
        <v>0</v>
      </c>
      <c r="C15">
        <v>25.84</v>
      </c>
      <c r="D15">
        <v>19456.17632</v>
      </c>
      <c r="E15" t="s">
        <v>659</v>
      </c>
      <c r="F15" t="s">
        <v>629</v>
      </c>
      <c r="G15" t="s">
        <v>675</v>
      </c>
      <c r="H15" t="s">
        <v>706</v>
      </c>
      <c r="I15" t="s">
        <v>721</v>
      </c>
      <c r="J15" t="s">
        <v>1312</v>
      </c>
      <c r="K15">
        <v>43781</v>
      </c>
      <c r="L15">
        <v>0.023909360746147</v>
      </c>
      <c r="M15">
        <v>0.0088213179340495</v>
      </c>
      <c r="N15">
        <v>0.07000000000000001</v>
      </c>
      <c r="O15">
        <v>0.1015219123892543</v>
      </c>
      <c r="P15" t="s">
        <v>633</v>
      </c>
      <c r="Q15" t="s">
        <v>633</v>
      </c>
      <c r="R15">
        <v>24</v>
      </c>
      <c r="S15">
        <v>0.2574241173668513</v>
      </c>
      <c r="T15">
        <v>27</v>
      </c>
      <c r="U15">
        <v>0.957037037037037</v>
      </c>
      <c r="V15">
        <v>2.7054</v>
      </c>
      <c r="W15">
        <v>2.4</v>
      </c>
      <c r="X15">
        <v>0.617817881680443</v>
      </c>
      <c r="Y15">
        <v>0.014925</v>
      </c>
      <c r="Z15">
        <v>0.3790737564322469</v>
      </c>
      <c r="AA15">
        <v>0.1877022653721683</v>
      </c>
      <c r="AB15">
        <v>0.7245557350565428</v>
      </c>
      <c r="AC15">
        <v>0.7802907915993538</v>
      </c>
      <c r="AD15">
        <v>0.8190630048465266</v>
      </c>
    </row>
    <row r="16" spans="1:30">
      <c r="A16" s="1" t="s">
        <v>23</v>
      </c>
      <c r="B16">
        <f>HYPERLINK("https://www.suredividend.com/sure-analysis-ALLY","Ally Financial, Inc.")</f>
        <v>0</v>
      </c>
      <c r="C16">
        <v>30.81</v>
      </c>
      <c r="D16">
        <v>11709.92589</v>
      </c>
      <c r="E16" t="s">
        <v>663</v>
      </c>
      <c r="F16" t="s">
        <v>629</v>
      </c>
      <c r="G16" t="s">
        <v>673</v>
      </c>
      <c r="H16" t="s">
        <v>703</v>
      </c>
      <c r="I16" t="s">
        <v>722</v>
      </c>
      <c r="J16" t="s">
        <v>1309</v>
      </c>
      <c r="K16">
        <v>43757</v>
      </c>
      <c r="L16">
        <v>0.021421616358325</v>
      </c>
      <c r="M16">
        <v>0.007608113773898584</v>
      </c>
      <c r="N16">
        <v>0.06</v>
      </c>
      <c r="O16">
        <v>0.08998957578367306</v>
      </c>
      <c r="P16" t="s">
        <v>633</v>
      </c>
      <c r="Q16" t="s">
        <v>634</v>
      </c>
      <c r="R16">
        <v>8</v>
      </c>
      <c r="S16">
        <v>0.1774193548387097</v>
      </c>
      <c r="T16">
        <v>32</v>
      </c>
      <c r="U16">
        <v>0.9628125</v>
      </c>
      <c r="V16">
        <v>4.0678</v>
      </c>
      <c r="W16">
        <v>3.72</v>
      </c>
      <c r="X16">
        <v>0.66</v>
      </c>
      <c r="Y16">
        <v>0.446479</v>
      </c>
      <c r="Z16">
        <v>0.3310463121783876</v>
      </c>
      <c r="AA16">
        <v>0.8203883495145631</v>
      </c>
      <c r="AB16">
        <v>0.6130856219709209</v>
      </c>
      <c r="AC16">
        <v>0.7689822294022618</v>
      </c>
      <c r="AD16">
        <v>0.7415185783521809</v>
      </c>
    </row>
    <row r="17" spans="1:30">
      <c r="A17" s="1" t="s">
        <v>24</v>
      </c>
      <c r="B17">
        <f>HYPERLINK("https://www.suredividend.com/sure-analysis-BEN","Franklin Resources, Inc.")</f>
        <v>0</v>
      </c>
      <c r="C17">
        <v>25.8</v>
      </c>
      <c r="D17">
        <v>12850.206</v>
      </c>
      <c r="E17" t="s">
        <v>658</v>
      </c>
      <c r="F17" t="s">
        <v>629</v>
      </c>
      <c r="G17" t="s">
        <v>673</v>
      </c>
      <c r="H17" t="s">
        <v>703</v>
      </c>
      <c r="I17" t="s">
        <v>723</v>
      </c>
      <c r="J17" t="s">
        <v>1309</v>
      </c>
      <c r="K17">
        <v>43763</v>
      </c>
      <c r="L17">
        <v>0.040310077519379</v>
      </c>
      <c r="M17">
        <v>0.03062413800126618</v>
      </c>
      <c r="N17">
        <v>0.02</v>
      </c>
      <c r="O17">
        <v>0.08690299964209891</v>
      </c>
      <c r="P17" t="s">
        <v>633</v>
      </c>
      <c r="Q17" t="s">
        <v>633</v>
      </c>
      <c r="R17">
        <v>39</v>
      </c>
      <c r="S17">
        <v>0.3781818181818182</v>
      </c>
      <c r="T17">
        <v>30</v>
      </c>
      <c r="U17">
        <v>0.86</v>
      </c>
      <c r="V17">
        <v>2.3562</v>
      </c>
      <c r="W17">
        <v>2.75</v>
      </c>
      <c r="X17">
        <v>1.04</v>
      </c>
      <c r="Y17">
        <v>-0.09154899999999999</v>
      </c>
      <c r="Z17">
        <v>0.6586620926243567</v>
      </c>
      <c r="AA17">
        <v>0.0889967637540453</v>
      </c>
      <c r="AB17">
        <v>0.1219709208400646</v>
      </c>
      <c r="AC17">
        <v>0.9192245557350566</v>
      </c>
      <c r="AD17">
        <v>0.7269789983844912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210</v>
      </c>
      <c r="D18">
        <v>78624</v>
      </c>
      <c r="E18" t="s">
        <v>660</v>
      </c>
      <c r="F18" t="s">
        <v>629</v>
      </c>
      <c r="G18" t="s">
        <v>673</v>
      </c>
      <c r="H18" t="s">
        <v>703</v>
      </c>
      <c r="I18" t="s">
        <v>724</v>
      </c>
      <c r="J18" t="s">
        <v>1315</v>
      </c>
      <c r="K18">
        <v>43768</v>
      </c>
      <c r="L18">
        <v>0.009904761904761</v>
      </c>
      <c r="M18">
        <v>-0.0282144910993144</v>
      </c>
      <c r="N18">
        <v>0.1</v>
      </c>
      <c r="O18">
        <v>0.08632009553195341</v>
      </c>
      <c r="P18" t="s">
        <v>633</v>
      </c>
      <c r="Q18" t="s">
        <v>494</v>
      </c>
      <c r="R18">
        <v>26</v>
      </c>
      <c r="S18">
        <v>0.2515114873035067</v>
      </c>
      <c r="T18">
        <v>182</v>
      </c>
      <c r="U18">
        <v>1.153846153846154</v>
      </c>
      <c r="V18">
        <v>9.162800000000001</v>
      </c>
      <c r="W18">
        <v>8.27</v>
      </c>
      <c r="X18">
        <v>2.08</v>
      </c>
      <c r="Y18">
        <v>0.39322</v>
      </c>
      <c r="Z18">
        <v>0.06518010291595197</v>
      </c>
      <c r="AA18">
        <v>0.7475728155339806</v>
      </c>
      <c r="AB18">
        <v>0.931340872374798</v>
      </c>
      <c r="AC18">
        <v>0.481421647819063</v>
      </c>
      <c r="AD18">
        <v>0.7205169628432957</v>
      </c>
    </row>
    <row r="19" spans="1:30">
      <c r="A19" s="1" t="s">
        <v>26</v>
      </c>
      <c r="B19">
        <f>HYPERLINK("https://www.suredividend.com/sure-analysis-DCI","Donaldson Co., Inc.")</f>
        <v>0</v>
      </c>
      <c r="C19">
        <v>58.03</v>
      </c>
      <c r="D19">
        <v>7344.33483</v>
      </c>
      <c r="E19" t="s">
        <v>661</v>
      </c>
      <c r="F19" t="s">
        <v>629</v>
      </c>
      <c r="G19" t="s">
        <v>673</v>
      </c>
      <c r="H19" t="s">
        <v>703</v>
      </c>
      <c r="I19" t="s">
        <v>725</v>
      </c>
      <c r="J19" t="s">
        <v>1314</v>
      </c>
      <c r="K19">
        <v>43723</v>
      </c>
      <c r="L19">
        <v>0.014130622092021</v>
      </c>
      <c r="M19">
        <v>-0.02549623555878733</v>
      </c>
      <c r="N19">
        <v>0.1</v>
      </c>
      <c r="O19">
        <v>0.08526736917684219</v>
      </c>
      <c r="P19" t="s">
        <v>633</v>
      </c>
      <c r="Q19" t="s">
        <v>494</v>
      </c>
      <c r="R19">
        <v>33</v>
      </c>
      <c r="S19">
        <v>0.3474576271186441</v>
      </c>
      <c r="T19">
        <v>51</v>
      </c>
      <c r="U19">
        <v>1.137843137254902</v>
      </c>
      <c r="V19">
        <v>2.0203</v>
      </c>
      <c r="W19">
        <v>2.36</v>
      </c>
      <c r="X19">
        <v>0.8200000000000001</v>
      </c>
      <c r="Y19">
        <v>0.374467</v>
      </c>
      <c r="Z19">
        <v>0.1526586620926244</v>
      </c>
      <c r="AA19">
        <v>0.7168284789644013</v>
      </c>
      <c r="AB19">
        <v>0.931340872374798</v>
      </c>
      <c r="AC19">
        <v>0.5169628432956381</v>
      </c>
      <c r="AD19">
        <v>0.7124394184168013</v>
      </c>
    </row>
    <row r="20" spans="1:30">
      <c r="A20" s="1" t="s">
        <v>27</v>
      </c>
      <c r="B20">
        <f>HYPERLINK("https://www.suredividend.com/sure-analysis-UMBF","UMB Financial Corp.")</f>
        <v>0</v>
      </c>
      <c r="C20">
        <v>69.59999999999999</v>
      </c>
      <c r="D20">
        <v>3416.8032</v>
      </c>
      <c r="E20" t="s">
        <v>661</v>
      </c>
      <c r="F20" t="s">
        <v>629</v>
      </c>
      <c r="G20" t="s">
        <v>673</v>
      </c>
      <c r="H20" t="s">
        <v>704</v>
      </c>
      <c r="I20" t="s">
        <v>726</v>
      </c>
      <c r="J20" t="s">
        <v>1309</v>
      </c>
      <c r="K20">
        <v>43774</v>
      </c>
      <c r="L20">
        <v>0.017241379310344</v>
      </c>
      <c r="M20">
        <v>-0.001730114172607378</v>
      </c>
      <c r="N20">
        <v>0.07000000000000001</v>
      </c>
      <c r="O20">
        <v>0.08463591719936869</v>
      </c>
      <c r="P20" t="s">
        <v>633</v>
      </c>
      <c r="Q20" t="s">
        <v>634</v>
      </c>
      <c r="R20">
        <v>27</v>
      </c>
      <c r="S20">
        <v>0.2526315789473684</v>
      </c>
      <c r="T20">
        <v>69</v>
      </c>
      <c r="U20">
        <v>1.008695652173913</v>
      </c>
      <c r="V20">
        <v>4.1521</v>
      </c>
      <c r="W20">
        <v>4.75</v>
      </c>
      <c r="X20">
        <v>1.2</v>
      </c>
      <c r="Y20">
        <v>0.172902</v>
      </c>
      <c r="Z20">
        <v>0.2298456260720411</v>
      </c>
      <c r="AA20">
        <v>0.401294498381877</v>
      </c>
      <c r="AB20">
        <v>0.7245557350565428</v>
      </c>
      <c r="AC20">
        <v>0.6962843295638126</v>
      </c>
      <c r="AD20">
        <v>0.7092084006462035</v>
      </c>
    </row>
    <row r="21" spans="1:30">
      <c r="A21" s="1" t="s">
        <v>28</v>
      </c>
      <c r="B21">
        <f>HYPERLINK("https://www.suredividend.com/sure-analysis-CAT","Caterpillar, Inc.")</f>
        <v>0</v>
      </c>
      <c r="C21">
        <v>147.57</v>
      </c>
      <c r="D21">
        <v>81555.74106</v>
      </c>
      <c r="E21" t="s">
        <v>658</v>
      </c>
      <c r="F21" t="s">
        <v>629</v>
      </c>
      <c r="G21" t="s">
        <v>673</v>
      </c>
      <c r="H21" t="s">
        <v>703</v>
      </c>
      <c r="I21" t="s">
        <v>727</v>
      </c>
      <c r="J21" t="s">
        <v>1316</v>
      </c>
      <c r="K21">
        <v>43761</v>
      </c>
      <c r="L21">
        <v>0.024462966727654</v>
      </c>
      <c r="M21">
        <v>0.009872914278072464</v>
      </c>
      <c r="N21">
        <v>0.05</v>
      </c>
      <c r="O21">
        <v>0.0819836996879828</v>
      </c>
      <c r="P21" t="s">
        <v>633</v>
      </c>
      <c r="Q21" t="s">
        <v>634</v>
      </c>
      <c r="R21">
        <v>26</v>
      </c>
      <c r="S21">
        <v>0.3252252252252252</v>
      </c>
      <c r="T21">
        <v>155</v>
      </c>
      <c r="U21">
        <v>0.9520645161290322</v>
      </c>
      <c r="V21">
        <v>10.6256</v>
      </c>
      <c r="W21">
        <v>11.1</v>
      </c>
      <c r="X21">
        <v>3.61</v>
      </c>
      <c r="Y21">
        <v>0.229033</v>
      </c>
      <c r="Z21">
        <v>0.3910806174957118</v>
      </c>
      <c r="AA21">
        <v>0.5194174757281553</v>
      </c>
      <c r="AB21">
        <v>0.4588045234248789</v>
      </c>
      <c r="AC21">
        <v>0.7867528271405493</v>
      </c>
      <c r="AD21">
        <v>0.6898222940226171</v>
      </c>
    </row>
    <row r="22" spans="1:30">
      <c r="A22" s="1" t="s">
        <v>29</v>
      </c>
      <c r="B22">
        <f>HYPERLINK("https://www.suredividend.com/sure-analysis-WEYS","Weyco Group, Inc.")</f>
        <v>0</v>
      </c>
      <c r="C22">
        <v>26.39</v>
      </c>
      <c r="D22">
        <v>260.94432</v>
      </c>
      <c r="E22" t="s">
        <v>657</v>
      </c>
      <c r="F22" t="s">
        <v>629</v>
      </c>
      <c r="G22" t="s">
        <v>673</v>
      </c>
      <c r="H22" t="s">
        <v>704</v>
      </c>
      <c r="I22" t="s">
        <v>728</v>
      </c>
      <c r="J22" t="s">
        <v>1311</v>
      </c>
      <c r="K22">
        <v>43717</v>
      </c>
      <c r="L22">
        <v>0.03561955286093201</v>
      </c>
      <c r="M22">
        <v>0.03930284856375876</v>
      </c>
      <c r="N22">
        <v>0.01</v>
      </c>
      <c r="O22">
        <v>0.08106453600431895</v>
      </c>
      <c r="P22" t="s">
        <v>633</v>
      </c>
      <c r="Q22" t="s">
        <v>633</v>
      </c>
      <c r="R22">
        <v>38</v>
      </c>
      <c r="S22">
        <v>0.4723618090452262</v>
      </c>
      <c r="T22">
        <v>32</v>
      </c>
      <c r="U22">
        <v>0.8246875</v>
      </c>
      <c r="V22">
        <v>2.159</v>
      </c>
      <c r="W22">
        <v>1.99</v>
      </c>
      <c r="X22">
        <v>0.9400000000000001</v>
      </c>
      <c r="Y22">
        <v>-0.116209</v>
      </c>
      <c r="Z22">
        <v>0.5917667238421955</v>
      </c>
      <c r="AA22">
        <v>0.07928802588996764</v>
      </c>
      <c r="AB22">
        <v>0.05411954765751212</v>
      </c>
      <c r="AC22">
        <v>0.9434571890145397</v>
      </c>
      <c r="AD22">
        <v>0.6768982229402262</v>
      </c>
    </row>
    <row r="23" spans="1:30">
      <c r="A23" s="1" t="s">
        <v>30</v>
      </c>
      <c r="B23">
        <f>HYPERLINK("https://www.suredividend.com/sure-analysis-ADM","Archer-Daniels-Midland Co.")</f>
        <v>0</v>
      </c>
      <c r="C23">
        <v>45.79</v>
      </c>
      <c r="D23">
        <v>25490.65194</v>
      </c>
      <c r="E23" t="s">
        <v>664</v>
      </c>
      <c r="F23" t="s">
        <v>629</v>
      </c>
      <c r="G23" t="s">
        <v>673</v>
      </c>
      <c r="H23" t="s">
        <v>703</v>
      </c>
      <c r="I23" t="s">
        <v>729</v>
      </c>
      <c r="J23" t="s">
        <v>1314</v>
      </c>
      <c r="K23">
        <v>43769</v>
      </c>
      <c r="L23">
        <v>0.030246778772657</v>
      </c>
      <c r="M23">
        <v>-0.007943500869174835</v>
      </c>
      <c r="N23">
        <v>0.061</v>
      </c>
      <c r="O23">
        <v>0.07994605036973246</v>
      </c>
      <c r="P23" t="s">
        <v>633</v>
      </c>
      <c r="Q23" t="s">
        <v>633</v>
      </c>
      <c r="R23">
        <v>44</v>
      </c>
      <c r="S23">
        <v>0.512962962962963</v>
      </c>
      <c r="T23">
        <v>44</v>
      </c>
      <c r="U23">
        <v>1.040681818181818</v>
      </c>
      <c r="V23">
        <v>2.116</v>
      </c>
      <c r="W23">
        <v>2.7</v>
      </c>
      <c r="X23">
        <v>1.385</v>
      </c>
      <c r="Y23">
        <v>0.122304</v>
      </c>
      <c r="Z23">
        <v>0.5128644939965694</v>
      </c>
      <c r="AA23">
        <v>0.3090614886731392</v>
      </c>
      <c r="AB23">
        <v>0.6680129240710824</v>
      </c>
      <c r="AC23">
        <v>0.641357027463651</v>
      </c>
      <c r="AD23">
        <v>0.6639741518578351</v>
      </c>
    </row>
    <row r="24" spans="1:30">
      <c r="A24" s="1" t="s">
        <v>31</v>
      </c>
      <c r="B24">
        <f>HYPERLINK("https://www.suredividend.com/sure-analysis-PRGO","Perrigo Co. Plc")</f>
        <v>0</v>
      </c>
      <c r="C24">
        <v>54.72</v>
      </c>
      <c r="D24">
        <v>7447.9392</v>
      </c>
      <c r="E24" t="s">
        <v>660</v>
      </c>
      <c r="F24" t="s">
        <v>629</v>
      </c>
      <c r="G24" t="s">
        <v>676</v>
      </c>
      <c r="H24" t="s">
        <v>703</v>
      </c>
      <c r="I24" t="s">
        <v>730</v>
      </c>
      <c r="J24" t="s">
        <v>1315</v>
      </c>
      <c r="K24">
        <v>43775</v>
      </c>
      <c r="L24">
        <v>0.014619883040935</v>
      </c>
      <c r="M24">
        <v>0.01517563214254336</v>
      </c>
      <c r="N24">
        <v>0.05</v>
      </c>
      <c r="O24">
        <v>0.07937260828247661</v>
      </c>
      <c r="P24" t="s">
        <v>633</v>
      </c>
      <c r="Q24" t="s">
        <v>494</v>
      </c>
      <c r="R24">
        <v>17</v>
      </c>
      <c r="S24">
        <v>0.2025316455696203</v>
      </c>
      <c r="T24">
        <v>59</v>
      </c>
      <c r="U24">
        <v>0.9274576271186441</v>
      </c>
      <c r="V24">
        <v>1.8133</v>
      </c>
      <c r="W24">
        <v>3.95</v>
      </c>
      <c r="X24">
        <v>0.8</v>
      </c>
      <c r="Y24">
        <v>0.477721</v>
      </c>
      <c r="Z24">
        <v>0.1612349914236707</v>
      </c>
      <c r="AA24">
        <v>0.8559870550161812</v>
      </c>
      <c r="AB24">
        <v>0.4588045234248789</v>
      </c>
      <c r="AC24">
        <v>0.8206785137318255</v>
      </c>
      <c r="AD24">
        <v>0.654281098546042</v>
      </c>
    </row>
    <row r="25" spans="1:30">
      <c r="A25" s="1" t="s">
        <v>32</v>
      </c>
      <c r="B25">
        <f>HYPERLINK("https://www.suredividend.com/sure-analysis-CPKF","Chesapeake Financial Shares, Inc. (Maryland)")</f>
        <v>0</v>
      </c>
      <c r="C25">
        <v>24</v>
      </c>
      <c r="D25">
        <v>116.1216</v>
      </c>
      <c r="E25" t="s">
        <v>661</v>
      </c>
      <c r="F25" t="s">
        <v>629</v>
      </c>
      <c r="G25" t="s">
        <v>673</v>
      </c>
      <c r="H25" t="s">
        <v>705</v>
      </c>
      <c r="I25" t="s">
        <v>731</v>
      </c>
      <c r="J25" t="s">
        <v>1309</v>
      </c>
      <c r="K25">
        <v>43794</v>
      </c>
      <c r="L25">
        <v>0.01996513876302</v>
      </c>
      <c r="M25">
        <v>0.01613736474159566</v>
      </c>
      <c r="N25">
        <v>0.04</v>
      </c>
      <c r="O25">
        <v>0.07801427393413851</v>
      </c>
      <c r="P25" t="s">
        <v>633</v>
      </c>
      <c r="Q25" t="s">
        <v>633</v>
      </c>
      <c r="R25">
        <v>28</v>
      </c>
      <c r="S25">
        <v>0.1742412110227273</v>
      </c>
      <c r="T25">
        <v>26</v>
      </c>
      <c r="U25">
        <v>0.9230769230769231</v>
      </c>
      <c r="V25">
        <v>2.4313</v>
      </c>
      <c r="W25">
        <v>2.75</v>
      </c>
      <c r="X25">
        <v>0.4791633303125</v>
      </c>
      <c r="Y25">
        <v>0.222413</v>
      </c>
      <c r="Z25">
        <v>0.3018867924528302</v>
      </c>
      <c r="AA25">
        <v>0.5080906148867314</v>
      </c>
      <c r="AB25">
        <v>0.3182552504038772</v>
      </c>
      <c r="AC25">
        <v>0.8287560581583199</v>
      </c>
      <c r="AD25">
        <v>0.6429725363489499</v>
      </c>
    </row>
    <row r="26" spans="1:30">
      <c r="A26" s="1" t="s">
        <v>33</v>
      </c>
      <c r="B26">
        <f>HYPERLINK("https://www.suredividend.com/sure-analysis-NOC","Northrop Grumman Corp.")</f>
        <v>0</v>
      </c>
      <c r="C26">
        <v>345.91</v>
      </c>
      <c r="D26">
        <v>58297.25003</v>
      </c>
      <c r="E26" t="s">
        <v>657</v>
      </c>
      <c r="F26" t="s">
        <v>629</v>
      </c>
      <c r="G26" t="s">
        <v>673</v>
      </c>
      <c r="H26" t="s">
        <v>703</v>
      </c>
      <c r="I26" t="s">
        <v>732</v>
      </c>
      <c r="J26" t="s">
        <v>1308</v>
      </c>
      <c r="K26">
        <v>43773</v>
      </c>
      <c r="L26">
        <v>0.014570263941487</v>
      </c>
      <c r="M26">
        <v>-0.03398031940332924</v>
      </c>
      <c r="N26">
        <v>0.1</v>
      </c>
      <c r="O26">
        <v>0.07704804405639054</v>
      </c>
      <c r="P26" t="s">
        <v>633</v>
      </c>
      <c r="Q26" t="s">
        <v>494</v>
      </c>
      <c r="R26">
        <v>16</v>
      </c>
      <c r="S26">
        <v>0.2492581602373887</v>
      </c>
      <c r="T26">
        <v>291</v>
      </c>
      <c r="U26">
        <v>1.188694158075601</v>
      </c>
      <c r="V26">
        <v>19.4917</v>
      </c>
      <c r="W26">
        <v>20.22</v>
      </c>
      <c r="X26">
        <v>5.04</v>
      </c>
      <c r="Y26">
        <v>0.470456</v>
      </c>
      <c r="Z26">
        <v>0.1595197255574614</v>
      </c>
      <c r="AA26">
        <v>0.8478964401294499</v>
      </c>
      <c r="AB26">
        <v>0.931340872374798</v>
      </c>
      <c r="AC26">
        <v>0.4135702746365105</v>
      </c>
      <c r="AD26">
        <v>0.6365105008077544</v>
      </c>
    </row>
    <row r="27" spans="1:30">
      <c r="A27" s="1" t="s">
        <v>34</v>
      </c>
      <c r="B27">
        <f>HYPERLINK("https://www.suredividend.com/sure-analysis-BDX","Becton, Dickinson &amp; Co.")</f>
        <v>0</v>
      </c>
      <c r="C27">
        <v>271.66</v>
      </c>
      <c r="D27">
        <v>73473.1636</v>
      </c>
      <c r="E27" t="s">
        <v>660</v>
      </c>
      <c r="F27" t="s">
        <v>629</v>
      </c>
      <c r="G27" t="s">
        <v>673</v>
      </c>
      <c r="H27" t="s">
        <v>703</v>
      </c>
      <c r="I27" t="s">
        <v>733</v>
      </c>
      <c r="J27" t="s">
        <v>1315</v>
      </c>
      <c r="K27">
        <v>43774</v>
      </c>
      <c r="L27">
        <v>0.011337701538688</v>
      </c>
      <c r="M27">
        <v>-0.03190660582562455</v>
      </c>
      <c r="N27">
        <v>0.1</v>
      </c>
      <c r="O27">
        <v>0.07648864304270253</v>
      </c>
      <c r="P27" t="s">
        <v>633</v>
      </c>
      <c r="Q27" t="s">
        <v>634</v>
      </c>
      <c r="R27">
        <v>47</v>
      </c>
      <c r="S27">
        <v>0.2448330683624801</v>
      </c>
      <c r="T27">
        <v>231</v>
      </c>
      <c r="U27">
        <v>1.176017316017316</v>
      </c>
      <c r="V27">
        <v>3.96</v>
      </c>
      <c r="W27">
        <v>12.58</v>
      </c>
      <c r="X27">
        <v>3.08</v>
      </c>
      <c r="Y27">
        <v>0.267899</v>
      </c>
      <c r="Z27">
        <v>0.08576329331046312</v>
      </c>
      <c r="AA27">
        <v>0.5825242718446603</v>
      </c>
      <c r="AB27">
        <v>0.931340872374798</v>
      </c>
      <c r="AC27">
        <v>0.4426494345718901</v>
      </c>
      <c r="AD27">
        <v>0.6316639741518578</v>
      </c>
    </row>
    <row r="28" spans="1:30">
      <c r="A28" s="1" t="s">
        <v>35</v>
      </c>
      <c r="B28">
        <f>HYPERLINK("https://www.suredividend.com/sure-analysis-GWW","W.W. Grainger, Inc.")</f>
        <v>0</v>
      </c>
      <c r="C28">
        <v>337.59</v>
      </c>
      <c r="D28">
        <v>18184.62294</v>
      </c>
      <c r="E28" t="s">
        <v>662</v>
      </c>
      <c r="F28" t="s">
        <v>629</v>
      </c>
      <c r="G28" t="s">
        <v>673</v>
      </c>
      <c r="H28" t="s">
        <v>703</v>
      </c>
      <c r="I28" t="s">
        <v>734</v>
      </c>
      <c r="J28" t="s">
        <v>1311</v>
      </c>
      <c r="K28">
        <v>43780</v>
      </c>
      <c r="L28">
        <v>0.016588169080837</v>
      </c>
      <c r="M28">
        <v>-0.009411550674497282</v>
      </c>
      <c r="N28">
        <v>0.07000000000000001</v>
      </c>
      <c r="O28">
        <v>0.07589822096644649</v>
      </c>
      <c r="P28" t="s">
        <v>633</v>
      </c>
      <c r="Q28" t="s">
        <v>634</v>
      </c>
      <c r="R28">
        <v>47</v>
      </c>
      <c r="S28">
        <v>0.3128491620111732</v>
      </c>
      <c r="T28">
        <v>322</v>
      </c>
      <c r="U28">
        <v>1.048416149068323</v>
      </c>
      <c r="V28">
        <v>17.2182</v>
      </c>
      <c r="W28">
        <v>17.9</v>
      </c>
      <c r="X28">
        <v>5.6</v>
      </c>
      <c r="Y28">
        <v>0.240182</v>
      </c>
      <c r="Z28">
        <v>0.2126929674099485</v>
      </c>
      <c r="AA28">
        <v>0.540453074433657</v>
      </c>
      <c r="AB28">
        <v>0.7245557350565428</v>
      </c>
      <c r="AC28">
        <v>0.630048465266559</v>
      </c>
      <c r="AD28">
        <v>0.6268174474959612</v>
      </c>
    </row>
    <row r="29" spans="1:30">
      <c r="A29" s="1" t="s">
        <v>36</v>
      </c>
      <c r="B29">
        <f>HYPERLINK("https://www.suredividend.com/sure-analysis-LUV","Southwest Airlines Co.")</f>
        <v>0</v>
      </c>
      <c r="C29">
        <v>54.63</v>
      </c>
      <c r="D29">
        <v>28750.45788</v>
      </c>
      <c r="E29" t="s">
        <v>661</v>
      </c>
      <c r="F29" t="s">
        <v>629</v>
      </c>
      <c r="G29" t="s">
        <v>673</v>
      </c>
      <c r="H29" t="s">
        <v>703</v>
      </c>
      <c r="I29" t="s">
        <v>735</v>
      </c>
      <c r="J29" t="s">
        <v>1313</v>
      </c>
      <c r="K29">
        <v>43764</v>
      </c>
      <c r="L29">
        <v>0.012447373238147</v>
      </c>
      <c r="M29">
        <v>0.001350912225932976</v>
      </c>
      <c r="N29">
        <v>0.06</v>
      </c>
      <c r="O29">
        <v>0.07531873725566363</v>
      </c>
      <c r="P29" t="s">
        <v>633</v>
      </c>
      <c r="Q29" t="s">
        <v>494</v>
      </c>
      <c r="R29">
        <v>8</v>
      </c>
      <c r="S29">
        <v>0.16</v>
      </c>
      <c r="T29">
        <v>55</v>
      </c>
      <c r="U29">
        <v>0.9932727272727273</v>
      </c>
      <c r="V29">
        <v>4.4759</v>
      </c>
      <c r="W29">
        <v>4.25</v>
      </c>
      <c r="X29">
        <v>0.68</v>
      </c>
      <c r="Y29">
        <v>0.188901</v>
      </c>
      <c r="Z29">
        <v>0.1149228130360206</v>
      </c>
      <c r="AA29">
        <v>0.4336569579288026</v>
      </c>
      <c r="AB29">
        <v>0.6130856219709209</v>
      </c>
      <c r="AC29">
        <v>0.715670436187399</v>
      </c>
      <c r="AD29">
        <v>0.6155088852988692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37.35</v>
      </c>
      <c r="D30">
        <v>8074.6218</v>
      </c>
      <c r="E30" t="s">
        <v>661</v>
      </c>
      <c r="F30" t="s">
        <v>629</v>
      </c>
      <c r="G30" t="s">
        <v>673</v>
      </c>
      <c r="H30" t="s">
        <v>703</v>
      </c>
      <c r="I30" t="s">
        <v>736</v>
      </c>
      <c r="J30" t="s">
        <v>1308</v>
      </c>
      <c r="K30">
        <v>43772</v>
      </c>
      <c r="L30">
        <v>0.006693440428380001</v>
      </c>
      <c r="M30">
        <v>0.02857406568409582</v>
      </c>
      <c r="N30">
        <v>0.025</v>
      </c>
      <c r="O30">
        <v>0.07511945203002979</v>
      </c>
      <c r="P30" t="s">
        <v>633</v>
      </c>
      <c r="Q30" t="s">
        <v>405</v>
      </c>
      <c r="R30">
        <v>5</v>
      </c>
      <c r="S30">
        <v>0.0617283950617284</v>
      </c>
      <c r="T30">
        <v>43</v>
      </c>
      <c r="U30">
        <v>0.8686046511627907</v>
      </c>
      <c r="V30">
        <v>2.9129</v>
      </c>
      <c r="W30">
        <v>4.05</v>
      </c>
      <c r="X30">
        <v>0.25</v>
      </c>
      <c r="Y30">
        <v>0.9322300000000001</v>
      </c>
      <c r="Z30">
        <v>0.02058319039451115</v>
      </c>
      <c r="AA30">
        <v>0.9805825242718447</v>
      </c>
      <c r="AB30">
        <v>0.1502423263327948</v>
      </c>
      <c r="AC30">
        <v>0.9046849757673666</v>
      </c>
      <c r="AD30">
        <v>0.6138933764135703</v>
      </c>
    </row>
    <row r="31" spans="1:30">
      <c r="A31" s="1" t="s">
        <v>38</v>
      </c>
      <c r="B31">
        <f>HYPERLINK("https://www.suredividend.com/sure-analysis-NC","NACCO Industries, Inc.")</f>
        <v>0</v>
      </c>
      <c r="C31">
        <v>47.66</v>
      </c>
      <c r="D31">
        <v>333.366449</v>
      </c>
      <c r="E31" t="s">
        <v>660</v>
      </c>
      <c r="F31" t="s">
        <v>629</v>
      </c>
      <c r="G31" t="s">
        <v>673</v>
      </c>
      <c r="H31" t="s">
        <v>703</v>
      </c>
      <c r="I31" t="s">
        <v>737</v>
      </c>
      <c r="J31" t="s">
        <v>1317</v>
      </c>
      <c r="K31">
        <v>43771</v>
      </c>
      <c r="L31">
        <v>0.01489718841796</v>
      </c>
      <c r="M31">
        <v>0.04712720380092872</v>
      </c>
      <c r="N31">
        <v>0.01</v>
      </c>
      <c r="O31">
        <v>0.07490363601969463</v>
      </c>
      <c r="P31" t="s">
        <v>633</v>
      </c>
      <c r="Q31" t="s">
        <v>634</v>
      </c>
      <c r="R31">
        <v>34</v>
      </c>
      <c r="S31">
        <v>0.142</v>
      </c>
      <c r="T31">
        <v>60</v>
      </c>
      <c r="U31">
        <v>0.7943333333333332</v>
      </c>
      <c r="V31">
        <v>6.3592</v>
      </c>
      <c r="W31">
        <v>5</v>
      </c>
      <c r="X31">
        <v>0.71</v>
      </c>
      <c r="Y31">
        <v>0.557516</v>
      </c>
      <c r="Z31">
        <v>0.1715265866209262</v>
      </c>
      <c r="AA31">
        <v>0.9093851132686085</v>
      </c>
      <c r="AB31">
        <v>0.05411954765751212</v>
      </c>
      <c r="AC31">
        <v>0.9612277867528272</v>
      </c>
      <c r="AD31">
        <v>0.6106623586429726</v>
      </c>
    </row>
    <row r="32" spans="1:30">
      <c r="A32" s="1" t="s">
        <v>39</v>
      </c>
      <c r="B32">
        <f>HYPERLINK("https://www.suredividend.com/sure-analysis-BAM","Brookfield Asset Management, Inc.")</f>
        <v>0</v>
      </c>
      <c r="C32">
        <v>58.28</v>
      </c>
      <c r="D32">
        <v>58701.662794</v>
      </c>
      <c r="E32" t="s">
        <v>661</v>
      </c>
      <c r="F32" t="s">
        <v>629</v>
      </c>
      <c r="G32" t="s">
        <v>675</v>
      </c>
      <c r="H32" t="s">
        <v>703</v>
      </c>
      <c r="I32" t="s">
        <v>738</v>
      </c>
      <c r="J32" t="s">
        <v>1309</v>
      </c>
      <c r="K32">
        <v>43796</v>
      </c>
      <c r="L32">
        <v>0.010839741965659</v>
      </c>
      <c r="M32">
        <v>-0.01513921906588067</v>
      </c>
      <c r="N32">
        <v>0.08</v>
      </c>
      <c r="O32">
        <v>0.07330115272673798</v>
      </c>
      <c r="P32" t="s">
        <v>633</v>
      </c>
      <c r="Q32" t="s">
        <v>494</v>
      </c>
      <c r="R32">
        <v>8</v>
      </c>
      <c r="S32">
        <v>0.1169889188441905</v>
      </c>
      <c r="T32">
        <v>54</v>
      </c>
      <c r="U32">
        <v>1.079259259259259</v>
      </c>
      <c r="V32">
        <v>3.8624</v>
      </c>
      <c r="W32">
        <v>5.4</v>
      </c>
      <c r="X32">
        <v>0.631740161758629</v>
      </c>
      <c r="Y32">
        <v>0.560793</v>
      </c>
      <c r="Z32">
        <v>0.08061749571183534</v>
      </c>
      <c r="AA32">
        <v>0.9110032362459548</v>
      </c>
      <c r="AB32">
        <v>0.8182552504038771</v>
      </c>
      <c r="AC32">
        <v>0.5977382875605816</v>
      </c>
      <c r="AD32">
        <v>0.5864297253634895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80.17</v>
      </c>
      <c r="D33">
        <v>27728.71858</v>
      </c>
      <c r="E33" t="s">
        <v>658</v>
      </c>
      <c r="F33" t="s">
        <v>629</v>
      </c>
      <c r="G33" t="s">
        <v>673</v>
      </c>
      <c r="H33" t="s">
        <v>704</v>
      </c>
      <c r="I33" t="s">
        <v>739</v>
      </c>
      <c r="J33" t="s">
        <v>1316</v>
      </c>
      <c r="K33">
        <v>43762</v>
      </c>
      <c r="L33">
        <v>0.015966072096794</v>
      </c>
      <c r="M33">
        <v>0.0188122488630531</v>
      </c>
      <c r="N33">
        <v>0.02</v>
      </c>
      <c r="O33">
        <v>0.07211659856389763</v>
      </c>
      <c r="P33" t="s">
        <v>633</v>
      </c>
      <c r="Q33" t="s">
        <v>494</v>
      </c>
      <c r="R33">
        <v>9</v>
      </c>
      <c r="S33">
        <v>0.1882352941176471</v>
      </c>
      <c r="T33">
        <v>88</v>
      </c>
      <c r="U33">
        <v>0.9110227272727273</v>
      </c>
      <c r="V33">
        <v>7.0074</v>
      </c>
      <c r="W33">
        <v>6.8</v>
      </c>
      <c r="X33">
        <v>1.28</v>
      </c>
      <c r="Y33">
        <v>0.460291</v>
      </c>
      <c r="Z33">
        <v>0.1972555746140652</v>
      </c>
      <c r="AA33">
        <v>0.8365695792880259</v>
      </c>
      <c r="AB33">
        <v>0.1219709208400646</v>
      </c>
      <c r="AC33">
        <v>0.851373182552504</v>
      </c>
      <c r="AD33">
        <v>0.5783521809369951</v>
      </c>
    </row>
    <row r="34" spans="1:30">
      <c r="A34" s="1" t="s">
        <v>41</v>
      </c>
      <c r="B34">
        <f>HYPERLINK("https://www.suredividend.com/sure-analysis-CP","Canadian Pacific Railway Ltd.")</f>
        <v>0</v>
      </c>
      <c r="C34">
        <v>253.37</v>
      </c>
      <c r="D34">
        <v>34754.25616</v>
      </c>
      <c r="E34" t="s">
        <v>662</v>
      </c>
      <c r="F34" t="s">
        <v>629</v>
      </c>
      <c r="G34" t="s">
        <v>675</v>
      </c>
      <c r="H34" t="s">
        <v>703</v>
      </c>
      <c r="I34" t="s">
        <v>740</v>
      </c>
      <c r="J34" t="s">
        <v>1313</v>
      </c>
      <c r="K34">
        <v>43763</v>
      </c>
      <c r="L34">
        <v>0.008801358373388002</v>
      </c>
      <c r="M34">
        <v>-0.02087997894623606</v>
      </c>
      <c r="N34">
        <v>0.08500000000000001</v>
      </c>
      <c r="O34">
        <v>0.07126007539189172</v>
      </c>
      <c r="P34" t="s">
        <v>633</v>
      </c>
      <c r="Q34" t="s">
        <v>405</v>
      </c>
      <c r="R34">
        <v>16</v>
      </c>
      <c r="S34">
        <v>0.1862990953271103</v>
      </c>
      <c r="T34">
        <v>228</v>
      </c>
      <c r="U34">
        <v>1.111271929824561</v>
      </c>
      <c r="V34">
        <v>12.5027</v>
      </c>
      <c r="W34">
        <v>11.97</v>
      </c>
      <c r="X34">
        <v>2.23000017106551</v>
      </c>
      <c r="Y34">
        <v>0.470005</v>
      </c>
      <c r="Z34">
        <v>0.04802744425385935</v>
      </c>
      <c r="AA34">
        <v>0.8462783171521037</v>
      </c>
      <c r="AB34">
        <v>0.8651050080775444</v>
      </c>
      <c r="AC34">
        <v>0.5541195476575121</v>
      </c>
      <c r="AD34">
        <v>0.5751211631663974</v>
      </c>
    </row>
    <row r="35" spans="1:30">
      <c r="A35" s="1" t="s">
        <v>42</v>
      </c>
      <c r="B35">
        <f>HYPERLINK("https://www.suredividend.com/sure-analysis-SRCE","1st Source Corp.")</f>
        <v>0</v>
      </c>
      <c r="C35">
        <v>52.85</v>
      </c>
      <c r="D35">
        <v>1348.15065</v>
      </c>
      <c r="E35" t="s">
        <v>661</v>
      </c>
      <c r="F35" t="s">
        <v>629</v>
      </c>
      <c r="G35" t="s">
        <v>673</v>
      </c>
      <c r="H35" t="s">
        <v>704</v>
      </c>
      <c r="I35" t="s">
        <v>741</v>
      </c>
      <c r="J35" t="s">
        <v>1309</v>
      </c>
      <c r="K35">
        <v>43761</v>
      </c>
      <c r="L35">
        <v>0.020056764427625</v>
      </c>
      <c r="M35">
        <v>-0.02738140580424719</v>
      </c>
      <c r="N35">
        <v>0.08</v>
      </c>
      <c r="O35">
        <v>0.07067411919494782</v>
      </c>
      <c r="P35" t="s">
        <v>633</v>
      </c>
      <c r="Q35" t="s">
        <v>634</v>
      </c>
      <c r="R35">
        <v>32</v>
      </c>
      <c r="S35">
        <v>0.2985915492957747</v>
      </c>
      <c r="T35">
        <v>46</v>
      </c>
      <c r="U35">
        <v>1.148913043478261</v>
      </c>
      <c r="V35">
        <v>3.5365</v>
      </c>
      <c r="W35">
        <v>3.55</v>
      </c>
      <c r="X35">
        <v>1.06</v>
      </c>
      <c r="Y35">
        <v>0.34684</v>
      </c>
      <c r="Z35">
        <v>0.3053173241852487</v>
      </c>
      <c r="AA35">
        <v>0.6844660194174758</v>
      </c>
      <c r="AB35">
        <v>0.8182552504038771</v>
      </c>
      <c r="AC35">
        <v>0.5024232633279483</v>
      </c>
      <c r="AD35">
        <v>0.5670436187399031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24.92</v>
      </c>
      <c r="D36">
        <v>2858.326492</v>
      </c>
      <c r="E36" t="s">
        <v>665</v>
      </c>
      <c r="F36" t="s">
        <v>629</v>
      </c>
      <c r="G36" t="s">
        <v>673</v>
      </c>
      <c r="H36" t="s">
        <v>703</v>
      </c>
      <c r="I36" t="s">
        <v>742</v>
      </c>
      <c r="J36" t="s">
        <v>1318</v>
      </c>
      <c r="K36">
        <v>43784</v>
      </c>
      <c r="L36">
        <v>0.026284109149277</v>
      </c>
      <c r="M36">
        <v>0.03078951415516062</v>
      </c>
      <c r="N36">
        <v>0.015</v>
      </c>
      <c r="O36">
        <v>0.06999314892830322</v>
      </c>
      <c r="P36" t="s">
        <v>633</v>
      </c>
      <c r="Q36" t="s">
        <v>633</v>
      </c>
      <c r="R36">
        <v>45</v>
      </c>
      <c r="S36">
        <v>0.524</v>
      </c>
      <c r="T36">
        <v>29</v>
      </c>
      <c r="U36">
        <v>0.8593103448275863</v>
      </c>
      <c r="V36">
        <v>1.1051</v>
      </c>
      <c r="W36">
        <v>1.25</v>
      </c>
      <c r="X36">
        <v>0.655</v>
      </c>
      <c r="Y36">
        <v>-0.212389</v>
      </c>
      <c r="Z36">
        <v>0.4408233276157805</v>
      </c>
      <c r="AA36">
        <v>0.0453074433656958</v>
      </c>
      <c r="AB36">
        <v>0.07592891760904685</v>
      </c>
      <c r="AC36">
        <v>0.9224555735056543</v>
      </c>
      <c r="AD36">
        <v>0.5621970920840065</v>
      </c>
    </row>
    <row r="37" spans="1:30">
      <c r="A37" s="1" t="s">
        <v>44</v>
      </c>
      <c r="B37">
        <f>HYPERLINK("https://www.suredividend.com/sure-analysis-CSX","CSX Corp.")</f>
        <v>0</v>
      </c>
      <c r="C37">
        <v>73.18000000000001</v>
      </c>
      <c r="D37">
        <v>56907.47566</v>
      </c>
      <c r="E37" t="s">
        <v>661</v>
      </c>
      <c r="F37" t="s">
        <v>629</v>
      </c>
      <c r="G37" t="s">
        <v>673</v>
      </c>
      <c r="H37" t="s">
        <v>704</v>
      </c>
      <c r="I37" t="s">
        <v>743</v>
      </c>
      <c r="J37" t="s">
        <v>1313</v>
      </c>
      <c r="K37">
        <v>43760</v>
      </c>
      <c r="L37">
        <v>0.012845039628313</v>
      </c>
      <c r="M37">
        <v>-0.03261386885262563</v>
      </c>
      <c r="N37">
        <v>0.09</v>
      </c>
      <c r="O37">
        <v>0.06972082150077274</v>
      </c>
      <c r="P37" t="s">
        <v>633</v>
      </c>
      <c r="Q37" t="s">
        <v>494</v>
      </c>
      <c r="R37">
        <v>15</v>
      </c>
      <c r="S37">
        <v>0.2292682926829269</v>
      </c>
      <c r="T37">
        <v>62</v>
      </c>
      <c r="U37">
        <v>1.180322580645161</v>
      </c>
      <c r="V37">
        <v>4.218</v>
      </c>
      <c r="W37">
        <v>4.1</v>
      </c>
      <c r="X37">
        <v>0.9400000000000001</v>
      </c>
      <c r="Y37">
        <v>0.205601</v>
      </c>
      <c r="Z37">
        <v>0.1252144082332761</v>
      </c>
      <c r="AA37">
        <v>0.4660194174757282</v>
      </c>
      <c r="AB37">
        <v>0.8877221324717286</v>
      </c>
      <c r="AC37">
        <v>0.4297253634894991</v>
      </c>
      <c r="AD37">
        <v>0.5605815831987075</v>
      </c>
    </row>
    <row r="38" spans="1:30">
      <c r="A38" s="1" t="s">
        <v>45</v>
      </c>
      <c r="B38">
        <f>HYPERLINK("https://www.suredividend.com/sure-analysis-JNJ","Johnson &amp; Johnson")</f>
        <v>0</v>
      </c>
      <c r="C38">
        <v>146.06</v>
      </c>
      <c r="D38">
        <v>384410.9322</v>
      </c>
      <c r="E38" t="s">
        <v>660</v>
      </c>
      <c r="F38" t="s">
        <v>629</v>
      </c>
      <c r="G38" t="s">
        <v>673</v>
      </c>
      <c r="H38" t="s">
        <v>703</v>
      </c>
      <c r="I38" t="s">
        <v>744</v>
      </c>
      <c r="J38" t="s">
        <v>1315</v>
      </c>
      <c r="K38">
        <v>43754</v>
      </c>
      <c r="L38">
        <v>0.025332055319731</v>
      </c>
      <c r="M38">
        <v>-0.01417115248744727</v>
      </c>
      <c r="N38">
        <v>0.06</v>
      </c>
      <c r="O38">
        <v>0.06921187487923164</v>
      </c>
      <c r="P38" t="s">
        <v>633</v>
      </c>
      <c r="Q38" t="s">
        <v>633</v>
      </c>
      <c r="R38">
        <v>57</v>
      </c>
      <c r="S38">
        <v>0.4277456647398844</v>
      </c>
      <c r="T38">
        <v>136</v>
      </c>
      <c r="U38">
        <v>1.073970588235294</v>
      </c>
      <c r="V38">
        <v>5.308</v>
      </c>
      <c r="W38">
        <v>8.65</v>
      </c>
      <c r="X38">
        <v>3.7</v>
      </c>
      <c r="Y38">
        <v>0.140292</v>
      </c>
      <c r="Z38">
        <v>0.4099485420240137</v>
      </c>
      <c r="AA38">
        <v>0.3398058252427185</v>
      </c>
      <c r="AB38">
        <v>0.6130856219709209</v>
      </c>
      <c r="AC38">
        <v>0.6090468497576736</v>
      </c>
      <c r="AD38">
        <v>0.5573505654281099</v>
      </c>
    </row>
    <row r="39" spans="1:30">
      <c r="A39" s="1" t="s">
        <v>46</v>
      </c>
      <c r="B39">
        <f>HYPERLINK("https://www.suredividend.com/sure-analysis-LHX","L3Harris Technologies, Inc.")</f>
        <v>0</v>
      </c>
      <c r="C39">
        <v>199.99</v>
      </c>
      <c r="D39">
        <v>44210.78935</v>
      </c>
      <c r="E39" t="s">
        <v>657</v>
      </c>
      <c r="F39" t="s">
        <v>629</v>
      </c>
      <c r="G39" t="s">
        <v>673</v>
      </c>
      <c r="H39" t="s">
        <v>703</v>
      </c>
      <c r="I39" t="s">
        <v>745</v>
      </c>
      <c r="J39" t="s">
        <v>1308</v>
      </c>
      <c r="K39">
        <v>43818</v>
      </c>
      <c r="L39">
        <v>0.014025701285064</v>
      </c>
      <c r="M39">
        <v>-0.04244546129142779</v>
      </c>
      <c r="N39">
        <v>0.1</v>
      </c>
      <c r="O39">
        <v>0.06918895504295097</v>
      </c>
      <c r="P39" t="s">
        <v>633</v>
      </c>
      <c r="Q39" t="s">
        <v>494</v>
      </c>
      <c r="R39">
        <v>18</v>
      </c>
      <c r="S39">
        <v>0.2793824701195219</v>
      </c>
      <c r="T39">
        <v>161</v>
      </c>
      <c r="U39">
        <v>1.242173913043478</v>
      </c>
      <c r="V39">
        <v>8.162599999999999</v>
      </c>
      <c r="W39">
        <v>10.04</v>
      </c>
      <c r="X39">
        <v>2.805</v>
      </c>
      <c r="Y39">
        <v>0.5550109999999999</v>
      </c>
      <c r="Z39">
        <v>0.1492281303602058</v>
      </c>
      <c r="AA39">
        <v>0.9077669902912622</v>
      </c>
      <c r="AB39">
        <v>0.931340872374798</v>
      </c>
      <c r="AC39">
        <v>0.3537964458804523</v>
      </c>
      <c r="AD39">
        <v>0.555735056542811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178.33</v>
      </c>
      <c r="D40">
        <v>51591.93898</v>
      </c>
      <c r="E40" t="s">
        <v>657</v>
      </c>
      <c r="F40" t="s">
        <v>629</v>
      </c>
      <c r="G40" t="s">
        <v>673</v>
      </c>
      <c r="H40" t="s">
        <v>703</v>
      </c>
      <c r="I40" t="s">
        <v>746</v>
      </c>
      <c r="J40" t="s">
        <v>1308</v>
      </c>
      <c r="K40">
        <v>43801</v>
      </c>
      <c r="L40">
        <v>0.022374249985981</v>
      </c>
      <c r="M40">
        <v>-0.01422741561455554</v>
      </c>
      <c r="N40">
        <v>0.06</v>
      </c>
      <c r="O40">
        <v>0.06804638792049333</v>
      </c>
      <c r="P40" t="s">
        <v>633</v>
      </c>
      <c r="Q40" t="s">
        <v>634</v>
      </c>
      <c r="R40">
        <v>28</v>
      </c>
      <c r="S40">
        <v>0.3358585858585859</v>
      </c>
      <c r="T40">
        <v>166</v>
      </c>
      <c r="U40">
        <v>1.074277108433735</v>
      </c>
      <c r="V40">
        <v>11.656</v>
      </c>
      <c r="W40">
        <v>11.88</v>
      </c>
      <c r="X40">
        <v>3.99</v>
      </c>
      <c r="Y40">
        <v>0.184996</v>
      </c>
      <c r="Z40">
        <v>0.346483704974271</v>
      </c>
      <c r="AA40">
        <v>0.4288025889967638</v>
      </c>
      <c r="AB40">
        <v>0.6130856219709209</v>
      </c>
      <c r="AC40">
        <v>0.6074313408723748</v>
      </c>
      <c r="AD40">
        <v>0.5395799676898223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119.73</v>
      </c>
      <c r="D41">
        <v>91770.05175</v>
      </c>
      <c r="E41" t="s">
        <v>665</v>
      </c>
      <c r="F41" t="s">
        <v>629</v>
      </c>
      <c r="G41" t="s">
        <v>673</v>
      </c>
      <c r="H41" t="s">
        <v>703</v>
      </c>
      <c r="I41" t="s">
        <v>747</v>
      </c>
      <c r="J41" t="s">
        <v>1310</v>
      </c>
      <c r="K41">
        <v>43796</v>
      </c>
      <c r="L41">
        <v>0.017205378768896</v>
      </c>
      <c r="M41">
        <v>-0.03345143973610565</v>
      </c>
      <c r="N41">
        <v>0.082</v>
      </c>
      <c r="O41">
        <v>0.06565736158452085</v>
      </c>
      <c r="P41" t="s">
        <v>633</v>
      </c>
      <c r="Q41" t="s">
        <v>634</v>
      </c>
      <c r="R41">
        <v>56</v>
      </c>
      <c r="S41">
        <v>0.3711711711711712</v>
      </c>
      <c r="T41">
        <v>101</v>
      </c>
      <c r="U41">
        <v>1.185445544554455</v>
      </c>
      <c r="V41">
        <v>3.7838</v>
      </c>
      <c r="W41">
        <v>5.55</v>
      </c>
      <c r="X41">
        <v>2.06</v>
      </c>
      <c r="Y41">
        <v>0.366157</v>
      </c>
      <c r="Z41">
        <v>0.2281303602058319</v>
      </c>
      <c r="AA41">
        <v>0.7071197411003236</v>
      </c>
      <c r="AB41">
        <v>0.8570274636510501</v>
      </c>
      <c r="AC41">
        <v>0.4200323101777059</v>
      </c>
      <c r="AD41">
        <v>0.5266558966074314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206.86</v>
      </c>
      <c r="D42">
        <v>26574.2699</v>
      </c>
      <c r="E42" t="s">
        <v>659</v>
      </c>
      <c r="F42" t="s">
        <v>629</v>
      </c>
      <c r="G42" t="s">
        <v>673</v>
      </c>
      <c r="H42" t="s">
        <v>703</v>
      </c>
      <c r="I42" t="s">
        <v>748</v>
      </c>
      <c r="J42" t="s">
        <v>1316</v>
      </c>
      <c r="K42">
        <v>43781</v>
      </c>
      <c r="L42">
        <v>0.015856134583776</v>
      </c>
      <c r="M42">
        <v>-0.02743374474364602</v>
      </c>
      <c r="N42">
        <v>0.078</v>
      </c>
      <c r="O42">
        <v>0.06492826625562276</v>
      </c>
      <c r="P42" t="s">
        <v>633</v>
      </c>
      <c r="Q42" t="s">
        <v>634</v>
      </c>
      <c r="R42">
        <v>63</v>
      </c>
      <c r="S42">
        <v>0.2733333333333334</v>
      </c>
      <c r="T42">
        <v>180</v>
      </c>
      <c r="U42">
        <v>1.149222222222222</v>
      </c>
      <c r="V42">
        <v>11.4423</v>
      </c>
      <c r="W42">
        <v>12</v>
      </c>
      <c r="X42">
        <v>3.28</v>
      </c>
      <c r="Y42">
        <v>0.420937</v>
      </c>
      <c r="Z42">
        <v>0.1938250428816466</v>
      </c>
      <c r="AA42">
        <v>0.796116504854369</v>
      </c>
      <c r="AB42">
        <v>0.7778675282714055</v>
      </c>
      <c r="AC42">
        <v>0.5008077544426495</v>
      </c>
      <c r="AD42">
        <v>0.5201938610662359</v>
      </c>
    </row>
    <row r="43" spans="1:30">
      <c r="A43" s="1" t="s">
        <v>50</v>
      </c>
      <c r="B43">
        <f>HYPERLINK("https://www.suredividend.com/sure-analysis-PNR","Pentair Plc")</f>
        <v>0</v>
      </c>
      <c r="C43">
        <v>45.51</v>
      </c>
      <c r="D43">
        <v>7649.91243</v>
      </c>
      <c r="E43" t="s">
        <v>663</v>
      </c>
      <c r="F43" t="s">
        <v>629</v>
      </c>
      <c r="G43" t="s">
        <v>677</v>
      </c>
      <c r="H43" t="s">
        <v>703</v>
      </c>
      <c r="I43" t="s">
        <v>749</v>
      </c>
      <c r="J43" t="s">
        <v>1316</v>
      </c>
      <c r="K43">
        <v>43762</v>
      </c>
      <c r="L43">
        <v>0.015710832784003</v>
      </c>
      <c r="M43">
        <v>-0.01592433813729432</v>
      </c>
      <c r="N43">
        <v>0.065</v>
      </c>
      <c r="O43">
        <v>0.06398704937037536</v>
      </c>
      <c r="P43" t="s">
        <v>633</v>
      </c>
      <c r="Q43" t="s">
        <v>634</v>
      </c>
      <c r="R43">
        <v>43</v>
      </c>
      <c r="S43">
        <v>0.3042553191489362</v>
      </c>
      <c r="T43">
        <v>42</v>
      </c>
      <c r="U43">
        <v>1.083571428571429</v>
      </c>
      <c r="V43">
        <v>2.0585</v>
      </c>
      <c r="W43">
        <v>2.35</v>
      </c>
      <c r="X43">
        <v>0.715</v>
      </c>
      <c r="Y43">
        <v>0.239042</v>
      </c>
      <c r="Z43">
        <v>0.1835334476843911</v>
      </c>
      <c r="AA43">
        <v>0.5355987055016181</v>
      </c>
      <c r="AB43">
        <v>0.6825525040387723</v>
      </c>
      <c r="AC43">
        <v>0.5912762520193862</v>
      </c>
      <c r="AD43">
        <v>0.5105008077544426</v>
      </c>
    </row>
    <row r="44" spans="1:30">
      <c r="A44" s="1" t="s">
        <v>51</v>
      </c>
      <c r="B44">
        <f>HYPERLINK("https://www.suredividend.com/sure-analysis-UBSI","United Bankshares, Inc. (West Virginia)")</f>
        <v>0</v>
      </c>
      <c r="C44">
        <v>38.83</v>
      </c>
      <c r="D44">
        <v>3942.44873</v>
      </c>
      <c r="E44" t="s">
        <v>661</v>
      </c>
      <c r="F44" t="s">
        <v>629</v>
      </c>
      <c r="G44" t="s">
        <v>673</v>
      </c>
      <c r="H44" t="s">
        <v>704</v>
      </c>
      <c r="I44" t="s">
        <v>750</v>
      </c>
      <c r="J44" t="s">
        <v>1309</v>
      </c>
      <c r="K44">
        <v>43772</v>
      </c>
      <c r="L44">
        <v>0.035024465619366</v>
      </c>
      <c r="M44">
        <v>-0.03201347906401708</v>
      </c>
      <c r="N44">
        <v>0.06</v>
      </c>
      <c r="O44">
        <v>0.06199532749955283</v>
      </c>
      <c r="P44" t="s">
        <v>633</v>
      </c>
      <c r="Q44" t="s">
        <v>633</v>
      </c>
      <c r="R44">
        <v>44</v>
      </c>
      <c r="S44">
        <v>0.5333333333333333</v>
      </c>
      <c r="T44">
        <v>33</v>
      </c>
      <c r="U44">
        <v>1.176666666666667</v>
      </c>
      <c r="V44">
        <v>2.5538</v>
      </c>
      <c r="W44">
        <v>2.55</v>
      </c>
      <c r="X44">
        <v>1.36</v>
      </c>
      <c r="Y44">
        <v>0.311381</v>
      </c>
      <c r="Z44">
        <v>0.5866209262435678</v>
      </c>
      <c r="AA44">
        <v>0.6423948220064725</v>
      </c>
      <c r="AB44">
        <v>0.6130856219709209</v>
      </c>
      <c r="AC44">
        <v>0.4410339256865912</v>
      </c>
      <c r="AD44">
        <v>0.4927302100161551</v>
      </c>
    </row>
    <row r="45" spans="1:30">
      <c r="A45" s="1" t="s">
        <v>52</v>
      </c>
      <c r="B45">
        <f>HYPERLINK("https://www.suredividend.com/sure-analysis-BANF","BancFirst Corp. (Oklahoma)")</f>
        <v>0</v>
      </c>
      <c r="C45">
        <v>62.82</v>
      </c>
      <c r="D45">
        <v>2052.07812</v>
      </c>
      <c r="E45" t="s">
        <v>666</v>
      </c>
      <c r="F45" t="s">
        <v>629</v>
      </c>
      <c r="G45" t="s">
        <v>673</v>
      </c>
      <c r="H45" t="s">
        <v>704</v>
      </c>
      <c r="I45" t="s">
        <v>751</v>
      </c>
      <c r="J45" t="s">
        <v>1309</v>
      </c>
      <c r="K45">
        <v>43737</v>
      </c>
      <c r="L45">
        <v>0.019420566698503</v>
      </c>
      <c r="M45">
        <v>-0.009143725926620938</v>
      </c>
      <c r="N45">
        <v>0.05</v>
      </c>
      <c r="O45">
        <v>0.06107681527548503</v>
      </c>
      <c r="P45" t="s">
        <v>633</v>
      </c>
      <c r="Q45" t="s">
        <v>634</v>
      </c>
      <c r="R45">
        <v>26</v>
      </c>
      <c r="S45">
        <v>0.3065326633165829</v>
      </c>
      <c r="T45">
        <v>60</v>
      </c>
      <c r="U45">
        <v>1.047</v>
      </c>
      <c r="V45">
        <v>4.0456</v>
      </c>
      <c r="W45">
        <v>3.98</v>
      </c>
      <c r="X45">
        <v>1.22</v>
      </c>
      <c r="Y45">
        <v>0.24396</v>
      </c>
      <c r="Z45">
        <v>0.2881646655231561</v>
      </c>
      <c r="AA45">
        <v>0.5453074433656958</v>
      </c>
      <c r="AB45">
        <v>0.4588045234248789</v>
      </c>
      <c r="AC45">
        <v>0.6332794830371568</v>
      </c>
      <c r="AD45">
        <v>0.4846526655896607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122.54</v>
      </c>
      <c r="D46">
        <v>28634.77958</v>
      </c>
      <c r="E46" t="s">
        <v>658</v>
      </c>
      <c r="F46" t="s">
        <v>629</v>
      </c>
      <c r="G46" t="s">
        <v>673</v>
      </c>
      <c r="H46" t="s">
        <v>704</v>
      </c>
      <c r="I46" t="s">
        <v>752</v>
      </c>
      <c r="J46" t="s">
        <v>1309</v>
      </c>
      <c r="K46">
        <v>43762</v>
      </c>
      <c r="L46">
        <v>0.024318589848212</v>
      </c>
      <c r="M46">
        <v>-0.01434394297531139</v>
      </c>
      <c r="N46">
        <v>0.05</v>
      </c>
      <c r="O46">
        <v>0.06040760528466937</v>
      </c>
      <c r="P46" t="s">
        <v>633</v>
      </c>
      <c r="Q46" t="s">
        <v>634</v>
      </c>
      <c r="R46">
        <v>33</v>
      </c>
      <c r="S46">
        <v>0.3921052631578947</v>
      </c>
      <c r="T46">
        <v>114</v>
      </c>
      <c r="U46">
        <v>1.074912280701754</v>
      </c>
      <c r="V46">
        <v>7.984</v>
      </c>
      <c r="W46">
        <v>7.6</v>
      </c>
      <c r="X46">
        <v>2.98</v>
      </c>
      <c r="Y46">
        <v>0.412077</v>
      </c>
      <c r="Z46">
        <v>0.3893653516295026</v>
      </c>
      <c r="AA46">
        <v>0.7831715210355987</v>
      </c>
      <c r="AB46">
        <v>0.4588045234248789</v>
      </c>
      <c r="AC46">
        <v>0.6058158319870759</v>
      </c>
      <c r="AD46">
        <v>0.4749596122778675</v>
      </c>
    </row>
    <row r="47" spans="1:30">
      <c r="A47" s="1" t="s">
        <v>54</v>
      </c>
      <c r="B47">
        <f>HYPERLINK("https://www.suredividend.com/sure-analysis-V","Visa, Inc.")</f>
        <v>0</v>
      </c>
      <c r="C47">
        <v>188</v>
      </c>
      <c r="D47">
        <v>370075.50524</v>
      </c>
      <c r="E47" t="s">
        <v>658</v>
      </c>
      <c r="F47" t="s">
        <v>629</v>
      </c>
      <c r="G47" t="s">
        <v>673</v>
      </c>
      <c r="H47" t="s">
        <v>703</v>
      </c>
      <c r="I47" t="s">
        <v>753</v>
      </c>
      <c r="J47" t="s">
        <v>1309</v>
      </c>
      <c r="K47">
        <v>43763</v>
      </c>
      <c r="L47">
        <v>0.00531914893617</v>
      </c>
      <c r="M47">
        <v>-0.05996451603775044</v>
      </c>
      <c r="N47">
        <v>0.12</v>
      </c>
      <c r="O47">
        <v>0.05961485120503651</v>
      </c>
      <c r="P47" t="s">
        <v>633</v>
      </c>
      <c r="Q47" t="s">
        <v>405</v>
      </c>
      <c r="R47">
        <v>11</v>
      </c>
      <c r="S47">
        <v>0.16</v>
      </c>
      <c r="T47">
        <v>138</v>
      </c>
      <c r="U47">
        <v>1.36231884057971</v>
      </c>
      <c r="V47">
        <v>5.325</v>
      </c>
      <c r="W47">
        <v>6.25</v>
      </c>
      <c r="X47">
        <v>1</v>
      </c>
      <c r="Y47">
        <v>0.512957</v>
      </c>
      <c r="Z47">
        <v>0.0137221269296741</v>
      </c>
      <c r="AA47">
        <v>0.8754045307443366</v>
      </c>
      <c r="AB47">
        <v>0.9571890145395799</v>
      </c>
      <c r="AC47">
        <v>0.210016155088853</v>
      </c>
      <c r="AD47">
        <v>0.4717285945072698</v>
      </c>
    </row>
    <row r="48" spans="1:30">
      <c r="A48" s="1" t="s">
        <v>55</v>
      </c>
      <c r="B48">
        <f>HYPERLINK("https://www.suredividend.com/sure-analysis-EBTC","Enterprise Bancorp, Inc.")</f>
        <v>0</v>
      </c>
      <c r="C48">
        <v>34.71</v>
      </c>
      <c r="D48">
        <v>410.13336</v>
      </c>
      <c r="E48" t="s">
        <v>659</v>
      </c>
      <c r="F48" t="s">
        <v>629</v>
      </c>
      <c r="G48" t="s">
        <v>673</v>
      </c>
      <c r="H48" t="s">
        <v>704</v>
      </c>
      <c r="I48" t="s">
        <v>754</v>
      </c>
      <c r="J48" t="s">
        <v>1309</v>
      </c>
      <c r="K48">
        <v>43756</v>
      </c>
      <c r="L48">
        <v>0.018006338231057</v>
      </c>
      <c r="M48">
        <v>-0.01005317922131321</v>
      </c>
      <c r="N48">
        <v>0.05</v>
      </c>
      <c r="O48">
        <v>0.05719959439184308</v>
      </c>
      <c r="P48" t="s">
        <v>633</v>
      </c>
      <c r="Q48" t="s">
        <v>634</v>
      </c>
      <c r="R48">
        <v>25</v>
      </c>
      <c r="S48">
        <v>0.2272727272727273</v>
      </c>
      <c r="T48">
        <v>33</v>
      </c>
      <c r="U48">
        <v>1.051818181818182</v>
      </c>
      <c r="V48">
        <v>2.717</v>
      </c>
      <c r="W48">
        <v>2.75</v>
      </c>
      <c r="X48">
        <v>0.625</v>
      </c>
      <c r="Y48">
        <v>0.162814</v>
      </c>
      <c r="Z48">
        <v>0.2469982847341338</v>
      </c>
      <c r="AA48">
        <v>0.3818770226537216</v>
      </c>
      <c r="AB48">
        <v>0.4588045234248789</v>
      </c>
      <c r="AC48">
        <v>0.6284329563812601</v>
      </c>
      <c r="AD48">
        <v>0.45718901453958</v>
      </c>
    </row>
    <row r="49" spans="1:30">
      <c r="A49" s="1" t="s">
        <v>56</v>
      </c>
      <c r="B49">
        <f>HYPERLINK("https://www.suredividend.com/sure-analysis-CNI","Canadian National Railway Co.")</f>
        <v>0</v>
      </c>
      <c r="C49">
        <v>90.7</v>
      </c>
      <c r="D49">
        <v>64877.71</v>
      </c>
      <c r="E49" t="s">
        <v>660</v>
      </c>
      <c r="F49" t="s">
        <v>629</v>
      </c>
      <c r="G49" t="s">
        <v>675</v>
      </c>
      <c r="H49" t="s">
        <v>703</v>
      </c>
      <c r="I49" t="s">
        <v>755</v>
      </c>
      <c r="J49" t="s">
        <v>1313</v>
      </c>
      <c r="K49">
        <v>43761</v>
      </c>
      <c r="L49">
        <v>0.0171731734231</v>
      </c>
      <c r="M49">
        <v>-0.02971914299125678</v>
      </c>
      <c r="N49">
        <v>0.07000000000000001</v>
      </c>
      <c r="O49">
        <v>0.05604965017648755</v>
      </c>
      <c r="P49" t="s">
        <v>633</v>
      </c>
      <c r="Q49" t="s">
        <v>494</v>
      </c>
      <c r="R49">
        <v>24</v>
      </c>
      <c r="S49">
        <v>0.3386101803206957</v>
      </c>
      <c r="T49">
        <v>78</v>
      </c>
      <c r="U49">
        <v>1.162820512820513</v>
      </c>
      <c r="V49">
        <v>4.6738</v>
      </c>
      <c r="W49">
        <v>4.6</v>
      </c>
      <c r="X49">
        <v>1.5576068294752</v>
      </c>
      <c r="Y49">
        <v>0.257278</v>
      </c>
      <c r="Z49">
        <v>0.2264150943396226</v>
      </c>
      <c r="AA49">
        <v>0.5679611650485437</v>
      </c>
      <c r="AB49">
        <v>0.7245557350565428</v>
      </c>
      <c r="AC49">
        <v>0.4636510500807754</v>
      </c>
      <c r="AD49">
        <v>0.4507269789983845</v>
      </c>
    </row>
    <row r="50" spans="1:30">
      <c r="A50" s="1" t="s">
        <v>57</v>
      </c>
      <c r="B50">
        <f>HYPERLINK("https://www.suredividend.com/sure-analysis-ABM","ABM Industries, Inc.")</f>
        <v>0</v>
      </c>
      <c r="C50">
        <v>38.7</v>
      </c>
      <c r="D50">
        <v>2570.2992</v>
      </c>
      <c r="E50" t="s">
        <v>663</v>
      </c>
      <c r="F50" t="s">
        <v>629</v>
      </c>
      <c r="G50" t="s">
        <v>673</v>
      </c>
      <c r="H50" t="s">
        <v>703</v>
      </c>
      <c r="I50" t="s">
        <v>756</v>
      </c>
      <c r="J50" t="s">
        <v>1319</v>
      </c>
      <c r="K50">
        <v>43737</v>
      </c>
      <c r="L50">
        <v>0.01860465116279</v>
      </c>
      <c r="M50">
        <v>-0.01989768304307793</v>
      </c>
      <c r="N50">
        <v>0.06</v>
      </c>
      <c r="O50">
        <v>0.05563891830360257</v>
      </c>
      <c r="P50" t="s">
        <v>633</v>
      </c>
      <c r="Q50" t="s">
        <v>634</v>
      </c>
      <c r="R50">
        <v>52</v>
      </c>
      <c r="S50">
        <v>0.36</v>
      </c>
      <c r="T50">
        <v>35</v>
      </c>
      <c r="U50">
        <v>1.105714285714286</v>
      </c>
      <c r="V50">
        <v>1.912</v>
      </c>
      <c r="W50">
        <v>2</v>
      </c>
      <c r="X50">
        <v>0.72</v>
      </c>
      <c r="Y50">
        <v>0.281881</v>
      </c>
      <c r="Z50">
        <v>0.2658662092624357</v>
      </c>
      <c r="AA50">
        <v>0.6067961165048543</v>
      </c>
      <c r="AB50">
        <v>0.6130856219709209</v>
      </c>
      <c r="AC50">
        <v>0.5654281098546042</v>
      </c>
      <c r="AD50">
        <v>0.4458804523424879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105.99</v>
      </c>
      <c r="D51">
        <v>15399.60507</v>
      </c>
      <c r="E51" t="s">
        <v>661</v>
      </c>
      <c r="F51" t="s">
        <v>629</v>
      </c>
      <c r="G51" t="s">
        <v>673</v>
      </c>
      <c r="H51" t="s">
        <v>703</v>
      </c>
      <c r="I51" t="s">
        <v>757</v>
      </c>
      <c r="J51" t="s">
        <v>1311</v>
      </c>
      <c r="K51">
        <v>43758</v>
      </c>
      <c r="L51">
        <v>0.028375318426266</v>
      </c>
      <c r="M51">
        <v>-0.03217792550664944</v>
      </c>
      <c r="N51">
        <v>0.06</v>
      </c>
      <c r="O51">
        <v>0.05529159739966794</v>
      </c>
      <c r="P51" t="s">
        <v>633</v>
      </c>
      <c r="Q51" t="s">
        <v>633</v>
      </c>
      <c r="R51">
        <v>63</v>
      </c>
      <c r="S51">
        <v>0.5323008849557521</v>
      </c>
      <c r="T51">
        <v>90</v>
      </c>
      <c r="U51">
        <v>1.177666666666667</v>
      </c>
      <c r="V51">
        <v>5.4722</v>
      </c>
      <c r="W51">
        <v>5.65</v>
      </c>
      <c r="X51">
        <v>3.0075</v>
      </c>
      <c r="Y51">
        <v>0.13711</v>
      </c>
      <c r="Z51">
        <v>0.4785591766723842</v>
      </c>
      <c r="AA51">
        <v>0.3349514563106796</v>
      </c>
      <c r="AB51">
        <v>0.6130856219709209</v>
      </c>
      <c r="AC51">
        <v>0.4378029079159936</v>
      </c>
      <c r="AD51">
        <v>0.4410339256865912</v>
      </c>
    </row>
    <row r="52" spans="1:30">
      <c r="A52" s="1" t="s">
        <v>59</v>
      </c>
      <c r="B52">
        <f>HYPERLINK("https://www.suredividend.com/sure-analysis-CTBI","Community Trust Bancorp, Inc. (Kentucky)")</f>
        <v>0</v>
      </c>
      <c r="C52">
        <v>46.97</v>
      </c>
      <c r="D52">
        <v>835.26751</v>
      </c>
      <c r="E52" t="s">
        <v>659</v>
      </c>
      <c r="F52" t="s">
        <v>629</v>
      </c>
      <c r="G52" t="s">
        <v>673</v>
      </c>
      <c r="H52" t="s">
        <v>704</v>
      </c>
      <c r="I52" t="s">
        <v>758</v>
      </c>
      <c r="J52" t="s">
        <v>1309</v>
      </c>
      <c r="K52">
        <v>43755</v>
      </c>
      <c r="L52">
        <v>0.031083670427932</v>
      </c>
      <c r="M52">
        <v>-0.01750674152868748</v>
      </c>
      <c r="N52">
        <v>0.04</v>
      </c>
      <c r="O52">
        <v>0.0519082581308874</v>
      </c>
      <c r="P52" t="s">
        <v>633</v>
      </c>
      <c r="Q52" t="s">
        <v>633</v>
      </c>
      <c r="R52">
        <v>38</v>
      </c>
      <c r="S52">
        <v>0.4112676056338028</v>
      </c>
      <c r="T52">
        <v>43</v>
      </c>
      <c r="U52">
        <v>1.092325581395349</v>
      </c>
      <c r="V52">
        <v>3.6266</v>
      </c>
      <c r="W52">
        <v>3.55</v>
      </c>
      <c r="X52">
        <v>1.46</v>
      </c>
      <c r="Y52">
        <v>0.223177</v>
      </c>
      <c r="Z52">
        <v>0.5283018867924528</v>
      </c>
      <c r="AA52">
        <v>0.5113268608414239</v>
      </c>
      <c r="AB52">
        <v>0.3182552504038772</v>
      </c>
      <c r="AC52">
        <v>0.5767366720516963</v>
      </c>
      <c r="AD52">
        <v>0.4200323101777059</v>
      </c>
    </row>
    <row r="53" spans="1:30">
      <c r="A53" s="1" t="s">
        <v>60</v>
      </c>
      <c r="B53">
        <f>HYPERLINK("https://www.suredividend.com/sure-analysis-SON","Sonoco Products Co.")</f>
        <v>0</v>
      </c>
      <c r="C53">
        <v>62.2</v>
      </c>
      <c r="D53">
        <v>6226.0956</v>
      </c>
      <c r="E53" t="s">
        <v>660</v>
      </c>
      <c r="F53" t="s">
        <v>629</v>
      </c>
      <c r="G53" t="s">
        <v>673</v>
      </c>
      <c r="H53" t="s">
        <v>703</v>
      </c>
      <c r="I53" t="s">
        <v>759</v>
      </c>
      <c r="J53" t="s">
        <v>1314</v>
      </c>
      <c r="K53">
        <v>43756</v>
      </c>
      <c r="L53">
        <v>0.02700964630225</v>
      </c>
      <c r="M53">
        <v>-0.0243041428468711</v>
      </c>
      <c r="N53">
        <v>0.05</v>
      </c>
      <c r="O53">
        <v>0.05177938064339171</v>
      </c>
      <c r="P53" t="s">
        <v>633</v>
      </c>
      <c r="Q53" t="s">
        <v>633</v>
      </c>
      <c r="R53">
        <v>37</v>
      </c>
      <c r="S53">
        <v>0.4772727272727273</v>
      </c>
      <c r="T53">
        <v>55</v>
      </c>
      <c r="U53">
        <v>1.130909090909091</v>
      </c>
      <c r="V53">
        <v>3.2291</v>
      </c>
      <c r="W53">
        <v>3.52</v>
      </c>
      <c r="X53">
        <v>1.68</v>
      </c>
      <c r="Y53">
        <v>0.197997</v>
      </c>
      <c r="Z53">
        <v>0.4511149228130361</v>
      </c>
      <c r="AA53">
        <v>0.4514563106796116</v>
      </c>
      <c r="AB53">
        <v>0.4588045234248789</v>
      </c>
      <c r="AC53">
        <v>0.5250403877221325</v>
      </c>
      <c r="AD53">
        <v>0.4168012924071083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66.15000000000001</v>
      </c>
      <c r="D54">
        <v>9939.4344</v>
      </c>
      <c r="E54" t="s">
        <v>661</v>
      </c>
      <c r="F54" t="s">
        <v>629</v>
      </c>
      <c r="G54" t="s">
        <v>673</v>
      </c>
      <c r="H54" t="s">
        <v>704</v>
      </c>
      <c r="I54" t="s">
        <v>760</v>
      </c>
      <c r="J54" t="s">
        <v>1309</v>
      </c>
      <c r="K54">
        <v>43765</v>
      </c>
      <c r="L54">
        <v>0.009977324263038</v>
      </c>
      <c r="M54">
        <v>-0.03624516867165128</v>
      </c>
      <c r="N54">
        <v>0.08</v>
      </c>
      <c r="O54">
        <v>0.05093680101962006</v>
      </c>
      <c r="P54" t="s">
        <v>633</v>
      </c>
      <c r="Q54" t="s">
        <v>494</v>
      </c>
      <c r="R54">
        <v>28</v>
      </c>
      <c r="S54">
        <v>0.2030769230769231</v>
      </c>
      <c r="T54">
        <v>55</v>
      </c>
      <c r="U54">
        <v>1.202727272727273</v>
      </c>
      <c r="V54">
        <v>3.2012</v>
      </c>
      <c r="W54">
        <v>3.25</v>
      </c>
      <c r="X54">
        <v>0.66</v>
      </c>
      <c r="Y54">
        <v>0.5151169999999999</v>
      </c>
      <c r="Z54">
        <v>0.0686106346483705</v>
      </c>
      <c r="AA54">
        <v>0.8786407766990291</v>
      </c>
      <c r="AB54">
        <v>0.8182552504038771</v>
      </c>
      <c r="AC54">
        <v>0.395799676898223</v>
      </c>
      <c r="AD54">
        <v>0.4135702746365105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171.09</v>
      </c>
      <c r="D55">
        <v>74030.30082</v>
      </c>
      <c r="E55" t="s">
        <v>661</v>
      </c>
      <c r="F55" t="s">
        <v>629</v>
      </c>
      <c r="G55" t="s">
        <v>673</v>
      </c>
      <c r="H55" t="s">
        <v>704</v>
      </c>
      <c r="I55" t="s">
        <v>761</v>
      </c>
      <c r="J55" t="s">
        <v>1320</v>
      </c>
      <c r="K55">
        <v>43777</v>
      </c>
      <c r="L55">
        <v>0.018469811210474</v>
      </c>
      <c r="M55">
        <v>-0.04486918575981746</v>
      </c>
      <c r="N55">
        <v>0.08</v>
      </c>
      <c r="O55">
        <v>0.05087210642797046</v>
      </c>
      <c r="P55" t="s">
        <v>633</v>
      </c>
      <c r="Q55" t="s">
        <v>634</v>
      </c>
      <c r="R55">
        <v>44</v>
      </c>
      <c r="S55">
        <v>0.512987012987013</v>
      </c>
      <c r="T55">
        <v>136</v>
      </c>
      <c r="U55">
        <v>1.258014705882353</v>
      </c>
      <c r="V55">
        <v>5.466</v>
      </c>
      <c r="W55">
        <v>6.16</v>
      </c>
      <c r="X55">
        <v>3.16</v>
      </c>
      <c r="Y55">
        <v>0.364681</v>
      </c>
      <c r="Z55">
        <v>0.2590051457975986</v>
      </c>
      <c r="AA55">
        <v>0.7055016181229773</v>
      </c>
      <c r="AB55">
        <v>0.8182552504038771</v>
      </c>
      <c r="AC55">
        <v>0.321486268174475</v>
      </c>
      <c r="AD55">
        <v>0.4119547657512116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165.64</v>
      </c>
      <c r="D56">
        <v>25179.26768</v>
      </c>
      <c r="E56" t="s">
        <v>660</v>
      </c>
      <c r="F56" t="s">
        <v>629</v>
      </c>
      <c r="G56" t="s">
        <v>673</v>
      </c>
      <c r="H56" t="s">
        <v>703</v>
      </c>
      <c r="I56" t="s">
        <v>762</v>
      </c>
      <c r="J56" t="s">
        <v>1317</v>
      </c>
      <c r="K56">
        <v>43762</v>
      </c>
      <c r="L56">
        <v>0.016119294856314</v>
      </c>
      <c r="M56">
        <v>-0.04438767620451634</v>
      </c>
      <c r="N56">
        <v>0.08</v>
      </c>
      <c r="O56">
        <v>0.0500475273627301</v>
      </c>
      <c r="P56" t="s">
        <v>633</v>
      </c>
      <c r="Q56" t="s">
        <v>634</v>
      </c>
      <c r="R56">
        <v>51</v>
      </c>
      <c r="S56">
        <v>0.3178571428571428</v>
      </c>
      <c r="T56">
        <v>132</v>
      </c>
      <c r="U56">
        <v>1.254848484848485</v>
      </c>
      <c r="V56">
        <v>4.6567</v>
      </c>
      <c r="W56">
        <v>8.4</v>
      </c>
      <c r="X56">
        <v>2.67</v>
      </c>
      <c r="Y56">
        <v>0.456944</v>
      </c>
      <c r="Z56">
        <v>0.2006861063464837</v>
      </c>
      <c r="AA56">
        <v>0.8284789644012944</v>
      </c>
      <c r="AB56">
        <v>0.8182552504038771</v>
      </c>
      <c r="AC56">
        <v>0.332794830371567</v>
      </c>
      <c r="AD56">
        <v>0.4054927302100162</v>
      </c>
    </row>
    <row r="57" spans="1:30">
      <c r="A57" s="1" t="s">
        <v>64</v>
      </c>
      <c r="B57">
        <f>HYPERLINK("https://www.suredividend.com/sure-analysis-MMM","3M Co.")</f>
        <v>0</v>
      </c>
      <c r="C57">
        <v>175.37</v>
      </c>
      <c r="D57">
        <v>100846.69387</v>
      </c>
      <c r="E57" t="s">
        <v>660</v>
      </c>
      <c r="F57" t="s">
        <v>629</v>
      </c>
      <c r="G57" t="s">
        <v>673</v>
      </c>
      <c r="H57" t="s">
        <v>703</v>
      </c>
      <c r="I57" t="s">
        <v>763</v>
      </c>
      <c r="J57" t="s">
        <v>1316</v>
      </c>
      <c r="K57">
        <v>43762</v>
      </c>
      <c r="L57">
        <v>0.032388663967611</v>
      </c>
      <c r="M57">
        <v>-0.03206500157451941</v>
      </c>
      <c r="N57">
        <v>0.05</v>
      </c>
      <c r="O57">
        <v>0.04977433090249406</v>
      </c>
      <c r="P57" t="s">
        <v>633</v>
      </c>
      <c r="Q57" t="s">
        <v>633</v>
      </c>
      <c r="R57">
        <v>61</v>
      </c>
      <c r="S57">
        <v>0.6283185840707964</v>
      </c>
      <c r="T57">
        <v>149</v>
      </c>
      <c r="U57">
        <v>1.176979865771812</v>
      </c>
      <c r="V57">
        <v>8.555899999999999</v>
      </c>
      <c r="W57">
        <v>9.039999999999999</v>
      </c>
      <c r="X57">
        <v>5.68</v>
      </c>
      <c r="Y57">
        <v>-0.045605</v>
      </c>
      <c r="Z57">
        <v>0.5471698113207547</v>
      </c>
      <c r="AA57">
        <v>0.1148867313915858</v>
      </c>
      <c r="AB57">
        <v>0.4588045234248789</v>
      </c>
      <c r="AC57">
        <v>0.4394184168012925</v>
      </c>
      <c r="AD57">
        <v>0.3990306946688207</v>
      </c>
    </row>
    <row r="58" spans="1:30">
      <c r="A58" s="1" t="s">
        <v>65</v>
      </c>
      <c r="B58">
        <f>HYPERLINK("https://www.suredividend.com/sure-analysis-CSL","Carlisle Cos., Inc.")</f>
        <v>0</v>
      </c>
      <c r="C58">
        <v>163.07</v>
      </c>
      <c r="D58">
        <v>9241.66611</v>
      </c>
      <c r="E58" t="s">
        <v>663</v>
      </c>
      <c r="F58" t="s">
        <v>629</v>
      </c>
      <c r="G58" t="s">
        <v>673</v>
      </c>
      <c r="H58" t="s">
        <v>703</v>
      </c>
      <c r="I58" t="s">
        <v>764</v>
      </c>
      <c r="J58" t="s">
        <v>1316</v>
      </c>
      <c r="K58">
        <v>43761</v>
      </c>
      <c r="L58">
        <v>0.010424970871404</v>
      </c>
      <c r="M58">
        <v>-0.03283403960035591</v>
      </c>
      <c r="N58">
        <v>0.07000000000000001</v>
      </c>
      <c r="O58">
        <v>0.04905955363349324</v>
      </c>
      <c r="P58" t="s">
        <v>633</v>
      </c>
      <c r="Q58" t="s">
        <v>494</v>
      </c>
      <c r="R58">
        <v>42</v>
      </c>
      <c r="S58">
        <v>0.2091020910209102</v>
      </c>
      <c r="T58">
        <v>138</v>
      </c>
      <c r="U58">
        <v>1.181666666666667</v>
      </c>
      <c r="V58">
        <v>7.9629</v>
      </c>
      <c r="W58">
        <v>8.130000000000001</v>
      </c>
      <c r="X58">
        <v>1.7</v>
      </c>
      <c r="Y58">
        <v>0.7272529999999999</v>
      </c>
      <c r="Z58">
        <v>0.07547169811320754</v>
      </c>
      <c r="AA58">
        <v>0.9579288025889967</v>
      </c>
      <c r="AB58">
        <v>0.7245557350565428</v>
      </c>
      <c r="AC58">
        <v>0.4264943457189015</v>
      </c>
      <c r="AD58">
        <v>0.3974151857835218</v>
      </c>
    </row>
    <row r="59" spans="1:30">
      <c r="A59" s="1" t="s">
        <v>66</v>
      </c>
      <c r="B59">
        <f>HYPERLINK("https://www.suredividend.com/sure-analysis-EV","Eaton Vance Corp.")</f>
        <v>0</v>
      </c>
      <c r="C59">
        <v>47.02</v>
      </c>
      <c r="D59">
        <v>5339.917284</v>
      </c>
      <c r="E59" t="s">
        <v>663</v>
      </c>
      <c r="F59" t="s">
        <v>629</v>
      </c>
      <c r="G59" t="s">
        <v>673</v>
      </c>
      <c r="H59" t="s">
        <v>703</v>
      </c>
      <c r="I59" t="s">
        <v>765</v>
      </c>
      <c r="J59" t="s">
        <v>1309</v>
      </c>
      <c r="K59">
        <v>43735</v>
      </c>
      <c r="L59">
        <v>0.030306252658443</v>
      </c>
      <c r="M59">
        <v>-0.04680046929454995</v>
      </c>
      <c r="N59">
        <v>0.065</v>
      </c>
      <c r="O59">
        <v>0.04883998553410196</v>
      </c>
      <c r="P59" t="s">
        <v>633</v>
      </c>
      <c r="Q59" t="s">
        <v>633</v>
      </c>
      <c r="R59">
        <v>38</v>
      </c>
      <c r="S59">
        <v>0.4241071428571429</v>
      </c>
      <c r="T59">
        <v>37</v>
      </c>
      <c r="U59">
        <v>1.270810810810811</v>
      </c>
      <c r="V59">
        <v>3.6372</v>
      </c>
      <c r="W59">
        <v>3.36</v>
      </c>
      <c r="X59">
        <v>1.425</v>
      </c>
      <c r="Y59">
        <v>0.409472</v>
      </c>
      <c r="Z59">
        <v>0.5197255574614065</v>
      </c>
      <c r="AA59">
        <v>0.773462783171521</v>
      </c>
      <c r="AB59">
        <v>0.6825525040387723</v>
      </c>
      <c r="AC59">
        <v>0.3069466882067852</v>
      </c>
      <c r="AD59">
        <v>0.395799676898223</v>
      </c>
    </row>
    <row r="60" spans="1:30">
      <c r="A60" s="1" t="s">
        <v>67</v>
      </c>
      <c r="B60">
        <f>HYPERLINK("https://www.suredividend.com/sure-analysis-OSK","Oshkosh Corp.")</f>
        <v>0</v>
      </c>
      <c r="C60">
        <v>94.53</v>
      </c>
      <c r="D60">
        <v>6433.42821</v>
      </c>
      <c r="E60" t="s">
        <v>658</v>
      </c>
      <c r="F60" t="s">
        <v>629</v>
      </c>
      <c r="G60" t="s">
        <v>673</v>
      </c>
      <c r="H60" t="s">
        <v>703</v>
      </c>
      <c r="I60" t="s">
        <v>766</v>
      </c>
      <c r="J60" t="s">
        <v>1316</v>
      </c>
      <c r="K60">
        <v>43768</v>
      </c>
      <c r="L60">
        <v>0.011424944462075</v>
      </c>
      <c r="M60">
        <v>-0.005411040770679776</v>
      </c>
      <c r="N60">
        <v>0.04</v>
      </c>
      <c r="O60">
        <v>0.04841260897313737</v>
      </c>
      <c r="P60" t="s">
        <v>633</v>
      </c>
      <c r="Q60" t="s">
        <v>405</v>
      </c>
      <c r="R60">
        <v>6</v>
      </c>
      <c r="S60">
        <v>0.135</v>
      </c>
      <c r="T60">
        <v>92</v>
      </c>
      <c r="U60">
        <v>1.0275</v>
      </c>
      <c r="V60">
        <v>8.317399999999999</v>
      </c>
      <c r="W60">
        <v>8</v>
      </c>
      <c r="X60">
        <v>1.08</v>
      </c>
      <c r="Y60">
        <v>0.598951</v>
      </c>
      <c r="Z60">
        <v>0.08919382504288163</v>
      </c>
      <c r="AA60">
        <v>0.9255663430420712</v>
      </c>
      <c r="AB60">
        <v>0.3182552504038772</v>
      </c>
      <c r="AC60">
        <v>0.6655896607431341</v>
      </c>
      <c r="AD60">
        <v>0.3893376413570275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27.45</v>
      </c>
      <c r="D61">
        <v>124.04655</v>
      </c>
      <c r="E61" t="s">
        <v>661</v>
      </c>
      <c r="F61" t="s">
        <v>629</v>
      </c>
      <c r="G61" t="s">
        <v>673</v>
      </c>
      <c r="H61" t="s">
        <v>705</v>
      </c>
      <c r="I61" t="s">
        <v>767</v>
      </c>
      <c r="J61" t="s">
        <v>1309</v>
      </c>
      <c r="K61">
        <v>43737</v>
      </c>
      <c r="L61">
        <v>0.013843351548269</v>
      </c>
      <c r="M61">
        <v>-0.02650488048558397</v>
      </c>
      <c r="N61">
        <v>0.06</v>
      </c>
      <c r="O61">
        <v>0.04790048682270398</v>
      </c>
      <c r="P61" t="s">
        <v>633</v>
      </c>
      <c r="Q61" t="s">
        <v>494</v>
      </c>
      <c r="R61">
        <v>8</v>
      </c>
      <c r="S61">
        <v>0.1583333333333334</v>
      </c>
      <c r="T61">
        <v>24</v>
      </c>
      <c r="U61">
        <v>1.14375</v>
      </c>
      <c r="V61">
        <v>2.4454</v>
      </c>
      <c r="W61">
        <v>2.4</v>
      </c>
      <c r="X61">
        <v>0.38</v>
      </c>
      <c r="Y61">
        <v>0.180645</v>
      </c>
      <c r="Z61">
        <v>0.1457975986277873</v>
      </c>
      <c r="AA61">
        <v>0.419093851132686</v>
      </c>
      <c r="AB61">
        <v>0.6130856219709209</v>
      </c>
      <c r="AC61">
        <v>0.5072697899838449</v>
      </c>
      <c r="AD61">
        <v>0.3861066235864297</v>
      </c>
    </row>
    <row r="62" spans="1:30">
      <c r="A62" s="1" t="s">
        <v>69</v>
      </c>
      <c r="B62">
        <f>HYPERLINK("https://www.suredividend.com/sure-analysis-AON","Aon Plc")</f>
        <v>0</v>
      </c>
      <c r="C62">
        <v>209.93</v>
      </c>
      <c r="D62">
        <v>49152.38041</v>
      </c>
      <c r="E62" t="s">
        <v>661</v>
      </c>
      <c r="F62" t="s">
        <v>629</v>
      </c>
      <c r="G62" t="s">
        <v>677</v>
      </c>
      <c r="H62" t="s">
        <v>703</v>
      </c>
      <c r="I62" t="s">
        <v>768</v>
      </c>
      <c r="J62" t="s">
        <v>1309</v>
      </c>
      <c r="K62">
        <v>43770</v>
      </c>
      <c r="L62">
        <v>0.008002667555851</v>
      </c>
      <c r="M62">
        <v>-0.05765480917091215</v>
      </c>
      <c r="N62">
        <v>0.1</v>
      </c>
      <c r="O62">
        <v>0.04650188756017637</v>
      </c>
      <c r="P62" t="s">
        <v>633</v>
      </c>
      <c r="Q62" t="s">
        <v>405</v>
      </c>
      <c r="R62">
        <v>8</v>
      </c>
      <c r="S62">
        <v>0.1836065573770492</v>
      </c>
      <c r="T62">
        <v>156</v>
      </c>
      <c r="U62">
        <v>1.345705128205128</v>
      </c>
      <c r="V62">
        <v>5.9301</v>
      </c>
      <c r="W62">
        <v>9.15</v>
      </c>
      <c r="X62">
        <v>1.68</v>
      </c>
      <c r="Y62">
        <v>0.4862300000000001</v>
      </c>
      <c r="Z62">
        <v>0.03430531732418525</v>
      </c>
      <c r="AA62">
        <v>0.8640776699029127</v>
      </c>
      <c r="AB62">
        <v>0.931340872374798</v>
      </c>
      <c r="AC62">
        <v>0.2310177705977383</v>
      </c>
      <c r="AD62">
        <v>0.3715670436187399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132.47</v>
      </c>
      <c r="D63">
        <v>31324.25361</v>
      </c>
      <c r="E63" t="s">
        <v>660</v>
      </c>
      <c r="F63" t="s">
        <v>629</v>
      </c>
      <c r="G63" t="s">
        <v>673</v>
      </c>
      <c r="H63" t="s">
        <v>703</v>
      </c>
      <c r="I63" t="s">
        <v>769</v>
      </c>
      <c r="J63" t="s">
        <v>1314</v>
      </c>
      <c r="K63">
        <v>43755</v>
      </c>
      <c r="L63">
        <v>0.014720314033366</v>
      </c>
      <c r="M63">
        <v>-0.03825089168001394</v>
      </c>
      <c r="N63">
        <v>0.07000000000000001</v>
      </c>
      <c r="O63">
        <v>0.04515815238016008</v>
      </c>
      <c r="P63" t="s">
        <v>633</v>
      </c>
      <c r="Q63" t="s">
        <v>634</v>
      </c>
      <c r="R63">
        <v>47</v>
      </c>
      <c r="S63">
        <v>0.3135048231511254</v>
      </c>
      <c r="T63">
        <v>109</v>
      </c>
      <c r="U63">
        <v>1.215321100917431</v>
      </c>
      <c r="V63">
        <v>5.0942</v>
      </c>
      <c r="W63">
        <v>6.22</v>
      </c>
      <c r="X63">
        <v>1.95</v>
      </c>
      <c r="Y63">
        <v>0.375311</v>
      </c>
      <c r="Z63">
        <v>0.1646655231560892</v>
      </c>
      <c r="AA63">
        <v>0.7200647249190939</v>
      </c>
      <c r="AB63">
        <v>0.7245557350565428</v>
      </c>
      <c r="AC63">
        <v>0.3764135702746365</v>
      </c>
      <c r="AD63">
        <v>0.358642972536349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76.27</v>
      </c>
      <c r="D64">
        <v>46594.33451</v>
      </c>
      <c r="E64" t="s">
        <v>661</v>
      </c>
      <c r="F64" t="s">
        <v>629</v>
      </c>
      <c r="G64" t="s">
        <v>673</v>
      </c>
      <c r="H64" t="s">
        <v>703</v>
      </c>
      <c r="I64" t="s">
        <v>770</v>
      </c>
      <c r="J64" t="s">
        <v>1316</v>
      </c>
      <c r="K64">
        <v>43784</v>
      </c>
      <c r="L64">
        <v>0.025698177527205</v>
      </c>
      <c r="M64">
        <v>-0.02851066377181455</v>
      </c>
      <c r="N64">
        <v>0.05</v>
      </c>
      <c r="O64">
        <v>0.04433331451223843</v>
      </c>
      <c r="P64" t="s">
        <v>633</v>
      </c>
      <c r="Q64" t="s">
        <v>633</v>
      </c>
      <c r="R64">
        <v>62</v>
      </c>
      <c r="S64">
        <v>0.536986301369863</v>
      </c>
      <c r="T64">
        <v>66</v>
      </c>
      <c r="U64">
        <v>1.155606060606061</v>
      </c>
      <c r="V64">
        <v>3.7453</v>
      </c>
      <c r="W64">
        <v>3.65</v>
      </c>
      <c r="X64">
        <v>1.96</v>
      </c>
      <c r="Y64">
        <v>0.341129</v>
      </c>
      <c r="Z64">
        <v>0.4236706689536878</v>
      </c>
      <c r="AA64">
        <v>0.6796116504854369</v>
      </c>
      <c r="AB64">
        <v>0.4588045234248789</v>
      </c>
      <c r="AC64">
        <v>0.4798061389337642</v>
      </c>
      <c r="AD64">
        <v>0.3521809369951535</v>
      </c>
    </row>
    <row r="65" spans="1:30">
      <c r="A65" s="1" t="s">
        <v>72</v>
      </c>
      <c r="B65">
        <f>HYPERLINK("https://www.suredividend.com/sure-analysis-CB","Chubb Ltd.")</f>
        <v>0</v>
      </c>
      <c r="C65">
        <v>155.54</v>
      </c>
      <c r="D65">
        <v>70491.03908</v>
      </c>
      <c r="E65" t="s">
        <v>663</v>
      </c>
      <c r="F65" t="s">
        <v>629</v>
      </c>
      <c r="G65" t="s">
        <v>678</v>
      </c>
      <c r="H65" t="s">
        <v>703</v>
      </c>
      <c r="I65" t="s">
        <v>771</v>
      </c>
      <c r="J65" t="s">
        <v>1309</v>
      </c>
      <c r="K65">
        <v>43767</v>
      </c>
      <c r="L65">
        <v>0.019030474476019</v>
      </c>
      <c r="M65">
        <v>-0.03523786143704688</v>
      </c>
      <c r="N65">
        <v>0.06</v>
      </c>
      <c r="O65">
        <v>0.04285983570672536</v>
      </c>
      <c r="P65" t="s">
        <v>633</v>
      </c>
      <c r="Q65" t="s">
        <v>634</v>
      </c>
      <c r="R65">
        <v>26</v>
      </c>
      <c r="S65">
        <v>0.2718089990817263</v>
      </c>
      <c r="T65">
        <v>130</v>
      </c>
      <c r="U65">
        <v>1.196461538461538</v>
      </c>
      <c r="V65">
        <v>7.9579</v>
      </c>
      <c r="W65">
        <v>10.89</v>
      </c>
      <c r="X65">
        <v>2.96</v>
      </c>
      <c r="Y65">
        <v>0.245416</v>
      </c>
      <c r="Z65">
        <v>0.281303602058319</v>
      </c>
      <c r="AA65">
        <v>0.5469255663430421</v>
      </c>
      <c r="AB65">
        <v>0.6130856219709209</v>
      </c>
      <c r="AC65">
        <v>0.4038772213247173</v>
      </c>
      <c r="AD65">
        <v>0.3376413570274637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53.14</v>
      </c>
      <c r="D66">
        <v>39005.71652</v>
      </c>
      <c r="E66" t="s">
        <v>658</v>
      </c>
      <c r="F66" t="s">
        <v>629</v>
      </c>
      <c r="G66" t="s">
        <v>673</v>
      </c>
      <c r="H66" t="s">
        <v>703</v>
      </c>
      <c r="I66" t="s">
        <v>772</v>
      </c>
      <c r="J66" t="s">
        <v>1309</v>
      </c>
      <c r="K66">
        <v>43764</v>
      </c>
      <c r="L66">
        <v>0.020135491155438</v>
      </c>
      <c r="M66">
        <v>-0.03704448388956449</v>
      </c>
      <c r="N66">
        <v>0.06</v>
      </c>
      <c r="O66">
        <v>0.04178202696351874</v>
      </c>
      <c r="P66" t="s">
        <v>633</v>
      </c>
      <c r="Q66" t="s">
        <v>633</v>
      </c>
      <c r="R66">
        <v>37</v>
      </c>
      <c r="S66">
        <v>0.2431818181818182</v>
      </c>
      <c r="T66">
        <v>44</v>
      </c>
      <c r="U66">
        <v>1.207727272727273</v>
      </c>
      <c r="V66">
        <v>4.0701</v>
      </c>
      <c r="W66">
        <v>4.4</v>
      </c>
      <c r="X66">
        <v>1.07</v>
      </c>
      <c r="Y66">
        <v>0.229239</v>
      </c>
      <c r="Z66">
        <v>0.3087478559176672</v>
      </c>
      <c r="AA66">
        <v>0.5210355987055016</v>
      </c>
      <c r="AB66">
        <v>0.6130856219709209</v>
      </c>
      <c r="AC66">
        <v>0.3909531502423264</v>
      </c>
      <c r="AD66">
        <v>0.3279483037156705</v>
      </c>
    </row>
    <row r="67" spans="1:30">
      <c r="A67" s="1" t="s">
        <v>74</v>
      </c>
      <c r="B67">
        <f>HYPERLINK("https://www.suredividend.com/sure-analysis-FUL","H.B. Fuller Co.")</f>
        <v>0</v>
      </c>
      <c r="C67">
        <v>51.27</v>
      </c>
      <c r="D67">
        <v>2613.84714</v>
      </c>
      <c r="E67" t="s">
        <v>659</v>
      </c>
      <c r="F67" t="s">
        <v>629</v>
      </c>
      <c r="G67" t="s">
        <v>673</v>
      </c>
      <c r="H67" t="s">
        <v>703</v>
      </c>
      <c r="I67" t="s">
        <v>773</v>
      </c>
      <c r="J67" t="s">
        <v>1314</v>
      </c>
      <c r="K67">
        <v>43734</v>
      </c>
      <c r="L67">
        <v>0.012287887653598</v>
      </c>
      <c r="M67">
        <v>-0.02575129033651014</v>
      </c>
      <c r="N67">
        <v>0.05</v>
      </c>
      <c r="O67">
        <v>0.03607966796194306</v>
      </c>
      <c r="P67" t="s">
        <v>633</v>
      </c>
      <c r="Q67" t="s">
        <v>634</v>
      </c>
      <c r="R67">
        <v>50</v>
      </c>
      <c r="S67">
        <v>0.21</v>
      </c>
      <c r="T67">
        <v>45</v>
      </c>
      <c r="U67">
        <v>1.139333333333333</v>
      </c>
      <c r="V67">
        <v>2.7524</v>
      </c>
      <c r="W67">
        <v>3</v>
      </c>
      <c r="X67">
        <v>0.63</v>
      </c>
      <c r="Y67">
        <v>0.271577</v>
      </c>
      <c r="Z67">
        <v>0.1114922813036021</v>
      </c>
      <c r="AA67">
        <v>0.5922330097087378</v>
      </c>
      <c r="AB67">
        <v>0.4588045234248789</v>
      </c>
      <c r="AC67">
        <v>0.512924071082391</v>
      </c>
      <c r="AD67">
        <v>0.2859450726978998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85.44</v>
      </c>
      <c r="D68">
        <v>43593.79488</v>
      </c>
      <c r="E68" t="s">
        <v>666</v>
      </c>
      <c r="F68" t="s">
        <v>629</v>
      </c>
      <c r="G68" t="s">
        <v>673</v>
      </c>
      <c r="H68" t="s">
        <v>703</v>
      </c>
      <c r="I68" t="s">
        <v>774</v>
      </c>
      <c r="J68" t="s">
        <v>1311</v>
      </c>
      <c r="K68">
        <v>43790</v>
      </c>
      <c r="L68">
        <v>0.018258426966292</v>
      </c>
      <c r="M68">
        <v>-0.05032164617410684</v>
      </c>
      <c r="N68">
        <v>0.07000000000000001</v>
      </c>
      <c r="O68">
        <v>0.03599921622486835</v>
      </c>
      <c r="P68" t="s">
        <v>633</v>
      </c>
      <c r="Q68" t="s">
        <v>634</v>
      </c>
      <c r="R68">
        <v>49</v>
      </c>
      <c r="S68">
        <v>0.4394366197183099</v>
      </c>
      <c r="T68">
        <v>66</v>
      </c>
      <c r="U68">
        <v>1.294545454545454</v>
      </c>
      <c r="V68">
        <v>3.3037</v>
      </c>
      <c r="W68">
        <v>3.55</v>
      </c>
      <c r="X68">
        <v>1.56</v>
      </c>
      <c r="Y68">
        <v>0.403186</v>
      </c>
      <c r="Z68">
        <v>0.2538593481989708</v>
      </c>
      <c r="AA68">
        <v>0.7637540453074433</v>
      </c>
      <c r="AB68">
        <v>0.7245557350565428</v>
      </c>
      <c r="AC68">
        <v>0.2875605815831987</v>
      </c>
      <c r="AD68">
        <v>0.284329563812601</v>
      </c>
    </row>
    <row r="69" spans="1:30">
      <c r="A69" s="1" t="s">
        <v>76</v>
      </c>
      <c r="B69">
        <f>HYPERLINK("https://www.suredividend.com/sure-analysis-THFF","First Financial Corp. (Indiana)")</f>
        <v>0</v>
      </c>
      <c r="C69">
        <v>46.39</v>
      </c>
      <c r="D69">
        <v>636.14607</v>
      </c>
      <c r="E69" t="s">
        <v>661</v>
      </c>
      <c r="F69" t="s">
        <v>629</v>
      </c>
      <c r="G69" t="s">
        <v>673</v>
      </c>
      <c r="H69" t="s">
        <v>704</v>
      </c>
      <c r="I69" t="s">
        <v>775</v>
      </c>
      <c r="J69" t="s">
        <v>1309</v>
      </c>
      <c r="K69">
        <v>43764</v>
      </c>
      <c r="L69">
        <v>0.022203061004526</v>
      </c>
      <c r="M69">
        <v>-0.0105230976581655</v>
      </c>
      <c r="N69">
        <v>0.02</v>
      </c>
      <c r="O69">
        <v>0.03498329885377394</v>
      </c>
      <c r="P69" t="s">
        <v>633</v>
      </c>
      <c r="Q69" t="s">
        <v>633</v>
      </c>
      <c r="R69">
        <v>31</v>
      </c>
      <c r="S69">
        <v>0.2821917808219178</v>
      </c>
      <c r="T69">
        <v>44</v>
      </c>
      <c r="U69">
        <v>1.054318181818182</v>
      </c>
      <c r="V69">
        <v>3.6452</v>
      </c>
      <c r="W69">
        <v>3.65</v>
      </c>
      <c r="X69">
        <v>1.03</v>
      </c>
      <c r="Y69">
        <v>0.151402</v>
      </c>
      <c r="Z69">
        <v>0.339622641509434</v>
      </c>
      <c r="AA69">
        <v>0.3689320388349515</v>
      </c>
      <c r="AB69">
        <v>0.1219709208400646</v>
      </c>
      <c r="AC69">
        <v>0.6219709208400647</v>
      </c>
      <c r="AD69">
        <v>0.2778675282714055</v>
      </c>
    </row>
    <row r="70" spans="1:30">
      <c r="A70" s="1" t="s">
        <v>77</v>
      </c>
      <c r="B70">
        <f>HYPERLINK("https://www.suredividend.com/sure-analysis-SPGI","S&amp;P Global, Inc.")</f>
        <v>0</v>
      </c>
      <c r="C70">
        <v>271.66</v>
      </c>
      <c r="D70">
        <v>66393.704</v>
      </c>
      <c r="E70" t="s">
        <v>661</v>
      </c>
      <c r="F70" t="s">
        <v>629</v>
      </c>
      <c r="G70" t="s">
        <v>673</v>
      </c>
      <c r="H70" t="s">
        <v>703</v>
      </c>
      <c r="I70" t="s">
        <v>776</v>
      </c>
      <c r="J70" t="s">
        <v>1319</v>
      </c>
      <c r="K70">
        <v>43774</v>
      </c>
      <c r="L70">
        <v>0.008135168961201001</v>
      </c>
      <c r="M70">
        <v>-0.07097707584748003</v>
      </c>
      <c r="N70">
        <v>0.1</v>
      </c>
      <c r="O70">
        <v>0.03344921231940012</v>
      </c>
      <c r="P70" t="s">
        <v>633</v>
      </c>
      <c r="Q70" t="s">
        <v>494</v>
      </c>
      <c r="R70">
        <v>46</v>
      </c>
      <c r="S70">
        <v>0.2351063829787234</v>
      </c>
      <c r="T70">
        <v>188</v>
      </c>
      <c r="U70">
        <v>1.445</v>
      </c>
      <c r="V70">
        <v>8.485799999999999</v>
      </c>
      <c r="W70">
        <v>9.4</v>
      </c>
      <c r="X70">
        <v>2.21</v>
      </c>
      <c r="Y70">
        <v>0.681064</v>
      </c>
      <c r="Z70">
        <v>0.03602058319039451</v>
      </c>
      <c r="AA70">
        <v>0.948220064724919</v>
      </c>
      <c r="AB70">
        <v>0.931340872374798</v>
      </c>
      <c r="AC70">
        <v>0.1550888529886914</v>
      </c>
      <c r="AD70">
        <v>0.2681744749596123</v>
      </c>
    </row>
    <row r="71" spans="1:30">
      <c r="A71" s="1" t="s">
        <v>78</v>
      </c>
      <c r="B71">
        <f>HYPERLINK("https://www.suredividend.com/sure-analysis-MA","Mastercard, Inc.")</f>
        <v>0</v>
      </c>
      <c r="C71">
        <v>298.57</v>
      </c>
      <c r="D71">
        <v>301092.61793</v>
      </c>
      <c r="E71" t="s">
        <v>660</v>
      </c>
      <c r="F71" t="s">
        <v>629</v>
      </c>
      <c r="G71" t="s">
        <v>673</v>
      </c>
      <c r="H71" t="s">
        <v>703</v>
      </c>
      <c r="I71" t="s">
        <v>777</v>
      </c>
      <c r="J71" t="s">
        <v>1309</v>
      </c>
      <c r="K71">
        <v>43767</v>
      </c>
      <c r="L71">
        <v>0.004421073785042</v>
      </c>
      <c r="M71">
        <v>-0.106528815310555</v>
      </c>
      <c r="N71">
        <v>0.15</v>
      </c>
      <c r="O71">
        <v>0.03338179487321913</v>
      </c>
      <c r="P71" t="s">
        <v>633</v>
      </c>
      <c r="Q71" t="s">
        <v>405</v>
      </c>
      <c r="R71">
        <v>8</v>
      </c>
      <c r="S71">
        <v>0.1734559789750328</v>
      </c>
      <c r="T71">
        <v>170</v>
      </c>
      <c r="U71">
        <v>1.756294117647059</v>
      </c>
      <c r="V71">
        <v>6.7747</v>
      </c>
      <c r="W71">
        <v>7.61</v>
      </c>
      <c r="X71">
        <v>1.32</v>
      </c>
      <c r="Y71">
        <v>0.704264</v>
      </c>
      <c r="Z71">
        <v>0.01029159519725557</v>
      </c>
      <c r="AA71">
        <v>0.9563106796116504</v>
      </c>
      <c r="AB71">
        <v>0.9749596122778675</v>
      </c>
      <c r="AC71">
        <v>0.05977382875605816</v>
      </c>
      <c r="AD71">
        <v>0.2649434571890145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78.43000000000001</v>
      </c>
      <c r="D72">
        <v>4819.83722</v>
      </c>
      <c r="E72" t="s">
        <v>663</v>
      </c>
      <c r="F72" t="s">
        <v>629</v>
      </c>
      <c r="G72" t="s">
        <v>673</v>
      </c>
      <c r="H72" t="s">
        <v>703</v>
      </c>
      <c r="I72" t="s">
        <v>778</v>
      </c>
      <c r="J72" t="s">
        <v>1321</v>
      </c>
      <c r="K72">
        <v>43776</v>
      </c>
      <c r="L72">
        <v>0.025755450720387</v>
      </c>
      <c r="M72">
        <v>-0.04286837343483341</v>
      </c>
      <c r="N72">
        <v>0.045</v>
      </c>
      <c r="O72">
        <v>0.02920303625908249</v>
      </c>
      <c r="P72" t="s">
        <v>633</v>
      </c>
      <c r="Q72" t="s">
        <v>634</v>
      </c>
      <c r="R72">
        <v>48</v>
      </c>
      <c r="S72">
        <v>0.5771428571428572</v>
      </c>
      <c r="T72">
        <v>63</v>
      </c>
      <c r="U72">
        <v>1.244920634920635</v>
      </c>
      <c r="V72">
        <v>3.6691</v>
      </c>
      <c r="W72">
        <v>3.5</v>
      </c>
      <c r="X72">
        <v>2.02</v>
      </c>
      <c r="Y72">
        <v>0.224703</v>
      </c>
      <c r="Z72">
        <v>0.4271012006861064</v>
      </c>
      <c r="AA72">
        <v>0.5145631067961165</v>
      </c>
      <c r="AB72">
        <v>0.3820678513731826</v>
      </c>
      <c r="AC72">
        <v>0.3521809369951535</v>
      </c>
      <c r="AD72">
        <v>0.2487883683360258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114.99</v>
      </c>
      <c r="D73">
        <v>16704.13734</v>
      </c>
      <c r="E73" t="s">
        <v>660</v>
      </c>
      <c r="F73" t="s">
        <v>629</v>
      </c>
      <c r="G73" t="s">
        <v>673</v>
      </c>
      <c r="H73" t="s">
        <v>703</v>
      </c>
      <c r="I73" t="s">
        <v>779</v>
      </c>
      <c r="J73" t="s">
        <v>1316</v>
      </c>
      <c r="K73">
        <v>43756</v>
      </c>
      <c r="L73">
        <v>0.016784068179841</v>
      </c>
      <c r="M73">
        <v>-0.037473475513643</v>
      </c>
      <c r="N73">
        <v>0.05</v>
      </c>
      <c r="O73">
        <v>0.02857466380164642</v>
      </c>
      <c r="P73" t="s">
        <v>633</v>
      </c>
      <c r="Q73" t="s">
        <v>634</v>
      </c>
      <c r="R73">
        <v>63</v>
      </c>
      <c r="S73">
        <v>0.3304794520547946</v>
      </c>
      <c r="T73">
        <v>95</v>
      </c>
      <c r="U73">
        <v>1.210421052631579</v>
      </c>
      <c r="V73">
        <v>4.4783</v>
      </c>
      <c r="W73">
        <v>5.84</v>
      </c>
      <c r="X73">
        <v>1.93</v>
      </c>
      <c r="Y73">
        <v>0.666763</v>
      </c>
      <c r="Z73">
        <v>0.2144082332761578</v>
      </c>
      <c r="AA73">
        <v>0.9433656957928802</v>
      </c>
      <c r="AB73">
        <v>0.4588045234248789</v>
      </c>
      <c r="AC73">
        <v>0.3861066235864297</v>
      </c>
      <c r="AD73">
        <v>0.247172859450727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115.23</v>
      </c>
      <c r="D74">
        <v>41353.97286</v>
      </c>
      <c r="E74" t="s">
        <v>659</v>
      </c>
      <c r="F74" t="s">
        <v>629</v>
      </c>
      <c r="G74" t="s">
        <v>673</v>
      </c>
      <c r="H74" t="s">
        <v>704</v>
      </c>
      <c r="I74" t="s">
        <v>780</v>
      </c>
      <c r="J74" t="s">
        <v>1310</v>
      </c>
      <c r="K74">
        <v>43791</v>
      </c>
      <c r="L74">
        <v>0.008591512626920001</v>
      </c>
      <c r="M74">
        <v>-0.07746036741122475</v>
      </c>
      <c r="N74">
        <v>0.1</v>
      </c>
      <c r="O74">
        <v>0.02641265440434215</v>
      </c>
      <c r="P74" t="s">
        <v>633</v>
      </c>
      <c r="Q74" t="s">
        <v>494</v>
      </c>
      <c r="R74">
        <v>25</v>
      </c>
      <c r="S74">
        <v>0.2190265486725664</v>
      </c>
      <c r="T74">
        <v>77</v>
      </c>
      <c r="U74">
        <v>1.496493506493507</v>
      </c>
      <c r="V74">
        <v>4.5558</v>
      </c>
      <c r="W74">
        <v>4.52</v>
      </c>
      <c r="X74">
        <v>0.99</v>
      </c>
      <c r="Y74">
        <v>0.496882</v>
      </c>
      <c r="Z74">
        <v>0.04459691252144082</v>
      </c>
      <c r="AA74">
        <v>0.8705501618122977</v>
      </c>
      <c r="AB74">
        <v>0.931340872374798</v>
      </c>
      <c r="AC74">
        <v>0.1276252019386107</v>
      </c>
      <c r="AD74">
        <v>0.2277867528271406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114.96</v>
      </c>
      <c r="D75">
        <v>7349.04792</v>
      </c>
      <c r="E75" t="s">
        <v>666</v>
      </c>
      <c r="F75" t="s">
        <v>629</v>
      </c>
      <c r="G75" t="s">
        <v>673</v>
      </c>
      <c r="H75" t="s">
        <v>703</v>
      </c>
      <c r="I75" t="s">
        <v>781</v>
      </c>
      <c r="J75" t="s">
        <v>1314</v>
      </c>
      <c r="K75">
        <v>43722</v>
      </c>
      <c r="L75">
        <v>0.012178148921363</v>
      </c>
      <c r="M75">
        <v>-0.05421047548174551</v>
      </c>
      <c r="N75">
        <v>0.07000000000000001</v>
      </c>
      <c r="O75">
        <v>0.02619798259923267</v>
      </c>
      <c r="P75" t="s">
        <v>633</v>
      </c>
      <c r="Q75" t="s">
        <v>494</v>
      </c>
      <c r="R75">
        <v>26</v>
      </c>
      <c r="S75">
        <v>0.3218390804597701</v>
      </c>
      <c r="T75">
        <v>87</v>
      </c>
      <c r="U75">
        <v>1.321379310344827</v>
      </c>
      <c r="V75">
        <v>3.6991</v>
      </c>
      <c r="W75">
        <v>4.35</v>
      </c>
      <c r="X75">
        <v>1.4</v>
      </c>
      <c r="Y75">
        <v>0.228862</v>
      </c>
      <c r="Z75">
        <v>0.1063464837049743</v>
      </c>
      <c r="AA75">
        <v>0.5177993527508091</v>
      </c>
      <c r="AB75">
        <v>0.7245557350565428</v>
      </c>
      <c r="AC75">
        <v>0.2584814216478191</v>
      </c>
      <c r="AD75">
        <v>0.2245557350565428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659</v>
      </c>
      <c r="F76" t="s">
        <v>629</v>
      </c>
      <c r="G76" t="s">
        <v>673</v>
      </c>
      <c r="H76" t="s">
        <v>705</v>
      </c>
      <c r="I76" t="s">
        <v>782</v>
      </c>
      <c r="J76" t="s">
        <v>1320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633</v>
      </c>
      <c r="Q76" t="s">
        <v>634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0.854167</v>
      </c>
      <c r="Z76">
        <v>0.2041166380789022</v>
      </c>
      <c r="AA76">
        <v>0.9789644012944985</v>
      </c>
      <c r="AB76">
        <v>0.7245557350565428</v>
      </c>
      <c r="AC76">
        <v>0.1777059773828756</v>
      </c>
      <c r="AD76">
        <v>0.2051696284329564</v>
      </c>
    </row>
    <row r="77" spans="1:30">
      <c r="A77" s="1" t="s">
        <v>84</v>
      </c>
      <c r="B77">
        <f>HYPERLINK("https://www.suredividend.com/sure-analysis-PG","Procter &amp; Gamble Co.")</f>
        <v>0</v>
      </c>
      <c r="C77">
        <v>125.36</v>
      </c>
      <c r="D77">
        <v>312624.0216</v>
      </c>
      <c r="E77" t="s">
        <v>667</v>
      </c>
      <c r="F77" t="s">
        <v>629</v>
      </c>
      <c r="G77" t="s">
        <v>673</v>
      </c>
      <c r="H77" t="s">
        <v>703</v>
      </c>
      <c r="I77" t="s">
        <v>783</v>
      </c>
      <c r="J77" t="s">
        <v>1322</v>
      </c>
      <c r="K77">
        <v>43789</v>
      </c>
      <c r="L77">
        <v>0.023342373962986</v>
      </c>
      <c r="M77">
        <v>-0.05196919384972276</v>
      </c>
      <c r="N77">
        <v>0.05</v>
      </c>
      <c r="O77">
        <v>0.02171383508172653</v>
      </c>
      <c r="P77" t="s">
        <v>633</v>
      </c>
      <c r="Q77" t="s">
        <v>633</v>
      </c>
      <c r="R77">
        <v>63</v>
      </c>
      <c r="S77">
        <v>0.6070954356846473</v>
      </c>
      <c r="T77">
        <v>96</v>
      </c>
      <c r="U77">
        <v>1.305833333333333</v>
      </c>
      <c r="V77">
        <v>1.61</v>
      </c>
      <c r="W77">
        <v>4.82</v>
      </c>
      <c r="X77">
        <v>2.9262</v>
      </c>
      <c r="Y77">
        <v>0.378037</v>
      </c>
      <c r="Z77">
        <v>0.3704974271012007</v>
      </c>
      <c r="AA77">
        <v>0.7297734627831716</v>
      </c>
      <c r="AB77">
        <v>0.4588045234248789</v>
      </c>
      <c r="AC77">
        <v>0.2730210016155089</v>
      </c>
      <c r="AD77">
        <v>0.2003231017770598</v>
      </c>
    </row>
    <row r="78" spans="1:30">
      <c r="A78" s="1" t="s">
        <v>85</v>
      </c>
      <c r="B78">
        <f>HYPERLINK("https://www.suredividend.com/sure-analysis-MDT","Medtronic Plc")</f>
        <v>0</v>
      </c>
      <c r="C78">
        <v>113.74</v>
      </c>
      <c r="D78">
        <v>152454.8212</v>
      </c>
      <c r="E78" t="s">
        <v>658</v>
      </c>
      <c r="F78" t="s">
        <v>629</v>
      </c>
      <c r="G78" t="s">
        <v>676</v>
      </c>
      <c r="H78" t="s">
        <v>703</v>
      </c>
      <c r="I78" t="s">
        <v>784</v>
      </c>
      <c r="J78" t="s">
        <v>1315</v>
      </c>
      <c r="K78">
        <v>43789</v>
      </c>
      <c r="L78">
        <v>0.01828732196237</v>
      </c>
      <c r="M78">
        <v>-0.0588188675561091</v>
      </c>
      <c r="N78">
        <v>0.06</v>
      </c>
      <c r="O78">
        <v>0.02060346701749971</v>
      </c>
      <c r="P78" t="s">
        <v>633</v>
      </c>
      <c r="Q78" t="s">
        <v>634</v>
      </c>
      <c r="R78">
        <v>41</v>
      </c>
      <c r="S78">
        <v>0.3734290843806104</v>
      </c>
      <c r="T78">
        <v>84</v>
      </c>
      <c r="U78">
        <v>1.354047619047619</v>
      </c>
      <c r="V78">
        <v>3.4817</v>
      </c>
      <c r="W78">
        <v>5.57</v>
      </c>
      <c r="X78">
        <v>2.08</v>
      </c>
      <c r="Y78">
        <v>0.283747</v>
      </c>
      <c r="Z78">
        <v>0.2572898799313894</v>
      </c>
      <c r="AA78">
        <v>0.610032362459547</v>
      </c>
      <c r="AB78">
        <v>0.6130856219709209</v>
      </c>
      <c r="AC78">
        <v>0.2164781906300485</v>
      </c>
      <c r="AD78">
        <v>0.1954765751211632</v>
      </c>
    </row>
    <row r="79" spans="1:30">
      <c r="A79" s="1" t="s">
        <v>86</v>
      </c>
      <c r="B79">
        <f>HYPERLINK("https://www.suredividend.com/sure-analysis-ITW","Illinois Tool Works, Inc.")</f>
        <v>0</v>
      </c>
      <c r="C79">
        <v>180.31</v>
      </c>
      <c r="D79">
        <v>57952.71586</v>
      </c>
      <c r="E79" t="s">
        <v>658</v>
      </c>
      <c r="F79" t="s">
        <v>629</v>
      </c>
      <c r="G79" t="s">
        <v>673</v>
      </c>
      <c r="H79" t="s">
        <v>703</v>
      </c>
      <c r="I79" t="s">
        <v>785</v>
      </c>
      <c r="J79" t="s">
        <v>1316</v>
      </c>
      <c r="K79">
        <v>43766</v>
      </c>
      <c r="L79">
        <v>0.022572236703455</v>
      </c>
      <c r="M79">
        <v>-0.06189749326886496</v>
      </c>
      <c r="N79">
        <v>0.06</v>
      </c>
      <c r="O79">
        <v>0.02018068199172185</v>
      </c>
      <c r="P79" t="s">
        <v>633</v>
      </c>
      <c r="Q79" t="s">
        <v>634</v>
      </c>
      <c r="R79">
        <v>44</v>
      </c>
      <c r="S79">
        <v>0.5285714285714286</v>
      </c>
      <c r="T79">
        <v>131</v>
      </c>
      <c r="U79">
        <v>1.376412213740458</v>
      </c>
      <c r="V79">
        <v>7.6299</v>
      </c>
      <c r="W79">
        <v>7.7</v>
      </c>
      <c r="X79">
        <v>4.07</v>
      </c>
      <c r="Y79">
        <v>0.453644</v>
      </c>
      <c r="Z79">
        <v>0.3516295025728988</v>
      </c>
      <c r="AA79">
        <v>0.8252427184466019</v>
      </c>
      <c r="AB79">
        <v>0.6130856219709209</v>
      </c>
      <c r="AC79">
        <v>0.1906300484652666</v>
      </c>
      <c r="AD79">
        <v>0.1938610662358643</v>
      </c>
    </row>
    <row r="80" spans="1:30">
      <c r="A80" s="1" t="s">
        <v>87</v>
      </c>
      <c r="B80">
        <f>HYPERLINK("https://www.suredividend.com/sure-analysis-BRC","Brady Corp.")</f>
        <v>0</v>
      </c>
      <c r="C80">
        <v>57.51</v>
      </c>
      <c r="D80">
        <v>3065.549156</v>
      </c>
      <c r="E80" t="s">
        <v>660</v>
      </c>
      <c r="F80" t="s">
        <v>629</v>
      </c>
      <c r="G80" t="s">
        <v>673</v>
      </c>
      <c r="H80" t="s">
        <v>703</v>
      </c>
      <c r="I80" t="s">
        <v>786</v>
      </c>
      <c r="J80" t="s">
        <v>1316</v>
      </c>
      <c r="K80">
        <v>43714</v>
      </c>
      <c r="L80">
        <v>0.014866979655712</v>
      </c>
      <c r="M80">
        <v>-0.04368076117410946</v>
      </c>
      <c r="N80">
        <v>0.05</v>
      </c>
      <c r="O80">
        <v>0.01875076215184279</v>
      </c>
      <c r="P80" t="s">
        <v>633</v>
      </c>
      <c r="Q80" t="s">
        <v>494</v>
      </c>
      <c r="R80">
        <v>33</v>
      </c>
      <c r="S80">
        <v>0.342</v>
      </c>
      <c r="T80">
        <v>46</v>
      </c>
      <c r="U80">
        <v>1.250217391304348</v>
      </c>
      <c r="V80">
        <v>2.6135</v>
      </c>
      <c r="W80">
        <v>2.5</v>
      </c>
      <c r="X80">
        <v>0.855</v>
      </c>
      <c r="Y80">
        <v>0.402341</v>
      </c>
      <c r="Z80">
        <v>0.169811320754717</v>
      </c>
      <c r="AA80">
        <v>0.7621359223300971</v>
      </c>
      <c r="AB80">
        <v>0.4588045234248789</v>
      </c>
      <c r="AC80">
        <v>0.3424878836833603</v>
      </c>
      <c r="AD80">
        <v>0.1841680129240711</v>
      </c>
    </row>
    <row r="81" spans="1:30">
      <c r="A81" s="1" t="s">
        <v>88</v>
      </c>
      <c r="B81">
        <f>HYPERLINK("https://www.suredividend.com/sure-analysis-CBSH","Commerce Bancshares, Inc. (Missouri)")</f>
        <v>0</v>
      </c>
      <c r="C81">
        <v>68.33</v>
      </c>
      <c r="D81">
        <v>7699.4244</v>
      </c>
      <c r="E81" t="s">
        <v>663</v>
      </c>
      <c r="F81" t="s">
        <v>629</v>
      </c>
      <c r="G81" t="s">
        <v>673</v>
      </c>
      <c r="H81" t="s">
        <v>704</v>
      </c>
      <c r="I81" t="s">
        <v>787</v>
      </c>
      <c r="J81" t="s">
        <v>1309</v>
      </c>
      <c r="K81">
        <v>43757</v>
      </c>
      <c r="L81">
        <v>0.014690619054588</v>
      </c>
      <c r="M81">
        <v>-0.06055422688634371</v>
      </c>
      <c r="N81">
        <v>0.063</v>
      </c>
      <c r="O81">
        <v>0.01710222594304267</v>
      </c>
      <c r="P81" t="s">
        <v>633</v>
      </c>
      <c r="Q81" t="s">
        <v>634</v>
      </c>
      <c r="R81">
        <v>51</v>
      </c>
      <c r="S81">
        <v>0.2607298701298701</v>
      </c>
      <c r="T81">
        <v>50</v>
      </c>
      <c r="U81">
        <v>1.3666</v>
      </c>
      <c r="V81">
        <v>3.755</v>
      </c>
      <c r="W81">
        <v>3.85</v>
      </c>
      <c r="X81">
        <v>1.00381</v>
      </c>
      <c r="Y81">
        <v>0.317659</v>
      </c>
      <c r="Z81">
        <v>0.1629502572898799</v>
      </c>
      <c r="AA81">
        <v>0.6504854368932038</v>
      </c>
      <c r="AB81">
        <v>0.6720516962843296</v>
      </c>
      <c r="AC81">
        <v>0.2051696284329564</v>
      </c>
      <c r="AD81">
        <v>0.1777059773828756</v>
      </c>
    </row>
    <row r="82" spans="1:30">
      <c r="A82" s="1" t="s">
        <v>89</v>
      </c>
      <c r="B82">
        <f>HYPERLINK("https://www.suredividend.com/sure-analysis-BRO","Brown &amp; Brown, Inc.")</f>
        <v>0</v>
      </c>
      <c r="C82">
        <v>40.25</v>
      </c>
      <c r="D82">
        <v>11340.2765</v>
      </c>
      <c r="E82" t="s">
        <v>661</v>
      </c>
      <c r="F82" t="s">
        <v>629</v>
      </c>
      <c r="G82" t="s">
        <v>673</v>
      </c>
      <c r="H82" t="s">
        <v>703</v>
      </c>
      <c r="I82" t="s">
        <v>788</v>
      </c>
      <c r="J82" t="s">
        <v>1309</v>
      </c>
      <c r="K82">
        <v>43772</v>
      </c>
      <c r="L82">
        <v>0.007950310559006</v>
      </c>
      <c r="M82">
        <v>-0.07000967743947428</v>
      </c>
      <c r="N82">
        <v>0.08</v>
      </c>
      <c r="O82">
        <v>0.01544190840046755</v>
      </c>
      <c r="P82" t="s">
        <v>633</v>
      </c>
      <c r="Q82" t="s">
        <v>494</v>
      </c>
      <c r="R82">
        <v>25</v>
      </c>
      <c r="S82">
        <v>0.2285714285714286</v>
      </c>
      <c r="T82">
        <v>28</v>
      </c>
      <c r="U82">
        <v>1.4375</v>
      </c>
      <c r="V82">
        <v>1.4057</v>
      </c>
      <c r="W82">
        <v>1.4</v>
      </c>
      <c r="X82">
        <v>0.32</v>
      </c>
      <c r="Y82">
        <v>0.51715</v>
      </c>
      <c r="Z82">
        <v>0.03087478559176672</v>
      </c>
      <c r="AA82">
        <v>0.8834951456310679</v>
      </c>
      <c r="AB82">
        <v>0.8182552504038771</v>
      </c>
      <c r="AC82">
        <v>0.1583198707592892</v>
      </c>
      <c r="AD82">
        <v>0.1696284329563813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129.15</v>
      </c>
      <c r="D83">
        <v>65445.08355</v>
      </c>
      <c r="E83" t="s">
        <v>661</v>
      </c>
      <c r="F83" t="s">
        <v>629</v>
      </c>
      <c r="G83" t="s">
        <v>673</v>
      </c>
      <c r="H83" t="s">
        <v>703</v>
      </c>
      <c r="I83" t="s">
        <v>789</v>
      </c>
      <c r="J83" t="s">
        <v>1310</v>
      </c>
      <c r="K83">
        <v>43711</v>
      </c>
      <c r="L83">
        <v>0.020131629887727</v>
      </c>
      <c r="M83">
        <v>-0.06558740568918253</v>
      </c>
      <c r="N83">
        <v>0.06</v>
      </c>
      <c r="O83">
        <v>0.01463826200598128</v>
      </c>
      <c r="P83" t="s">
        <v>633</v>
      </c>
      <c r="Q83" t="s">
        <v>633</v>
      </c>
      <c r="R83">
        <v>51</v>
      </c>
      <c r="S83">
        <v>0.4262295081967213</v>
      </c>
      <c r="T83">
        <v>92</v>
      </c>
      <c r="U83">
        <v>1.403804347826087</v>
      </c>
      <c r="V83">
        <v>6.3109</v>
      </c>
      <c r="W83">
        <v>6.1</v>
      </c>
      <c r="X83">
        <v>2.6</v>
      </c>
      <c r="Y83">
        <v>1.112711</v>
      </c>
      <c r="Z83">
        <v>0.3070325900514579</v>
      </c>
      <c r="AA83">
        <v>0.9919093851132686</v>
      </c>
      <c r="AB83">
        <v>0.6130856219709209</v>
      </c>
      <c r="AC83">
        <v>0.1744749596122779</v>
      </c>
      <c r="AD83">
        <v>0.1631663974151858</v>
      </c>
    </row>
    <row r="84" spans="1:30">
      <c r="A84" s="1" t="s">
        <v>91</v>
      </c>
      <c r="B84">
        <f>HYPERLINK("https://www.suredividend.com/sure-analysis-MKC","McCormick &amp; Co., Inc.")</f>
        <v>0</v>
      </c>
      <c r="C84">
        <v>168.25</v>
      </c>
      <c r="D84">
        <v>22362.444</v>
      </c>
      <c r="E84" t="s">
        <v>660</v>
      </c>
      <c r="F84" t="s">
        <v>629</v>
      </c>
      <c r="G84" t="s">
        <v>673</v>
      </c>
      <c r="H84" t="s">
        <v>703</v>
      </c>
      <c r="I84" t="s">
        <v>790</v>
      </c>
      <c r="J84" t="s">
        <v>1322</v>
      </c>
      <c r="K84">
        <v>43739</v>
      </c>
      <c r="L84">
        <v>0.013254086181277</v>
      </c>
      <c r="M84">
        <v>-0.07816628063084141</v>
      </c>
      <c r="N84">
        <v>0.08</v>
      </c>
      <c r="O84">
        <v>0.01296482775016572</v>
      </c>
      <c r="P84" t="s">
        <v>633</v>
      </c>
      <c r="Q84" t="s">
        <v>494</v>
      </c>
      <c r="R84">
        <v>33</v>
      </c>
      <c r="S84">
        <v>0.4183864915572232</v>
      </c>
      <c r="T84">
        <v>112</v>
      </c>
      <c r="U84">
        <v>1.502232142857143</v>
      </c>
      <c r="V84">
        <v>5.3162</v>
      </c>
      <c r="W84">
        <v>5.33</v>
      </c>
      <c r="X84">
        <v>2.23</v>
      </c>
      <c r="Y84">
        <v>0.217967</v>
      </c>
      <c r="Z84">
        <v>0.1303602058319039</v>
      </c>
      <c r="AA84">
        <v>0.4919093851132686</v>
      </c>
      <c r="AB84">
        <v>0.8182552504038771</v>
      </c>
      <c r="AC84">
        <v>0.1227786752827141</v>
      </c>
      <c r="AD84">
        <v>0.159935379644588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352.63</v>
      </c>
      <c r="D85">
        <v>36693.97254</v>
      </c>
      <c r="E85" t="s">
        <v>662</v>
      </c>
      <c r="F85" t="s">
        <v>629</v>
      </c>
      <c r="G85" t="s">
        <v>673</v>
      </c>
      <c r="H85" t="s">
        <v>703</v>
      </c>
      <c r="I85" t="s">
        <v>791</v>
      </c>
      <c r="J85" t="s">
        <v>1316</v>
      </c>
      <c r="K85">
        <v>43818</v>
      </c>
      <c r="L85">
        <v>0.005246292147576001</v>
      </c>
      <c r="M85">
        <v>-0.06873015774186797</v>
      </c>
      <c r="N85">
        <v>0.08</v>
      </c>
      <c r="O85">
        <v>0.01256588766762201</v>
      </c>
      <c r="P85" t="s">
        <v>633</v>
      </c>
      <c r="Q85" t="s">
        <v>494</v>
      </c>
      <c r="R85">
        <v>27</v>
      </c>
      <c r="S85">
        <v>0.1423076923076923</v>
      </c>
      <c r="T85">
        <v>247</v>
      </c>
      <c r="U85">
        <v>1.427651821862348</v>
      </c>
      <c r="V85">
        <v>11.1256</v>
      </c>
      <c r="W85">
        <v>13</v>
      </c>
      <c r="X85">
        <v>1.85</v>
      </c>
      <c r="Y85">
        <v>0.366359</v>
      </c>
      <c r="Z85">
        <v>0.01200686106346484</v>
      </c>
      <c r="AA85">
        <v>0.7087378640776698</v>
      </c>
      <c r="AB85">
        <v>0.8182552504038771</v>
      </c>
      <c r="AC85">
        <v>0.1615508885298869</v>
      </c>
      <c r="AD85">
        <v>0.1583198707592892</v>
      </c>
    </row>
    <row r="86" spans="1:30">
      <c r="A86" s="1" t="s">
        <v>93</v>
      </c>
      <c r="B86">
        <f>HYPERLINK("https://www.suredividend.com/sure-analysis-SHW","The Sherwin-Williams Co.")</f>
        <v>0</v>
      </c>
      <c r="C86">
        <v>580.98</v>
      </c>
      <c r="D86">
        <v>53629.68282</v>
      </c>
      <c r="E86" t="s">
        <v>658</v>
      </c>
      <c r="F86" t="s">
        <v>629</v>
      </c>
      <c r="G86" t="s">
        <v>673</v>
      </c>
      <c r="H86" t="s">
        <v>703</v>
      </c>
      <c r="I86" t="s">
        <v>792</v>
      </c>
      <c r="J86" t="s">
        <v>1314</v>
      </c>
      <c r="K86">
        <v>43760</v>
      </c>
      <c r="L86">
        <v>0.007315225997452</v>
      </c>
      <c r="M86">
        <v>-0.06372587806434316</v>
      </c>
      <c r="N86">
        <v>0.07000000000000001</v>
      </c>
      <c r="O86">
        <v>0.01232612470308658</v>
      </c>
      <c r="P86" t="s">
        <v>633</v>
      </c>
      <c r="Q86" t="s">
        <v>494</v>
      </c>
      <c r="R86">
        <v>41</v>
      </c>
      <c r="S86">
        <v>0.2014218009478673</v>
      </c>
      <c r="T86">
        <v>418</v>
      </c>
      <c r="U86">
        <v>1.389904306220096</v>
      </c>
      <c r="V86">
        <v>15.1668</v>
      </c>
      <c r="W86">
        <v>21.1</v>
      </c>
      <c r="X86">
        <v>4.25</v>
      </c>
      <c r="Y86">
        <v>0.542903</v>
      </c>
      <c r="Z86">
        <v>0.02572898799313894</v>
      </c>
      <c r="AA86">
        <v>0.8980582524271844</v>
      </c>
      <c r="AB86">
        <v>0.7245557350565428</v>
      </c>
      <c r="AC86">
        <v>0.1809369951534734</v>
      </c>
      <c r="AD86">
        <v>0.1567043618739903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126.43</v>
      </c>
      <c r="D87">
        <v>4897.64534</v>
      </c>
      <c r="E87" t="s">
        <v>658</v>
      </c>
      <c r="F87" t="s">
        <v>629</v>
      </c>
      <c r="G87" t="s">
        <v>673</v>
      </c>
      <c r="H87" t="s">
        <v>703</v>
      </c>
      <c r="I87" t="s">
        <v>793</v>
      </c>
      <c r="J87" t="s">
        <v>1317</v>
      </c>
      <c r="K87">
        <v>43762</v>
      </c>
      <c r="L87">
        <v>0.012655224234754</v>
      </c>
      <c r="M87">
        <v>-0.06160099659160845</v>
      </c>
      <c r="N87">
        <v>0.06</v>
      </c>
      <c r="O87">
        <v>0.01116017245706669</v>
      </c>
      <c r="P87" t="s">
        <v>633</v>
      </c>
      <c r="Q87" t="s">
        <v>634</v>
      </c>
      <c r="R87">
        <v>48</v>
      </c>
      <c r="S87">
        <v>0.3478260869565218</v>
      </c>
      <c r="T87">
        <v>92</v>
      </c>
      <c r="U87">
        <v>1.374239130434783</v>
      </c>
      <c r="V87">
        <v>3.3664</v>
      </c>
      <c r="W87">
        <v>4.6</v>
      </c>
      <c r="X87">
        <v>1.6</v>
      </c>
      <c r="Y87">
        <v>0.401663</v>
      </c>
      <c r="Z87">
        <v>0.1200686106346484</v>
      </c>
      <c r="AA87">
        <v>0.7605177993527508</v>
      </c>
      <c r="AB87">
        <v>0.6130856219709209</v>
      </c>
      <c r="AC87">
        <v>0.1987075928917609</v>
      </c>
      <c r="AD87">
        <v>0.1534733441033926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56.92</v>
      </c>
      <c r="D88">
        <v>2638.92504</v>
      </c>
      <c r="E88" t="s">
        <v>659</v>
      </c>
      <c r="F88" t="s">
        <v>629</v>
      </c>
      <c r="G88" t="s">
        <v>673</v>
      </c>
      <c r="H88" t="s">
        <v>704</v>
      </c>
      <c r="I88" t="s">
        <v>794</v>
      </c>
      <c r="J88" t="s">
        <v>1316</v>
      </c>
      <c r="K88">
        <v>43768</v>
      </c>
      <c r="L88">
        <v>0.009750527055516</v>
      </c>
      <c r="M88">
        <v>-0.06812208356067861</v>
      </c>
      <c r="N88">
        <v>0.07000000000000001</v>
      </c>
      <c r="O88">
        <v>0.0093587411888294</v>
      </c>
      <c r="P88" t="s">
        <v>633</v>
      </c>
      <c r="Q88" t="s">
        <v>494</v>
      </c>
      <c r="R88">
        <v>27</v>
      </c>
      <c r="S88">
        <v>0.2522727272727273</v>
      </c>
      <c r="T88">
        <v>40</v>
      </c>
      <c r="U88">
        <v>1.423</v>
      </c>
      <c r="V88">
        <v>2.1409</v>
      </c>
      <c r="W88">
        <v>2.2</v>
      </c>
      <c r="X88">
        <v>0.555</v>
      </c>
      <c r="Y88">
        <v>0.406474</v>
      </c>
      <c r="Z88">
        <v>0.06174957118353345</v>
      </c>
      <c r="AA88">
        <v>0.7669902912621359</v>
      </c>
      <c r="AB88">
        <v>0.7245557350565428</v>
      </c>
      <c r="AC88">
        <v>0.1631663974151858</v>
      </c>
      <c r="AD88">
        <v>0.1437802907915993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68.84999999999999</v>
      </c>
      <c r="D89">
        <v>59007.4794</v>
      </c>
      <c r="E89" t="s">
        <v>661</v>
      </c>
      <c r="F89" t="s">
        <v>629</v>
      </c>
      <c r="G89" t="s">
        <v>673</v>
      </c>
      <c r="H89" t="s">
        <v>703</v>
      </c>
      <c r="I89" t="s">
        <v>795</v>
      </c>
      <c r="J89" t="s">
        <v>1322</v>
      </c>
      <c r="K89">
        <v>43782</v>
      </c>
      <c r="L89">
        <v>0.024691358024691</v>
      </c>
      <c r="M89">
        <v>-0.05825516650174434</v>
      </c>
      <c r="N89">
        <v>0.04</v>
      </c>
      <c r="O89">
        <v>0.008470722940311814</v>
      </c>
      <c r="P89" t="s">
        <v>633</v>
      </c>
      <c r="Q89" t="s">
        <v>633</v>
      </c>
      <c r="R89">
        <v>56</v>
      </c>
      <c r="S89">
        <v>0.6296296296296297</v>
      </c>
      <c r="T89">
        <v>51</v>
      </c>
      <c r="U89">
        <v>1.35</v>
      </c>
      <c r="V89">
        <v>2.702</v>
      </c>
      <c r="W89">
        <v>2.7</v>
      </c>
      <c r="X89">
        <v>1.7</v>
      </c>
      <c r="Y89">
        <v>0.149224</v>
      </c>
      <c r="Z89">
        <v>0.3979416809605489</v>
      </c>
      <c r="AA89">
        <v>0.3576051779935275</v>
      </c>
      <c r="AB89">
        <v>0.3182552504038772</v>
      </c>
      <c r="AC89">
        <v>0.2245557350565428</v>
      </c>
      <c r="AD89">
        <v>0.1389337641357027</v>
      </c>
    </row>
    <row r="90" spans="1:30">
      <c r="A90" s="1" t="s">
        <v>97</v>
      </c>
      <c r="B90">
        <f>HYPERLINK("https://www.suredividend.com/sure-analysis-TNC","Tennant Co.")</f>
        <v>0</v>
      </c>
      <c r="C90">
        <v>78.34999999999999</v>
      </c>
      <c r="D90">
        <v>1431.21945</v>
      </c>
      <c r="E90" t="s">
        <v>663</v>
      </c>
      <c r="F90" t="s">
        <v>629</v>
      </c>
      <c r="G90" t="s">
        <v>673</v>
      </c>
      <c r="H90" t="s">
        <v>703</v>
      </c>
      <c r="I90" t="s">
        <v>796</v>
      </c>
      <c r="J90" t="s">
        <v>1316</v>
      </c>
      <c r="K90">
        <v>43770</v>
      </c>
      <c r="L90">
        <v>0.011231652839821</v>
      </c>
      <c r="M90">
        <v>-0.08228837088548568</v>
      </c>
      <c r="N90">
        <v>0.08500000000000001</v>
      </c>
      <c r="O90">
        <v>0.008123451288608807</v>
      </c>
      <c r="P90" t="s">
        <v>633</v>
      </c>
      <c r="Q90" t="s">
        <v>494</v>
      </c>
      <c r="R90">
        <v>47</v>
      </c>
      <c r="S90">
        <v>0.3087719298245614</v>
      </c>
      <c r="T90">
        <v>51</v>
      </c>
      <c r="U90">
        <v>1.536274509803921</v>
      </c>
      <c r="V90">
        <v>2.351</v>
      </c>
      <c r="W90">
        <v>2.85</v>
      </c>
      <c r="X90">
        <v>0.88</v>
      </c>
      <c r="Y90">
        <v>0.569197</v>
      </c>
      <c r="Z90">
        <v>0.08404802744425385</v>
      </c>
      <c r="AA90">
        <v>0.9190938511326862</v>
      </c>
      <c r="AB90">
        <v>0.8651050080775444</v>
      </c>
      <c r="AC90">
        <v>0.1082390953150242</v>
      </c>
      <c r="AD90">
        <v>0.135702746365105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74.73</v>
      </c>
      <c r="D91">
        <v>9690.9864</v>
      </c>
      <c r="E91" t="s">
        <v>660</v>
      </c>
      <c r="F91" t="s">
        <v>629</v>
      </c>
      <c r="G91" t="s">
        <v>673</v>
      </c>
      <c r="H91" t="s">
        <v>703</v>
      </c>
      <c r="I91" t="s">
        <v>797</v>
      </c>
      <c r="J91" t="s">
        <v>1314</v>
      </c>
      <c r="K91">
        <v>43740</v>
      </c>
      <c r="L91">
        <v>0.018734109460725</v>
      </c>
      <c r="M91">
        <v>-0.06291333992015491</v>
      </c>
      <c r="N91">
        <v>0.05</v>
      </c>
      <c r="O91">
        <v>0.00613569362704669</v>
      </c>
      <c r="P91" t="s">
        <v>633</v>
      </c>
      <c r="Q91" t="s">
        <v>634</v>
      </c>
      <c r="R91">
        <v>45</v>
      </c>
      <c r="S91">
        <v>0.4166666666666666</v>
      </c>
      <c r="T91">
        <v>54</v>
      </c>
      <c r="U91">
        <v>1.383888888888889</v>
      </c>
      <c r="V91">
        <v>2.328</v>
      </c>
      <c r="W91">
        <v>3.36</v>
      </c>
      <c r="X91">
        <v>1.4</v>
      </c>
      <c r="Y91">
        <v>0.280062</v>
      </c>
      <c r="Z91">
        <v>0.2727272727272727</v>
      </c>
      <c r="AA91">
        <v>0.6019417475728155</v>
      </c>
      <c r="AB91">
        <v>0.4588045234248789</v>
      </c>
      <c r="AC91">
        <v>0.18578352180937</v>
      </c>
      <c r="AD91">
        <v>0.1292407108239095</v>
      </c>
    </row>
    <row r="92" spans="1:30">
      <c r="A92" s="1" t="s">
        <v>99</v>
      </c>
      <c r="B92">
        <f>HYPERLINK("https://www.suredividend.com/sure-analysis-AAP","Advance Auto Parts, Inc.")</f>
        <v>0</v>
      </c>
      <c r="C92">
        <v>158.12</v>
      </c>
      <c r="D92">
        <v>10951.296328</v>
      </c>
      <c r="E92" t="s">
        <v>658</v>
      </c>
      <c r="F92" t="s">
        <v>629</v>
      </c>
      <c r="G92" t="s">
        <v>673</v>
      </c>
      <c r="H92" t="s">
        <v>703</v>
      </c>
      <c r="I92" t="s">
        <v>798</v>
      </c>
      <c r="J92" t="s">
        <v>1310</v>
      </c>
      <c r="K92">
        <v>43781</v>
      </c>
      <c r="L92">
        <v>0.001517834556033</v>
      </c>
      <c r="M92">
        <v>-0.04439866480122356</v>
      </c>
      <c r="N92">
        <v>0.05</v>
      </c>
      <c r="O92">
        <v>0.004874429406409364</v>
      </c>
      <c r="P92" t="s">
        <v>633</v>
      </c>
      <c r="Q92" t="s">
        <v>405</v>
      </c>
      <c r="R92">
        <v>0</v>
      </c>
      <c r="S92">
        <v>0.03037974683544304</v>
      </c>
      <c r="T92">
        <v>126</v>
      </c>
      <c r="U92">
        <v>1.254920634920635</v>
      </c>
      <c r="V92">
        <v>6.2151</v>
      </c>
      <c r="W92">
        <v>7.9</v>
      </c>
      <c r="X92">
        <v>0.24</v>
      </c>
      <c r="Y92">
        <v>0.044317</v>
      </c>
      <c r="Z92">
        <v>0.001715265866209262</v>
      </c>
      <c r="AA92">
        <v>0.2135922330097088</v>
      </c>
      <c r="AB92">
        <v>0.4588045234248789</v>
      </c>
      <c r="AC92">
        <v>0.3311793214862682</v>
      </c>
      <c r="AD92">
        <v>0.1195476575121163</v>
      </c>
    </row>
    <row r="93" spans="1:30">
      <c r="A93" s="1" t="s">
        <v>100</v>
      </c>
      <c r="B93">
        <f>HYPERLINK("https://www.suredividend.com/sure-analysis-GE","General Electric Co.")</f>
        <v>0</v>
      </c>
      <c r="C93">
        <v>11.03</v>
      </c>
      <c r="D93">
        <v>96331.05650000001</v>
      </c>
      <c r="E93" t="s">
        <v>658</v>
      </c>
      <c r="F93" t="s">
        <v>629</v>
      </c>
      <c r="G93" t="s">
        <v>673</v>
      </c>
      <c r="H93" t="s">
        <v>703</v>
      </c>
      <c r="I93" t="s">
        <v>799</v>
      </c>
      <c r="J93" t="s">
        <v>1308</v>
      </c>
      <c r="K93">
        <v>43768</v>
      </c>
      <c r="L93">
        <v>0.003626473254759</v>
      </c>
      <c r="M93">
        <v>-0.09761122453028814</v>
      </c>
      <c r="N93">
        <v>0.107</v>
      </c>
      <c r="O93">
        <v>0.002559933920775803</v>
      </c>
      <c r="P93" t="s">
        <v>633</v>
      </c>
      <c r="Q93" t="s">
        <v>405</v>
      </c>
      <c r="R93">
        <v>0</v>
      </c>
      <c r="S93">
        <v>0.06666666666666667</v>
      </c>
      <c r="T93">
        <v>6.6</v>
      </c>
      <c r="U93">
        <v>1.671212121212121</v>
      </c>
      <c r="V93">
        <v>0.0312</v>
      </c>
      <c r="W93">
        <v>0.6</v>
      </c>
      <c r="X93">
        <v>0.04</v>
      </c>
      <c r="Y93">
        <v>0.5426569999999999</v>
      </c>
      <c r="Z93">
        <v>0.00686106346483705</v>
      </c>
      <c r="AA93">
        <v>0.8964401294498381</v>
      </c>
      <c r="AB93">
        <v>0.9483037156704361</v>
      </c>
      <c r="AC93">
        <v>0.07108239095315025</v>
      </c>
      <c r="AD93">
        <v>0.1147011308562197</v>
      </c>
    </row>
    <row r="94" spans="1:30">
      <c r="A94" s="1" t="s">
        <v>101</v>
      </c>
      <c r="B94">
        <f>HYPERLINK("https://www.suredividend.com/sure-analysis-NVDA","NVIDIA Corp.")</f>
        <v>0</v>
      </c>
      <c r="C94">
        <v>239.37</v>
      </c>
      <c r="D94">
        <v>146494.44</v>
      </c>
      <c r="E94" t="s">
        <v>663</v>
      </c>
      <c r="F94" t="s">
        <v>629</v>
      </c>
      <c r="G94" t="s">
        <v>673</v>
      </c>
      <c r="H94" t="s">
        <v>704</v>
      </c>
      <c r="I94" t="s">
        <v>800</v>
      </c>
      <c r="J94" t="s">
        <v>1308</v>
      </c>
      <c r="K94">
        <v>43787</v>
      </c>
      <c r="L94">
        <v>0.002673685090027</v>
      </c>
      <c r="M94">
        <v>-0.1319145890966922</v>
      </c>
      <c r="N94">
        <v>0.15</v>
      </c>
      <c r="O94">
        <v>0.002147501491519543</v>
      </c>
      <c r="P94" t="s">
        <v>633</v>
      </c>
      <c r="Q94" t="s">
        <v>405</v>
      </c>
      <c r="R94">
        <v>7</v>
      </c>
      <c r="S94">
        <v>0.1191806331471136</v>
      </c>
      <c r="T94">
        <v>118</v>
      </c>
      <c r="U94">
        <v>2.028559322033898</v>
      </c>
      <c r="V94">
        <v>3.9593</v>
      </c>
      <c r="W94">
        <v>5.37</v>
      </c>
      <c r="X94">
        <v>0.64</v>
      </c>
      <c r="Y94">
        <v>0.847418</v>
      </c>
      <c r="Z94">
        <v>0.005145797598627787</v>
      </c>
      <c r="AA94">
        <v>0.9757281553398058</v>
      </c>
      <c r="AB94">
        <v>0.9749596122778675</v>
      </c>
      <c r="AC94">
        <v>0.03392568659127625</v>
      </c>
      <c r="AD94">
        <v>0.1130856219709208</v>
      </c>
    </row>
    <row r="95" spans="1:30">
      <c r="A95" s="1" t="s">
        <v>102</v>
      </c>
      <c r="B95">
        <f>HYPERLINK("https://www.suredividend.com/sure-analysis-ECL","Ecolab, Inc.")</f>
        <v>0</v>
      </c>
      <c r="C95">
        <v>191.22</v>
      </c>
      <c r="D95">
        <v>55118.01768</v>
      </c>
      <c r="E95" t="s">
        <v>659</v>
      </c>
      <c r="F95" t="s">
        <v>629</v>
      </c>
      <c r="G95" t="s">
        <v>673</v>
      </c>
      <c r="H95" t="s">
        <v>703</v>
      </c>
      <c r="I95" t="s">
        <v>801</v>
      </c>
      <c r="J95" t="s">
        <v>1314</v>
      </c>
      <c r="K95">
        <v>43768</v>
      </c>
      <c r="L95">
        <v>0.009622424432590001</v>
      </c>
      <c r="M95">
        <v>-0.0935778503077227</v>
      </c>
      <c r="N95">
        <v>0.09</v>
      </c>
      <c r="O95">
        <v>0.0007501230281825588</v>
      </c>
      <c r="P95" t="s">
        <v>633</v>
      </c>
      <c r="Q95" t="s">
        <v>405</v>
      </c>
      <c r="R95">
        <v>27</v>
      </c>
      <c r="S95">
        <v>0.3145299145299145</v>
      </c>
      <c r="T95">
        <v>117</v>
      </c>
      <c r="U95">
        <v>1.634358974358974</v>
      </c>
      <c r="V95">
        <v>5.2913</v>
      </c>
      <c r="W95">
        <v>5.85</v>
      </c>
      <c r="X95">
        <v>1.84</v>
      </c>
      <c r="Y95">
        <v>0.328286</v>
      </c>
      <c r="Z95">
        <v>0.06003430531732419</v>
      </c>
      <c r="AA95">
        <v>0.6585760517799354</v>
      </c>
      <c r="AB95">
        <v>0.8877221324717286</v>
      </c>
      <c r="AC95">
        <v>0.07592891760904685</v>
      </c>
      <c r="AD95">
        <v>0.1098546042003231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67.90000000000001</v>
      </c>
      <c r="D96">
        <v>83540.529048</v>
      </c>
      <c r="E96" t="s">
        <v>660</v>
      </c>
      <c r="F96" t="s">
        <v>629</v>
      </c>
      <c r="G96" t="s">
        <v>679</v>
      </c>
      <c r="H96" t="s">
        <v>703</v>
      </c>
      <c r="I96" t="s">
        <v>802</v>
      </c>
      <c r="J96" t="s">
        <v>1317</v>
      </c>
      <c r="K96">
        <v>43769</v>
      </c>
      <c r="L96">
        <v>0.005399116347569</v>
      </c>
      <c r="M96">
        <v>-0.02443481057047547</v>
      </c>
      <c r="N96">
        <v>0.017</v>
      </c>
      <c r="O96">
        <v>-0.001994528947446228</v>
      </c>
      <c r="P96" t="s">
        <v>633</v>
      </c>
      <c r="Q96" t="s">
        <v>405</v>
      </c>
      <c r="R96">
        <v>2</v>
      </c>
      <c r="S96">
        <v>0.09622047244094489</v>
      </c>
      <c r="T96">
        <v>60</v>
      </c>
      <c r="U96">
        <v>1.131666666666667</v>
      </c>
      <c r="V96">
        <v>6.1524</v>
      </c>
      <c r="W96">
        <v>3.81</v>
      </c>
      <c r="X96">
        <v>0.3666</v>
      </c>
      <c r="Y96">
        <v>0.3008</v>
      </c>
      <c r="Z96">
        <v>0.01543739279588336</v>
      </c>
      <c r="AA96">
        <v>0.6310679611650485</v>
      </c>
      <c r="AB96">
        <v>0.08562197092084006</v>
      </c>
      <c r="AC96">
        <v>0.5234248788368336</v>
      </c>
      <c r="AD96">
        <v>0.1017770597738288</v>
      </c>
    </row>
    <row r="97" spans="1:30">
      <c r="A97" s="1" t="s">
        <v>104</v>
      </c>
      <c r="B97">
        <f>HYPERLINK("https://www.suredividend.com/sure-analysis-AUY","Yamana Gold, Inc.")</f>
        <v>0</v>
      </c>
      <c r="C97">
        <v>3.48</v>
      </c>
      <c r="D97">
        <v>3307.5138</v>
      </c>
      <c r="E97" t="s">
        <v>664</v>
      </c>
      <c r="F97" t="s">
        <v>629</v>
      </c>
      <c r="G97" t="s">
        <v>675</v>
      </c>
      <c r="H97" t="s">
        <v>703</v>
      </c>
      <c r="I97" t="s">
        <v>803</v>
      </c>
      <c r="J97" t="s">
        <v>1323</v>
      </c>
      <c r="K97">
        <v>43765</v>
      </c>
      <c r="L97">
        <v>0.007230365220437</v>
      </c>
      <c r="M97">
        <v>-0.03054555995603603</v>
      </c>
      <c r="N97">
        <v>0.018</v>
      </c>
      <c r="O97">
        <v>-0.003907951325242687</v>
      </c>
      <c r="P97" t="s">
        <v>633</v>
      </c>
      <c r="Q97" t="s">
        <v>405</v>
      </c>
      <c r="R97">
        <v>0</v>
      </c>
      <c r="S97">
        <v>0.005920393168734588</v>
      </c>
      <c r="T97">
        <v>2.98</v>
      </c>
      <c r="U97">
        <v>1.167785234899329</v>
      </c>
      <c r="V97">
        <v>0.1576</v>
      </c>
      <c r="W97">
        <v>4.25</v>
      </c>
      <c r="X97">
        <v>0.025161670967122</v>
      </c>
      <c r="Y97">
        <v>0.487179</v>
      </c>
      <c r="Z97">
        <v>0.02229845626072041</v>
      </c>
      <c r="AA97">
        <v>0.8656957928802589</v>
      </c>
      <c r="AB97">
        <v>0.09127625201938611</v>
      </c>
      <c r="AC97">
        <v>0.4539579967689822</v>
      </c>
      <c r="AD97">
        <v>0.09693053311793215</v>
      </c>
    </row>
    <row r="98" spans="1:30">
      <c r="A98" s="1" t="s">
        <v>105</v>
      </c>
      <c r="B98">
        <f>HYPERLINK("https://www.suredividend.com/sure-analysis-TR","Tootsie Roll Industries, Inc.")</f>
        <v>0</v>
      </c>
      <c r="C98">
        <v>34.97</v>
      </c>
      <c r="D98">
        <v>2284.20543</v>
      </c>
      <c r="E98" t="s">
        <v>657</v>
      </c>
      <c r="F98" t="s">
        <v>629</v>
      </c>
      <c r="G98" t="s">
        <v>673</v>
      </c>
      <c r="H98" t="s">
        <v>703</v>
      </c>
      <c r="I98" t="s">
        <v>804</v>
      </c>
      <c r="J98" t="s">
        <v>1322</v>
      </c>
      <c r="K98">
        <v>43818</v>
      </c>
      <c r="L98">
        <v>0.010144695453245</v>
      </c>
      <c r="M98">
        <v>-0.04348346969894823</v>
      </c>
      <c r="N98">
        <v>0.03</v>
      </c>
      <c r="O98">
        <v>-0.004095903083054631</v>
      </c>
      <c r="P98" t="s">
        <v>633</v>
      </c>
      <c r="Q98" t="s">
        <v>494</v>
      </c>
      <c r="R98">
        <v>52</v>
      </c>
      <c r="S98">
        <v>0.3856086956521739</v>
      </c>
      <c r="T98">
        <v>28</v>
      </c>
      <c r="U98">
        <v>1.248928571428571</v>
      </c>
      <c r="V98">
        <v>0.9536</v>
      </c>
      <c r="W98">
        <v>0.92</v>
      </c>
      <c r="X98">
        <v>0.35476</v>
      </c>
      <c r="Y98">
        <v>0.058452</v>
      </c>
      <c r="Z98">
        <v>0.07204116638078903</v>
      </c>
      <c r="AA98">
        <v>0.2362459546925566</v>
      </c>
      <c r="AB98">
        <v>0.2003231017770598</v>
      </c>
      <c r="AC98">
        <v>0.3473344103392569</v>
      </c>
      <c r="AD98">
        <v>0.09531502423263329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44.96</v>
      </c>
      <c r="D99">
        <v>24041.77552</v>
      </c>
      <c r="E99" t="s">
        <v>661</v>
      </c>
      <c r="F99" t="s">
        <v>629</v>
      </c>
      <c r="G99" t="s">
        <v>673</v>
      </c>
      <c r="H99" t="s">
        <v>703</v>
      </c>
      <c r="I99" t="s">
        <v>805</v>
      </c>
      <c r="J99" t="s">
        <v>1322</v>
      </c>
      <c r="K99">
        <v>43718</v>
      </c>
      <c r="L99">
        <v>0.018683274021352</v>
      </c>
      <c r="M99">
        <v>-0.06574649650043451</v>
      </c>
      <c r="N99">
        <v>0.04</v>
      </c>
      <c r="O99">
        <v>-0.004828961313187108</v>
      </c>
      <c r="P99" t="s">
        <v>633</v>
      </c>
      <c r="Q99" t="s">
        <v>634</v>
      </c>
      <c r="R99">
        <v>53</v>
      </c>
      <c r="S99">
        <v>0.48</v>
      </c>
      <c r="T99">
        <v>32</v>
      </c>
      <c r="U99">
        <v>1.405</v>
      </c>
      <c r="V99">
        <v>1.8317</v>
      </c>
      <c r="W99">
        <v>1.75</v>
      </c>
      <c r="X99">
        <v>0.84</v>
      </c>
      <c r="Y99">
        <v>0.05688799999999999</v>
      </c>
      <c r="Z99">
        <v>0.2692967409948542</v>
      </c>
      <c r="AA99">
        <v>0.2330097087378641</v>
      </c>
      <c r="AB99">
        <v>0.3182552504038772</v>
      </c>
      <c r="AC99">
        <v>0.172859450726979</v>
      </c>
      <c r="AD99">
        <v>0.09208400646203554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71.20999999999999</v>
      </c>
      <c r="D100">
        <v>2026.35176</v>
      </c>
      <c r="E100" t="s">
        <v>660</v>
      </c>
      <c r="F100" t="s">
        <v>629</v>
      </c>
      <c r="G100" t="s">
        <v>673</v>
      </c>
      <c r="H100" t="s">
        <v>703</v>
      </c>
      <c r="I100" t="s">
        <v>806</v>
      </c>
      <c r="J100" t="s">
        <v>1321</v>
      </c>
      <c r="K100">
        <v>43770</v>
      </c>
      <c r="L100">
        <v>0.016570706361466</v>
      </c>
      <c r="M100">
        <v>-0.09596448102483279</v>
      </c>
      <c r="N100">
        <v>0.076</v>
      </c>
      <c r="O100">
        <v>-0.007838085744109269</v>
      </c>
      <c r="P100" t="s">
        <v>633</v>
      </c>
      <c r="Q100" t="s">
        <v>494</v>
      </c>
      <c r="R100">
        <v>52</v>
      </c>
      <c r="S100">
        <v>0.6020408163265306</v>
      </c>
      <c r="T100">
        <v>43</v>
      </c>
      <c r="U100">
        <v>1.656046511627907</v>
      </c>
      <c r="V100">
        <v>1.3984</v>
      </c>
      <c r="W100">
        <v>1.96</v>
      </c>
      <c r="X100">
        <v>1.18</v>
      </c>
      <c r="Y100">
        <v>0.314323</v>
      </c>
      <c r="Z100">
        <v>0.2109777015437393</v>
      </c>
      <c r="AA100">
        <v>0.645631067961165</v>
      </c>
      <c r="AB100">
        <v>0.7722132471728593</v>
      </c>
      <c r="AC100">
        <v>0.07431340872374798</v>
      </c>
      <c r="AD100">
        <v>0.08077544426494346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</v>
      </c>
      <c r="D101">
        <v>2250.5</v>
      </c>
      <c r="E101" t="s">
        <v>661</v>
      </c>
      <c r="F101" t="s">
        <v>629</v>
      </c>
      <c r="G101" t="s">
        <v>673</v>
      </c>
      <c r="H101" t="s">
        <v>703</v>
      </c>
      <c r="I101" t="s">
        <v>807</v>
      </c>
      <c r="J101" t="s">
        <v>1314</v>
      </c>
      <c r="K101">
        <v>43768</v>
      </c>
      <c r="L101">
        <v>0.01</v>
      </c>
      <c r="M101">
        <v>-0.05844359085326611</v>
      </c>
      <c r="N101">
        <v>0.04</v>
      </c>
      <c r="O101">
        <v>-0.008336089917134415</v>
      </c>
      <c r="P101" t="s">
        <v>633</v>
      </c>
      <c r="Q101" t="s">
        <v>494</v>
      </c>
      <c r="R101">
        <v>51</v>
      </c>
      <c r="S101">
        <v>0.2040816326530612</v>
      </c>
      <c r="T101">
        <v>74</v>
      </c>
      <c r="U101">
        <v>1.351351351351351</v>
      </c>
      <c r="V101">
        <v>4.6872</v>
      </c>
      <c r="W101">
        <v>4.9</v>
      </c>
      <c r="X101">
        <v>1</v>
      </c>
      <c r="Y101">
        <v>0.391014</v>
      </c>
      <c r="Z101">
        <v>0.07032590051457975</v>
      </c>
      <c r="AA101">
        <v>0.7427184466019418</v>
      </c>
      <c r="AB101">
        <v>0.3182552504038772</v>
      </c>
      <c r="AC101">
        <v>0.2197092084006462</v>
      </c>
      <c r="AD101">
        <v>0.07915993537964459</v>
      </c>
    </row>
    <row r="102" spans="1:30">
      <c r="A102" s="1" t="s">
        <v>109</v>
      </c>
      <c r="B102">
        <f>HYPERLINK("https://www.suredividend.com/sure-analysis-GRC","The Gorman-Rupp Co.")</f>
        <v>0</v>
      </c>
      <c r="C102">
        <v>38.42</v>
      </c>
      <c r="D102">
        <v>1004.02986</v>
      </c>
      <c r="E102" t="s">
        <v>661</v>
      </c>
      <c r="F102" t="s">
        <v>629</v>
      </c>
      <c r="G102" t="s">
        <v>673</v>
      </c>
      <c r="H102" t="s">
        <v>703</v>
      </c>
      <c r="I102" t="s">
        <v>808</v>
      </c>
      <c r="J102" t="s">
        <v>1316</v>
      </c>
      <c r="K102">
        <v>43766</v>
      </c>
      <c r="L102">
        <v>0.014055179593961</v>
      </c>
      <c r="M102">
        <v>-0.0681172326069327</v>
      </c>
      <c r="N102">
        <v>0.045</v>
      </c>
      <c r="O102">
        <v>-0.009133104126250235</v>
      </c>
      <c r="P102" t="s">
        <v>633</v>
      </c>
      <c r="Q102" t="s">
        <v>634</v>
      </c>
      <c r="R102">
        <v>46</v>
      </c>
      <c r="S102">
        <v>0.4</v>
      </c>
      <c r="T102">
        <v>27</v>
      </c>
      <c r="U102">
        <v>1.422962962962963</v>
      </c>
      <c r="V102">
        <v>1.415</v>
      </c>
      <c r="W102">
        <v>1.35</v>
      </c>
      <c r="X102">
        <v>0.54</v>
      </c>
      <c r="Y102">
        <v>0.222788</v>
      </c>
      <c r="Z102">
        <v>0.1509433962264151</v>
      </c>
      <c r="AA102">
        <v>0.5097087378640777</v>
      </c>
      <c r="AB102">
        <v>0.3820678513731826</v>
      </c>
      <c r="AC102">
        <v>0.1647819063004847</v>
      </c>
      <c r="AD102">
        <v>0.07754442649434572</v>
      </c>
    </row>
    <row r="103" spans="1:30">
      <c r="A103" s="1" t="s">
        <v>110</v>
      </c>
      <c r="B103">
        <f>HYPERLINK("https://www.suredividend.com/sure-analysis-TMP","Tompkins Financial Corp.")</f>
        <v>0</v>
      </c>
      <c r="C103">
        <v>91.06999999999999</v>
      </c>
      <c r="D103">
        <v>1360.5858</v>
      </c>
      <c r="E103" t="s">
        <v>659</v>
      </c>
      <c r="F103" t="s">
        <v>629</v>
      </c>
      <c r="G103" t="s">
        <v>673</v>
      </c>
      <c r="H103" t="s">
        <v>706</v>
      </c>
      <c r="I103" t="s">
        <v>809</v>
      </c>
      <c r="J103" t="s">
        <v>1309</v>
      </c>
      <c r="K103">
        <v>43765</v>
      </c>
      <c r="L103">
        <v>0.02196112880202</v>
      </c>
      <c r="M103">
        <v>-0.07702295564937822</v>
      </c>
      <c r="N103">
        <v>0.04</v>
      </c>
      <c r="O103">
        <v>-0.01267287868407452</v>
      </c>
      <c r="P103" t="s">
        <v>633</v>
      </c>
      <c r="Q103" t="s">
        <v>634</v>
      </c>
      <c r="R103">
        <v>32</v>
      </c>
      <c r="S103">
        <v>0.3921568627450981</v>
      </c>
      <c r="T103">
        <v>61</v>
      </c>
      <c r="U103">
        <v>1.492950819672131</v>
      </c>
      <c r="V103">
        <v>5.2187</v>
      </c>
      <c r="W103">
        <v>5.1</v>
      </c>
      <c r="X103">
        <v>2</v>
      </c>
      <c r="Y103">
        <v>0.281413</v>
      </c>
      <c r="Z103">
        <v>0.3361921097770154</v>
      </c>
      <c r="AA103">
        <v>0.6035598705501618</v>
      </c>
      <c r="AB103">
        <v>0.3182552504038772</v>
      </c>
      <c r="AC103">
        <v>0.1308562197092084</v>
      </c>
      <c r="AD103">
        <v>0.07431340872374798</v>
      </c>
    </row>
    <row r="104" spans="1:30">
      <c r="A104" s="1" t="s">
        <v>111</v>
      </c>
      <c r="B104">
        <f>HYPERLINK("https://www.suredividend.com/sure-analysis-NDSN","Nordson Corp.")</f>
        <v>0</v>
      </c>
      <c r="C104">
        <v>164.39</v>
      </c>
      <c r="D104">
        <v>9486.618119999999</v>
      </c>
      <c r="E104" t="s">
        <v>658</v>
      </c>
      <c r="F104" t="s">
        <v>629</v>
      </c>
      <c r="G104" t="s">
        <v>673</v>
      </c>
      <c r="H104" t="s">
        <v>704</v>
      </c>
      <c r="I104" t="s">
        <v>810</v>
      </c>
      <c r="J104" t="s">
        <v>1316</v>
      </c>
      <c r="K104">
        <v>43811</v>
      </c>
      <c r="L104">
        <v>0.008698825962649001</v>
      </c>
      <c r="M104">
        <v>-0.08058904957686286</v>
      </c>
      <c r="N104">
        <v>0.06</v>
      </c>
      <c r="O104">
        <v>-0.0139452696378497</v>
      </c>
      <c r="P104" t="s">
        <v>633</v>
      </c>
      <c r="Q104" t="s">
        <v>494</v>
      </c>
      <c r="R104">
        <v>55</v>
      </c>
      <c r="S104">
        <v>0.2383333333333333</v>
      </c>
      <c r="T104">
        <v>108</v>
      </c>
      <c r="U104">
        <v>1.52212962962963</v>
      </c>
      <c r="V104">
        <v>5.8698</v>
      </c>
      <c r="W104">
        <v>6</v>
      </c>
      <c r="X104">
        <v>1.43</v>
      </c>
      <c r="Y104">
        <v>0.448881</v>
      </c>
      <c r="Z104">
        <v>0.04631217838765009</v>
      </c>
      <c r="AA104">
        <v>0.8220064724919094</v>
      </c>
      <c r="AB104">
        <v>0.6130856219709209</v>
      </c>
      <c r="AC104">
        <v>0.1130856219709208</v>
      </c>
      <c r="AD104">
        <v>0.06946688206785137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66.70999999999999</v>
      </c>
      <c r="D105">
        <v>31877.10666</v>
      </c>
      <c r="E105" t="s">
        <v>663</v>
      </c>
      <c r="F105" t="s">
        <v>629</v>
      </c>
      <c r="G105" t="s">
        <v>673</v>
      </c>
      <c r="H105" t="s">
        <v>703</v>
      </c>
      <c r="I105" t="s">
        <v>811</v>
      </c>
      <c r="J105" t="s">
        <v>1322</v>
      </c>
      <c r="K105">
        <v>43721</v>
      </c>
      <c r="L105">
        <v>0.009953530205366001</v>
      </c>
      <c r="M105">
        <v>-0.1112038664126633</v>
      </c>
      <c r="N105">
        <v>0.08799999999999999</v>
      </c>
      <c r="O105">
        <v>-0.01905747004442171</v>
      </c>
      <c r="P105" t="s">
        <v>633</v>
      </c>
      <c r="Q105" t="s">
        <v>494</v>
      </c>
      <c r="R105">
        <v>35</v>
      </c>
      <c r="S105">
        <v>0.3905882352941177</v>
      </c>
      <c r="T105">
        <v>37</v>
      </c>
      <c r="U105">
        <v>1.802972972972973</v>
      </c>
      <c r="V105">
        <v>1.7889</v>
      </c>
      <c r="W105">
        <v>1.7</v>
      </c>
      <c r="X105">
        <v>0.664</v>
      </c>
      <c r="Y105">
        <v>0.450848</v>
      </c>
      <c r="Z105">
        <v>0.06689536878216124</v>
      </c>
      <c r="AA105">
        <v>0.8236245954692556</v>
      </c>
      <c r="AB105">
        <v>0.8707592891760905</v>
      </c>
      <c r="AC105">
        <v>0.05492730210016156</v>
      </c>
      <c r="AD105">
        <v>0.05977382875605816</v>
      </c>
    </row>
    <row r="106" spans="1:30">
      <c r="A106" s="1" t="s">
        <v>113</v>
      </c>
      <c r="B106">
        <f>HYPERLINK("https://www.suredividend.com/sure-analysis-WMT","Walmart, Inc.")</f>
        <v>0</v>
      </c>
      <c r="C106">
        <v>120.29</v>
      </c>
      <c r="D106">
        <v>341284.3822</v>
      </c>
      <c r="E106" t="s">
        <v>661</v>
      </c>
      <c r="F106" t="s">
        <v>629</v>
      </c>
      <c r="G106" t="s">
        <v>673</v>
      </c>
      <c r="H106" t="s">
        <v>703</v>
      </c>
      <c r="I106" t="s">
        <v>812</v>
      </c>
      <c r="J106" t="s">
        <v>1310</v>
      </c>
      <c r="K106">
        <v>43787</v>
      </c>
      <c r="L106">
        <v>0.017540942721755</v>
      </c>
      <c r="M106">
        <v>-0.09259652320683898</v>
      </c>
      <c r="N106">
        <v>0.055</v>
      </c>
      <c r="O106">
        <v>-0.0194696717391184</v>
      </c>
      <c r="P106" t="s">
        <v>633</v>
      </c>
      <c r="Q106" t="s">
        <v>634</v>
      </c>
      <c r="R106">
        <v>46</v>
      </c>
      <c r="S106">
        <v>0.4262626262626262</v>
      </c>
      <c r="T106">
        <v>74</v>
      </c>
      <c r="U106">
        <v>1.625540540540541</v>
      </c>
      <c r="V106">
        <v>5.0319</v>
      </c>
      <c r="W106">
        <v>4.95</v>
      </c>
      <c r="X106">
        <v>2.11</v>
      </c>
      <c r="Y106">
        <v>0.380581</v>
      </c>
      <c r="Z106">
        <v>0.2349914236706689</v>
      </c>
      <c r="AA106">
        <v>0.7330097087378641</v>
      </c>
      <c r="AB106">
        <v>0.5452342487883683</v>
      </c>
      <c r="AC106">
        <v>0.08239095315024234</v>
      </c>
      <c r="AD106">
        <v>0.05654281098546041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71.45</v>
      </c>
      <c r="D107">
        <v>1764.879376</v>
      </c>
      <c r="E107" t="s">
        <v>663</v>
      </c>
      <c r="F107" t="s">
        <v>629</v>
      </c>
      <c r="G107" t="s">
        <v>673</v>
      </c>
      <c r="H107" t="s">
        <v>703</v>
      </c>
      <c r="I107" t="s">
        <v>813</v>
      </c>
      <c r="J107" t="s">
        <v>1310</v>
      </c>
      <c r="K107">
        <v>43712</v>
      </c>
      <c r="L107">
        <v>0.006298110566829</v>
      </c>
      <c r="M107">
        <v>-0.06157358884456932</v>
      </c>
      <c r="N107">
        <v>0.03</v>
      </c>
      <c r="O107">
        <v>-0.0222128091632442</v>
      </c>
      <c r="P107" t="s">
        <v>633</v>
      </c>
      <c r="Q107" t="s">
        <v>405</v>
      </c>
      <c r="R107">
        <v>8</v>
      </c>
      <c r="S107">
        <v>0.08587786259541985</v>
      </c>
      <c r="T107">
        <v>52</v>
      </c>
      <c r="U107">
        <v>1.374038461538462</v>
      </c>
      <c r="V107">
        <v>4.8278</v>
      </c>
      <c r="W107">
        <v>5.24</v>
      </c>
      <c r="X107">
        <v>0.45</v>
      </c>
      <c r="Y107">
        <v>0.25483</v>
      </c>
      <c r="Z107">
        <v>0.01886792452830189</v>
      </c>
      <c r="AA107">
        <v>0.5598705501618123</v>
      </c>
      <c r="AB107">
        <v>0.2003231017770598</v>
      </c>
      <c r="AC107">
        <v>0.2003231017770598</v>
      </c>
      <c r="AD107">
        <v>0.05008077544426495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56.89</v>
      </c>
      <c r="D108">
        <v>17249.90135</v>
      </c>
      <c r="E108" t="s">
        <v>667</v>
      </c>
      <c r="F108" t="s">
        <v>629</v>
      </c>
      <c r="G108" t="s">
        <v>673</v>
      </c>
      <c r="H108" t="s">
        <v>703</v>
      </c>
      <c r="I108" t="s">
        <v>814</v>
      </c>
      <c r="J108" t="s">
        <v>1323</v>
      </c>
      <c r="K108">
        <v>43800</v>
      </c>
      <c r="L108">
        <v>0.028124450694322</v>
      </c>
      <c r="M108">
        <v>-0.09258402209004535</v>
      </c>
      <c r="N108">
        <v>0.03</v>
      </c>
      <c r="O108">
        <v>-0.02807942774135341</v>
      </c>
      <c r="P108" t="s">
        <v>633</v>
      </c>
      <c r="Q108" t="s">
        <v>633</v>
      </c>
      <c r="R108">
        <v>46</v>
      </c>
      <c r="S108">
        <v>0.3013182674199624</v>
      </c>
      <c r="T108">
        <v>35</v>
      </c>
      <c r="U108">
        <v>1.625428571428571</v>
      </c>
      <c r="V108">
        <v>5.8642</v>
      </c>
      <c r="W108">
        <v>5.31</v>
      </c>
      <c r="X108">
        <v>1.6</v>
      </c>
      <c r="Y108">
        <v>0.095513</v>
      </c>
      <c r="Z108">
        <v>0.4699828473413379</v>
      </c>
      <c r="AA108">
        <v>0.2766990291262136</v>
      </c>
      <c r="AB108">
        <v>0.2003231017770598</v>
      </c>
      <c r="AC108">
        <v>0.0840064620355412</v>
      </c>
      <c r="AD108">
        <v>0.04361873990306947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271.5</v>
      </c>
      <c r="D109">
        <v>28155.3645</v>
      </c>
      <c r="E109" t="s">
        <v>661</v>
      </c>
      <c r="F109" t="s">
        <v>629</v>
      </c>
      <c r="G109" t="s">
        <v>673</v>
      </c>
      <c r="H109" t="s">
        <v>704</v>
      </c>
      <c r="I109" t="s">
        <v>815</v>
      </c>
      <c r="J109" t="s">
        <v>1324</v>
      </c>
      <c r="K109">
        <v>43762</v>
      </c>
      <c r="L109">
        <v>0.007550644567219001</v>
      </c>
      <c r="M109">
        <v>-0.1154762465545123</v>
      </c>
      <c r="N109">
        <v>0.08</v>
      </c>
      <c r="O109">
        <v>-0.03218754105244859</v>
      </c>
      <c r="P109" t="s">
        <v>633</v>
      </c>
      <c r="Q109" t="s">
        <v>494</v>
      </c>
      <c r="R109">
        <v>36</v>
      </c>
      <c r="S109">
        <v>0.2446300715990453</v>
      </c>
      <c r="T109">
        <v>147</v>
      </c>
      <c r="U109">
        <v>1.846938775510204</v>
      </c>
      <c r="V109">
        <v>8.829800000000001</v>
      </c>
      <c r="W109">
        <v>8.380000000000001</v>
      </c>
      <c r="X109">
        <v>2.05</v>
      </c>
      <c r="Y109">
        <v>0.697193</v>
      </c>
      <c r="Z109">
        <v>0.02915951972555746</v>
      </c>
      <c r="AA109">
        <v>0.9514563106796117</v>
      </c>
      <c r="AB109">
        <v>0.8182552504038771</v>
      </c>
      <c r="AC109">
        <v>0.04846526655896607</v>
      </c>
      <c r="AD109">
        <v>0.04038772213247173</v>
      </c>
    </row>
    <row r="110" spans="1:30">
      <c r="A110" s="1" t="s">
        <v>117</v>
      </c>
      <c r="B110">
        <f>HYPERLINK("https://www.suredividend.com/sure-analysis-MSEX","Middlesex Water Co.")</f>
        <v>0</v>
      </c>
      <c r="C110">
        <v>62.88</v>
      </c>
      <c r="D110">
        <v>1096.06128</v>
      </c>
      <c r="E110" t="s">
        <v>667</v>
      </c>
      <c r="F110" t="s">
        <v>629</v>
      </c>
      <c r="G110" t="s">
        <v>673</v>
      </c>
      <c r="H110" t="s">
        <v>704</v>
      </c>
      <c r="I110" t="s">
        <v>816</v>
      </c>
      <c r="J110" t="s">
        <v>1321</v>
      </c>
      <c r="K110">
        <v>43733</v>
      </c>
      <c r="L110">
        <v>0.015267175572519</v>
      </c>
      <c r="M110">
        <v>-0.0775404072903223</v>
      </c>
      <c r="N110">
        <v>0.022</v>
      </c>
      <c r="O110">
        <v>-0.0360785118579996</v>
      </c>
      <c r="P110" t="s">
        <v>633</v>
      </c>
      <c r="Q110" t="s">
        <v>494</v>
      </c>
      <c r="R110">
        <v>46</v>
      </c>
      <c r="S110">
        <v>0.48</v>
      </c>
      <c r="T110">
        <v>42</v>
      </c>
      <c r="U110">
        <v>1.497142857142857</v>
      </c>
      <c r="V110">
        <v>1.9793</v>
      </c>
      <c r="W110">
        <v>2</v>
      </c>
      <c r="X110">
        <v>0.96</v>
      </c>
      <c r="Y110">
        <v>0.208069</v>
      </c>
      <c r="Z110">
        <v>0.176672384219554</v>
      </c>
      <c r="AA110">
        <v>0.4757281553398058</v>
      </c>
      <c r="AB110">
        <v>0.1437802907915993</v>
      </c>
      <c r="AC110">
        <v>0.1260096930533118</v>
      </c>
      <c r="AD110">
        <v>0.03877221324717286</v>
      </c>
    </row>
    <row r="111" spans="1:30">
      <c r="A111" s="1" t="s">
        <v>118</v>
      </c>
      <c r="B111">
        <f>HYPERLINK("https://www.suredividend.com/sure-analysis-CINF","Cincinnati Financial Corp.")</f>
        <v>0</v>
      </c>
      <c r="C111">
        <v>104.13</v>
      </c>
      <c r="D111">
        <v>17012.13462</v>
      </c>
      <c r="E111" t="s">
        <v>666</v>
      </c>
      <c r="F111" t="s">
        <v>629</v>
      </c>
      <c r="G111" t="s">
        <v>673</v>
      </c>
      <c r="H111" t="s">
        <v>704</v>
      </c>
      <c r="I111" t="s">
        <v>817</v>
      </c>
      <c r="J111" t="s">
        <v>1309</v>
      </c>
      <c r="K111">
        <v>43793</v>
      </c>
      <c r="L111">
        <v>0.021223470661672</v>
      </c>
      <c r="M111">
        <v>-0.110449875016192</v>
      </c>
      <c r="N111">
        <v>0.05</v>
      </c>
      <c r="O111">
        <v>-0.03613644694864471</v>
      </c>
      <c r="P111" t="s">
        <v>633</v>
      </c>
      <c r="Q111" t="s">
        <v>634</v>
      </c>
      <c r="R111">
        <v>59</v>
      </c>
      <c r="S111">
        <v>0.5893333333333334</v>
      </c>
      <c r="T111">
        <v>58</v>
      </c>
      <c r="U111">
        <v>1.795344827586207</v>
      </c>
      <c r="V111">
        <v>5.6225</v>
      </c>
      <c r="W111">
        <v>3.75</v>
      </c>
      <c r="X111">
        <v>2.21</v>
      </c>
      <c r="Y111">
        <v>0.376835</v>
      </c>
      <c r="Z111">
        <v>0.3293310463121784</v>
      </c>
      <c r="AA111">
        <v>0.7249190938511327</v>
      </c>
      <c r="AB111">
        <v>0.4588045234248789</v>
      </c>
      <c r="AC111">
        <v>0.05654281098546041</v>
      </c>
      <c r="AD111">
        <v>0.03715670436187399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65.42</v>
      </c>
      <c r="D112">
        <v>1904.44162</v>
      </c>
      <c r="E112" t="s">
        <v>660</v>
      </c>
      <c r="F112" t="s">
        <v>629</v>
      </c>
      <c r="G112" t="s">
        <v>673</v>
      </c>
      <c r="H112" t="s">
        <v>703</v>
      </c>
      <c r="I112" t="s">
        <v>818</v>
      </c>
      <c r="J112" t="s">
        <v>1316</v>
      </c>
      <c r="K112">
        <v>43664</v>
      </c>
      <c r="L112">
        <v>0.009477224090492</v>
      </c>
      <c r="M112">
        <v>-0.08921752935099936</v>
      </c>
      <c r="N112">
        <v>0.034</v>
      </c>
      <c r="O112">
        <v>-0.04334251019756508</v>
      </c>
      <c r="P112" t="s">
        <v>633</v>
      </c>
      <c r="Q112" t="s">
        <v>405</v>
      </c>
      <c r="R112">
        <v>26</v>
      </c>
      <c r="S112">
        <v>0.3625730994152047</v>
      </c>
      <c r="T112">
        <v>41</v>
      </c>
      <c r="U112">
        <v>1.595609756097561</v>
      </c>
      <c r="V112">
        <v>1.5903</v>
      </c>
      <c r="W112">
        <v>1.71</v>
      </c>
      <c r="X112">
        <v>0.62</v>
      </c>
      <c r="Y112">
        <v>0.354451</v>
      </c>
      <c r="Z112">
        <v>0.05660377358490565</v>
      </c>
      <c r="AA112">
        <v>0.6941747572815534</v>
      </c>
      <c r="AB112">
        <v>0.241518578352181</v>
      </c>
      <c r="AC112">
        <v>0.09208400646203554</v>
      </c>
      <c r="AD112">
        <v>0.03231017770597738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164.08</v>
      </c>
      <c r="D113">
        <v>4509.7388</v>
      </c>
      <c r="E113" t="s">
        <v>661</v>
      </c>
      <c r="F113" t="s">
        <v>629</v>
      </c>
      <c r="G113" t="s">
        <v>673</v>
      </c>
      <c r="H113" t="s">
        <v>704</v>
      </c>
      <c r="I113" t="s">
        <v>819</v>
      </c>
      <c r="J113" t="s">
        <v>1322</v>
      </c>
      <c r="K113">
        <v>43710</v>
      </c>
      <c r="L113">
        <v>0.015845928815212</v>
      </c>
      <c r="M113">
        <v>-0.1035344773784772</v>
      </c>
      <c r="N113">
        <v>0.03</v>
      </c>
      <c r="O113">
        <v>-0.05330719543268692</v>
      </c>
      <c r="P113" t="s">
        <v>633</v>
      </c>
      <c r="Q113" t="s">
        <v>634</v>
      </c>
      <c r="R113">
        <v>56</v>
      </c>
      <c r="S113">
        <v>0.4952380952380953</v>
      </c>
      <c r="T113">
        <v>95</v>
      </c>
      <c r="U113">
        <v>1.727157894736842</v>
      </c>
      <c r="V113">
        <v>5.5392</v>
      </c>
      <c r="W113">
        <v>5.25</v>
      </c>
      <c r="X113">
        <v>2.6</v>
      </c>
      <c r="Y113">
        <v>-0.09323000000000001</v>
      </c>
      <c r="Z113">
        <v>0.1886792452830189</v>
      </c>
      <c r="AA113">
        <v>0.08737864077669903</v>
      </c>
      <c r="AB113">
        <v>0.2003231017770598</v>
      </c>
      <c r="AC113">
        <v>0.0630048465266559</v>
      </c>
      <c r="AD113">
        <v>0.02746365105008078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50.91</v>
      </c>
      <c r="D114">
        <v>2451.06195</v>
      </c>
      <c r="E114" t="s">
        <v>663</v>
      </c>
      <c r="F114" t="s">
        <v>629</v>
      </c>
      <c r="G114" t="s">
        <v>673</v>
      </c>
      <c r="H114" t="s">
        <v>703</v>
      </c>
      <c r="I114" t="s">
        <v>820</v>
      </c>
      <c r="J114" t="s">
        <v>1321</v>
      </c>
      <c r="K114">
        <v>43719</v>
      </c>
      <c r="L114">
        <v>0.015321154979375</v>
      </c>
      <c r="M114">
        <v>-0.1191293630044997</v>
      </c>
      <c r="N114">
        <v>0.04</v>
      </c>
      <c r="O114">
        <v>-0.06062400892629982</v>
      </c>
      <c r="P114" t="s">
        <v>633</v>
      </c>
      <c r="Q114" t="s">
        <v>494</v>
      </c>
      <c r="R114">
        <v>52</v>
      </c>
      <c r="S114">
        <v>0.5735294117647058</v>
      </c>
      <c r="T114">
        <v>27</v>
      </c>
      <c r="U114">
        <v>1.885555555555555</v>
      </c>
      <c r="V114">
        <v>1.3951</v>
      </c>
      <c r="W114">
        <v>1.36</v>
      </c>
      <c r="X114">
        <v>0.78</v>
      </c>
      <c r="Y114">
        <v>0.08642799999999999</v>
      </c>
      <c r="Z114">
        <v>0.1801029159519726</v>
      </c>
      <c r="AA114">
        <v>0.2653721682847897</v>
      </c>
      <c r="AB114">
        <v>0.3182552504038772</v>
      </c>
      <c r="AC114">
        <v>0.0420032310177706</v>
      </c>
      <c r="AD114">
        <v>0.0210016155088853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87.89</v>
      </c>
      <c r="D115">
        <v>3237.77971</v>
      </c>
      <c r="E115" t="s">
        <v>667</v>
      </c>
      <c r="F115" t="s">
        <v>629</v>
      </c>
      <c r="G115" t="s">
        <v>673</v>
      </c>
      <c r="H115" t="s">
        <v>703</v>
      </c>
      <c r="I115" t="s">
        <v>821</v>
      </c>
      <c r="J115" t="s">
        <v>1321</v>
      </c>
      <c r="K115">
        <v>43796</v>
      </c>
      <c r="L115">
        <v>0.012856980316304</v>
      </c>
      <c r="M115">
        <v>-0.1499880555389428</v>
      </c>
      <c r="N115">
        <v>0.049</v>
      </c>
      <c r="O115">
        <v>-0.08672651481661464</v>
      </c>
      <c r="P115" t="s">
        <v>633</v>
      </c>
      <c r="Q115" t="s">
        <v>494</v>
      </c>
      <c r="R115">
        <v>64</v>
      </c>
      <c r="S115">
        <v>0.5794871794871794</v>
      </c>
      <c r="T115">
        <v>39</v>
      </c>
      <c r="U115">
        <v>2.253589743589743</v>
      </c>
      <c r="V115">
        <v>2.2024</v>
      </c>
      <c r="W115">
        <v>1.95</v>
      </c>
      <c r="X115">
        <v>1.13</v>
      </c>
      <c r="Y115">
        <v>0.304393</v>
      </c>
      <c r="Z115">
        <v>0.1269296740994854</v>
      </c>
      <c r="AA115">
        <v>0.6359223300970873</v>
      </c>
      <c r="AB115">
        <v>0.3909531502423264</v>
      </c>
      <c r="AC115">
        <v>0.02907915993537964</v>
      </c>
      <c r="AD115">
        <v>0.01292407108239095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150.84</v>
      </c>
      <c r="D116">
        <v>11160.80244</v>
      </c>
      <c r="E116" t="s">
        <v>663</v>
      </c>
      <c r="F116" t="s">
        <v>629</v>
      </c>
      <c r="G116" t="s">
        <v>673</v>
      </c>
      <c r="H116" t="s">
        <v>703</v>
      </c>
      <c r="I116" t="s">
        <v>822</v>
      </c>
      <c r="J116" t="s">
        <v>1315</v>
      </c>
      <c r="K116">
        <v>43762</v>
      </c>
      <c r="L116">
        <v>0.004044020153805001</v>
      </c>
      <c r="M116">
        <v>-0.1797725476982489</v>
      </c>
      <c r="N116">
        <v>0.07000000000000001</v>
      </c>
      <c r="O116">
        <v>-0.1143131934617171</v>
      </c>
      <c r="P116" t="s">
        <v>633</v>
      </c>
      <c r="Q116" t="s">
        <v>494</v>
      </c>
      <c r="R116">
        <v>25</v>
      </c>
      <c r="S116">
        <v>0.194888178913738</v>
      </c>
      <c r="T116">
        <v>56</v>
      </c>
      <c r="U116">
        <v>2.693571428571429</v>
      </c>
      <c r="V116">
        <v>3.109</v>
      </c>
      <c r="W116">
        <v>3.13</v>
      </c>
      <c r="X116">
        <v>0.61</v>
      </c>
      <c r="Y116">
        <v>0.5859529999999999</v>
      </c>
      <c r="Z116">
        <v>0.008576329331046312</v>
      </c>
      <c r="AA116">
        <v>0.923948220064725</v>
      </c>
      <c r="AB116">
        <v>0.7245557350565428</v>
      </c>
      <c r="AC116">
        <v>0.01292407108239095</v>
      </c>
      <c r="AD116">
        <v>0.009693053311793215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91.48999999999999</v>
      </c>
      <c r="D117">
        <v>4102.04564</v>
      </c>
      <c r="E117" t="s">
        <v>663</v>
      </c>
      <c r="F117" t="s">
        <v>629</v>
      </c>
      <c r="G117" t="s">
        <v>673</v>
      </c>
      <c r="H117" t="s">
        <v>703</v>
      </c>
      <c r="I117" t="s">
        <v>823</v>
      </c>
      <c r="J117" t="s">
        <v>1309</v>
      </c>
      <c r="K117">
        <v>43762</v>
      </c>
      <c r="L117">
        <v>0.009837140671111001</v>
      </c>
      <c r="M117">
        <v>-0.1567852480172413</v>
      </c>
      <c r="N117">
        <v>0.012</v>
      </c>
      <c r="O117">
        <v>-0.1265045538127076</v>
      </c>
      <c r="P117" t="s">
        <v>633</v>
      </c>
      <c r="Q117" t="s">
        <v>494</v>
      </c>
      <c r="R117">
        <v>44</v>
      </c>
      <c r="S117">
        <v>0.36</v>
      </c>
      <c r="T117">
        <v>39</v>
      </c>
      <c r="U117">
        <v>2.345897435897436</v>
      </c>
      <c r="V117">
        <v>2.6322</v>
      </c>
      <c r="W117">
        <v>2.5</v>
      </c>
      <c r="X117">
        <v>0.9</v>
      </c>
      <c r="Y117">
        <v>0.375169</v>
      </c>
      <c r="Z117">
        <v>0.06346483704974271</v>
      </c>
      <c r="AA117">
        <v>0.7184466019417475</v>
      </c>
      <c r="AB117">
        <v>0.06381260096930533</v>
      </c>
      <c r="AC117">
        <v>0.02261712439418417</v>
      </c>
      <c r="AD117">
        <v>0.008077544426494346</v>
      </c>
    </row>
    <row r="118" spans="1:30">
      <c r="A118" s="1" t="s">
        <v>125</v>
      </c>
      <c r="B118">
        <f>HYPERLINK("https://www.suredividend.com/sure-analysis-SKM","SK Telecom Co., Ltd.")</f>
        <v>0</v>
      </c>
      <c r="C118">
        <v>23.25</v>
      </c>
      <c r="D118">
        <v>15038.909596</v>
      </c>
      <c r="E118" t="s">
        <v>665</v>
      </c>
      <c r="F118" t="s">
        <v>629</v>
      </c>
      <c r="G118" t="s">
        <v>680</v>
      </c>
      <c r="H118" t="s">
        <v>703</v>
      </c>
      <c r="I118" t="s">
        <v>824</v>
      </c>
      <c r="J118" t="s">
        <v>1318</v>
      </c>
      <c r="K118">
        <v>43795</v>
      </c>
      <c r="L118">
        <v>0.04146666666666601</v>
      </c>
      <c r="M118">
        <v>0.07897452752824119</v>
      </c>
      <c r="N118">
        <v>0.1</v>
      </c>
      <c r="O118">
        <v>0.2077962031570393</v>
      </c>
      <c r="P118" t="s">
        <v>634</v>
      </c>
      <c r="Q118" t="s">
        <v>633</v>
      </c>
      <c r="R118">
        <v>0</v>
      </c>
      <c r="S118">
        <v>0.241025</v>
      </c>
      <c r="T118">
        <v>34</v>
      </c>
      <c r="U118">
        <v>0.6838235294117647</v>
      </c>
      <c r="V118">
        <v>1.8809</v>
      </c>
      <c r="W118">
        <v>4</v>
      </c>
      <c r="X118">
        <v>0.9641000000000001</v>
      </c>
      <c r="Y118">
        <v>-0.1561</v>
      </c>
      <c r="Z118">
        <v>0.6775300171526587</v>
      </c>
      <c r="AA118">
        <v>0.06310679611650485</v>
      </c>
      <c r="AB118">
        <v>0.931340872374798</v>
      </c>
      <c r="AC118">
        <v>0.9919224555735056</v>
      </c>
      <c r="AD118">
        <v>0.9903069466882067</v>
      </c>
    </row>
    <row r="119" spans="1:30">
      <c r="A119" s="1" t="s">
        <v>126</v>
      </c>
      <c r="B119">
        <f>HYPERLINK("https://www.suredividend.com/sure-analysis-RDEIY","Red Eléctrica Corp. SA")</f>
        <v>0</v>
      </c>
      <c r="C119">
        <v>9.99</v>
      </c>
      <c r="D119">
        <v>10785.068436</v>
      </c>
      <c r="E119" t="s">
        <v>660</v>
      </c>
      <c r="F119" t="s">
        <v>629</v>
      </c>
      <c r="G119" t="s">
        <v>681</v>
      </c>
      <c r="H119" t="s">
        <v>705</v>
      </c>
      <c r="I119" t="s">
        <v>825</v>
      </c>
      <c r="J119" t="s">
        <v>1321</v>
      </c>
      <c r="K119">
        <v>43727</v>
      </c>
      <c r="L119">
        <v>0.039828928928928</v>
      </c>
      <c r="M119">
        <v>0.02855251493680733</v>
      </c>
      <c r="N119">
        <v>0.076</v>
      </c>
      <c r="O119">
        <v>0.1665980621497305</v>
      </c>
      <c r="P119" t="s">
        <v>634</v>
      </c>
      <c r="Q119" t="s">
        <v>633</v>
      </c>
      <c r="R119">
        <v>5</v>
      </c>
      <c r="S119">
        <v>0.2763131944444445</v>
      </c>
      <c r="T119">
        <v>11.5</v>
      </c>
      <c r="U119">
        <v>0.8686956521739131</v>
      </c>
      <c r="V119">
        <v>0.7721</v>
      </c>
      <c r="W119">
        <v>1.44</v>
      </c>
      <c r="X119">
        <v>0.397891</v>
      </c>
      <c r="Y119">
        <v>-0.1275</v>
      </c>
      <c r="Z119">
        <v>0.6518010291595198</v>
      </c>
      <c r="AA119">
        <v>0.07443365695792881</v>
      </c>
      <c r="AB119">
        <v>0.7722132471728593</v>
      </c>
      <c r="AC119">
        <v>0.9030694668820678</v>
      </c>
      <c r="AD119">
        <v>0.9822294022617125</v>
      </c>
    </row>
    <row r="120" spans="1:30">
      <c r="A120" s="1" t="s">
        <v>127</v>
      </c>
      <c r="B120">
        <f>HYPERLINK("https://www.suredividend.com/sure-analysis-FLR","Fluor Corp.")</f>
        <v>0</v>
      </c>
      <c r="C120">
        <v>18.36</v>
      </c>
      <c r="D120">
        <v>2573.59464</v>
      </c>
      <c r="E120" t="s">
        <v>661</v>
      </c>
      <c r="F120" t="s">
        <v>629</v>
      </c>
      <c r="G120" t="s">
        <v>673</v>
      </c>
      <c r="H120" t="s">
        <v>703</v>
      </c>
      <c r="I120" t="s">
        <v>826</v>
      </c>
      <c r="J120" t="s">
        <v>1325</v>
      </c>
      <c r="K120">
        <v>43745</v>
      </c>
      <c r="L120">
        <v>0.045751633986928</v>
      </c>
      <c r="M120">
        <v>0.04609477242099258</v>
      </c>
      <c r="N120">
        <v>0.06</v>
      </c>
      <c r="O120">
        <v>0.1375943071616397</v>
      </c>
      <c r="P120" t="s">
        <v>634</v>
      </c>
      <c r="Q120" t="s">
        <v>633</v>
      </c>
      <c r="R120">
        <v>0</v>
      </c>
      <c r="S120">
        <v>-0.2470588235294118</v>
      </c>
      <c r="T120">
        <v>23</v>
      </c>
      <c r="U120">
        <v>0.7982608695652174</v>
      </c>
      <c r="V120">
        <v>-9.3119</v>
      </c>
      <c r="W120">
        <v>-3.4</v>
      </c>
      <c r="X120">
        <v>0.84</v>
      </c>
      <c r="Y120">
        <v>-0.392656</v>
      </c>
      <c r="Z120">
        <v>0.7221269296740995</v>
      </c>
      <c r="AA120">
        <v>0.01294498381877023</v>
      </c>
      <c r="AB120">
        <v>0.6130856219709209</v>
      </c>
      <c r="AC120">
        <v>0.9596122778675283</v>
      </c>
      <c r="AD120">
        <v>0.9563812600969306</v>
      </c>
    </row>
    <row r="121" spans="1:30">
      <c r="A121" s="1" t="s">
        <v>128</v>
      </c>
      <c r="B121">
        <f>HYPERLINK("https://www.suredividend.com/sure-analysis-MO","Altria Group, Inc.")</f>
        <v>0</v>
      </c>
      <c r="C121">
        <v>51.13</v>
      </c>
      <c r="D121">
        <v>95517.4869</v>
      </c>
      <c r="E121" t="s">
        <v>667</v>
      </c>
      <c r="F121" t="s">
        <v>629</v>
      </c>
      <c r="G121" t="s">
        <v>673</v>
      </c>
      <c r="H121" t="s">
        <v>703</v>
      </c>
      <c r="I121" t="s">
        <v>827</v>
      </c>
      <c r="J121" t="s">
        <v>1322</v>
      </c>
      <c r="K121">
        <v>43789</v>
      </c>
      <c r="L121">
        <v>0.063367885781341</v>
      </c>
      <c r="M121">
        <v>0.04263656473582045</v>
      </c>
      <c r="N121">
        <v>0.04</v>
      </c>
      <c r="O121">
        <v>0.1334057564144107</v>
      </c>
      <c r="P121" t="s">
        <v>634</v>
      </c>
      <c r="Q121" t="s">
        <v>633</v>
      </c>
      <c r="R121">
        <v>49</v>
      </c>
      <c r="S121">
        <v>0.7695961995249406</v>
      </c>
      <c r="T121">
        <v>63</v>
      </c>
      <c r="U121">
        <v>0.8115873015873016</v>
      </c>
      <c r="V121">
        <v>0.9476</v>
      </c>
      <c r="W121">
        <v>4.21</v>
      </c>
      <c r="X121">
        <v>3.24</v>
      </c>
      <c r="Y121">
        <v>0.041556</v>
      </c>
      <c r="Z121">
        <v>0.8576329331046313</v>
      </c>
      <c r="AA121">
        <v>0.2038834951456311</v>
      </c>
      <c r="AB121">
        <v>0.3182552504038772</v>
      </c>
      <c r="AC121">
        <v>0.9515347334410339</v>
      </c>
      <c r="AD121">
        <v>0.9515347334410339</v>
      </c>
    </row>
    <row r="122" spans="1:30">
      <c r="A122" s="1" t="s">
        <v>129</v>
      </c>
      <c r="B122">
        <f>HYPERLINK("https://www.suredividend.com/sure-analysis-EBAY","eBay, Inc.")</f>
        <v>0</v>
      </c>
      <c r="C122">
        <v>36.19</v>
      </c>
      <c r="D122">
        <v>29441.46975</v>
      </c>
      <c r="E122" t="s">
        <v>666</v>
      </c>
      <c r="F122" t="s">
        <v>629</v>
      </c>
      <c r="G122" t="s">
        <v>673</v>
      </c>
      <c r="H122" t="s">
        <v>704</v>
      </c>
      <c r="I122" t="s">
        <v>828</v>
      </c>
      <c r="J122" t="s">
        <v>1324</v>
      </c>
      <c r="K122">
        <v>43776</v>
      </c>
      <c r="L122">
        <v>0.011605415860735</v>
      </c>
      <c r="M122">
        <v>0.02022105388158923</v>
      </c>
      <c r="N122">
        <v>0.09</v>
      </c>
      <c r="O122">
        <v>0.125476467844454</v>
      </c>
      <c r="P122" t="s">
        <v>634</v>
      </c>
      <c r="Q122" t="s">
        <v>405</v>
      </c>
      <c r="R122">
        <v>0</v>
      </c>
      <c r="S122">
        <v>0.1555555555555555</v>
      </c>
      <c r="T122">
        <v>40</v>
      </c>
      <c r="U122">
        <v>0.9047499999999999</v>
      </c>
      <c r="V122">
        <v>2.2277</v>
      </c>
      <c r="W122">
        <v>2.7</v>
      </c>
      <c r="X122">
        <v>0.42</v>
      </c>
      <c r="Y122">
        <v>0.36155</v>
      </c>
      <c r="Z122">
        <v>0.09433962264150944</v>
      </c>
      <c r="AA122">
        <v>0.7006472491909385</v>
      </c>
      <c r="AB122">
        <v>0.8877221324717286</v>
      </c>
      <c r="AC122">
        <v>0.864297253634895</v>
      </c>
      <c r="AD122">
        <v>0.9305331179321485</v>
      </c>
    </row>
    <row r="123" spans="1:30">
      <c r="A123" s="1" t="s">
        <v>130</v>
      </c>
      <c r="B123">
        <f>HYPERLINK("https://www.suredividend.com/sure-analysis-ERF","Enerplus Corp.")</f>
        <v>0</v>
      </c>
      <c r="C123">
        <v>6.85</v>
      </c>
      <c r="D123">
        <v>1518.9464</v>
      </c>
      <c r="E123" t="s">
        <v>662</v>
      </c>
      <c r="F123" t="s">
        <v>629</v>
      </c>
      <c r="G123" t="s">
        <v>675</v>
      </c>
      <c r="H123" t="s">
        <v>703</v>
      </c>
      <c r="I123" t="s">
        <v>829</v>
      </c>
      <c r="J123" t="s">
        <v>1312</v>
      </c>
      <c r="K123">
        <v>43786</v>
      </c>
      <c r="L123">
        <v>0.013200421144202</v>
      </c>
      <c r="M123">
        <v>0.0271035685173433</v>
      </c>
      <c r="N123">
        <v>0.078</v>
      </c>
      <c r="O123">
        <v>0.1204063993119096</v>
      </c>
      <c r="P123" t="s">
        <v>634</v>
      </c>
      <c r="Q123" t="s">
        <v>405</v>
      </c>
      <c r="R123">
        <v>0</v>
      </c>
      <c r="S123">
        <v>0.2009397440839644</v>
      </c>
      <c r="T123">
        <v>7.83</v>
      </c>
      <c r="U123">
        <v>0.8748403575989783</v>
      </c>
      <c r="V123">
        <v>1.3345</v>
      </c>
      <c r="W123">
        <v>0.45</v>
      </c>
      <c r="X123">
        <v>0.090422884837784</v>
      </c>
      <c r="Y123">
        <v>-0.065484</v>
      </c>
      <c r="Z123">
        <v>0.1286449399656947</v>
      </c>
      <c r="AA123">
        <v>0.1003236245954693</v>
      </c>
      <c r="AB123">
        <v>0.7778675282714055</v>
      </c>
      <c r="AC123">
        <v>0.8982229402261713</v>
      </c>
      <c r="AD123">
        <v>0.9192245557350566</v>
      </c>
    </row>
    <row r="124" spans="1:30">
      <c r="A124" s="1" t="s">
        <v>131</v>
      </c>
      <c r="B124">
        <f>HYPERLINK("https://www.suredividend.com/sure-analysis-TSCO","Tractor Supply Co.")</f>
        <v>0</v>
      </c>
      <c r="C124">
        <v>92.17</v>
      </c>
      <c r="D124">
        <v>10911.63762</v>
      </c>
      <c r="E124" t="s">
        <v>662</v>
      </c>
      <c r="F124" t="s">
        <v>629</v>
      </c>
      <c r="G124" t="s">
        <v>673</v>
      </c>
      <c r="H124" t="s">
        <v>704</v>
      </c>
      <c r="I124" t="s">
        <v>830</v>
      </c>
      <c r="J124" t="s">
        <v>1310</v>
      </c>
      <c r="K124">
        <v>43780</v>
      </c>
      <c r="L124">
        <v>0.014321362699359</v>
      </c>
      <c r="M124">
        <v>0.00393975737311214</v>
      </c>
      <c r="N124">
        <v>0.095</v>
      </c>
      <c r="O124">
        <v>0.1125417852370345</v>
      </c>
      <c r="P124" t="s">
        <v>634</v>
      </c>
      <c r="Q124" t="s">
        <v>405</v>
      </c>
      <c r="R124">
        <v>10</v>
      </c>
      <c r="S124">
        <v>0.2808510638297873</v>
      </c>
      <c r="T124">
        <v>94</v>
      </c>
      <c r="U124">
        <v>0.980531914893617</v>
      </c>
      <c r="V124">
        <v>4.602</v>
      </c>
      <c r="W124">
        <v>4.7</v>
      </c>
      <c r="X124">
        <v>1.32</v>
      </c>
      <c r="Y124">
        <v>0.147392</v>
      </c>
      <c r="Z124">
        <v>0.1543739279588336</v>
      </c>
      <c r="AA124">
        <v>0.3527508090614886</v>
      </c>
      <c r="AB124">
        <v>0.907108239095315</v>
      </c>
      <c r="AC124">
        <v>0.7447495961227787</v>
      </c>
      <c r="AD124">
        <v>0.8869143780290791</v>
      </c>
    </row>
    <row r="125" spans="1:30">
      <c r="A125" s="1" t="s">
        <v>132</v>
      </c>
      <c r="B125">
        <f>HYPERLINK("https://www.suredividend.com/sure-analysis-PFG","Principal Financial Group, Inc.")</f>
        <v>0</v>
      </c>
      <c r="C125">
        <v>55.05</v>
      </c>
      <c r="D125">
        <v>15285.8436</v>
      </c>
      <c r="E125" t="s">
        <v>663</v>
      </c>
      <c r="F125" t="s">
        <v>629</v>
      </c>
      <c r="G125" t="s">
        <v>673</v>
      </c>
      <c r="H125" t="s">
        <v>704</v>
      </c>
      <c r="I125" t="s">
        <v>831</v>
      </c>
      <c r="J125" t="s">
        <v>1309</v>
      </c>
      <c r="K125">
        <v>43763</v>
      </c>
      <c r="L125">
        <v>0.039418710263396</v>
      </c>
      <c r="M125">
        <v>0.02406346719091235</v>
      </c>
      <c r="N125">
        <v>0.05</v>
      </c>
      <c r="O125">
        <v>0.1124457423153675</v>
      </c>
      <c r="P125" t="s">
        <v>634</v>
      </c>
      <c r="Q125" t="s">
        <v>633</v>
      </c>
      <c r="R125">
        <v>10</v>
      </c>
      <c r="S125">
        <v>0.3833922261484099</v>
      </c>
      <c r="T125">
        <v>62</v>
      </c>
      <c r="U125">
        <v>0.8879032258064515</v>
      </c>
      <c r="V125">
        <v>4.7532</v>
      </c>
      <c r="W125">
        <v>5.66</v>
      </c>
      <c r="X125">
        <v>2.17</v>
      </c>
      <c r="Y125">
        <v>0.323317</v>
      </c>
      <c r="Z125">
        <v>0.6449399656946827</v>
      </c>
      <c r="AA125">
        <v>0.6537216828478963</v>
      </c>
      <c r="AB125">
        <v>0.4588045234248789</v>
      </c>
      <c r="AC125">
        <v>0.8917609046849758</v>
      </c>
      <c r="AD125">
        <v>0.8852988691437802</v>
      </c>
    </row>
    <row r="126" spans="1:30">
      <c r="A126" s="1" t="s">
        <v>133</v>
      </c>
      <c r="B126">
        <f>HYPERLINK("https://www.suredividend.com/sure-analysis-SYF","Synchrony Financial")</f>
        <v>0</v>
      </c>
      <c r="C126">
        <v>36.74</v>
      </c>
      <c r="D126">
        <v>23741.13082</v>
      </c>
      <c r="E126" t="s">
        <v>663</v>
      </c>
      <c r="F126" t="s">
        <v>629</v>
      </c>
      <c r="G126" t="s">
        <v>673</v>
      </c>
      <c r="H126" t="s">
        <v>703</v>
      </c>
      <c r="I126" t="s">
        <v>832</v>
      </c>
      <c r="J126" t="s">
        <v>1309</v>
      </c>
      <c r="K126">
        <v>43757</v>
      </c>
      <c r="L126">
        <v>0.023135547087642</v>
      </c>
      <c r="M126">
        <v>0.01714804305570028</v>
      </c>
      <c r="N126">
        <v>0.07000000000000001</v>
      </c>
      <c r="O126">
        <v>0.1120788845974112</v>
      </c>
      <c r="P126" t="s">
        <v>634</v>
      </c>
      <c r="Q126" t="s">
        <v>634</v>
      </c>
      <c r="R126">
        <v>6</v>
      </c>
      <c r="S126">
        <v>0.2019002375296912</v>
      </c>
      <c r="T126">
        <v>40</v>
      </c>
      <c r="U126">
        <v>0.9185000000000001</v>
      </c>
      <c r="V126">
        <v>5.5141</v>
      </c>
      <c r="W126">
        <v>4.21</v>
      </c>
      <c r="X126">
        <v>0.85</v>
      </c>
      <c r="Y126">
        <v>0.6328889999999999</v>
      </c>
      <c r="Z126">
        <v>0.3653516295025729</v>
      </c>
      <c r="AA126">
        <v>0.9385113268608414</v>
      </c>
      <c r="AB126">
        <v>0.7245557350565428</v>
      </c>
      <c r="AC126">
        <v>0.8368336025848143</v>
      </c>
      <c r="AD126">
        <v>0.877221324717286</v>
      </c>
    </row>
    <row r="127" spans="1:30">
      <c r="A127" s="1" t="s">
        <v>134</v>
      </c>
      <c r="B127">
        <f>HYPERLINK("https://www.suredividend.com/sure-analysis-PKX","POSCO")</f>
        <v>0</v>
      </c>
      <c r="C127">
        <v>52.08</v>
      </c>
      <c r="D127">
        <v>16689.683042</v>
      </c>
      <c r="E127" t="s">
        <v>661</v>
      </c>
      <c r="F127" t="s">
        <v>629</v>
      </c>
      <c r="G127" t="s">
        <v>680</v>
      </c>
      <c r="H127" t="s">
        <v>703</v>
      </c>
      <c r="I127" t="s">
        <v>833</v>
      </c>
      <c r="J127" t="s">
        <v>1323</v>
      </c>
      <c r="K127">
        <v>43765</v>
      </c>
      <c r="L127">
        <v>0.027192213901689</v>
      </c>
      <c r="M127">
        <v>0.02871732726990039</v>
      </c>
      <c r="N127">
        <v>0.05</v>
      </c>
      <c r="O127">
        <v>0.1104715281460507</v>
      </c>
      <c r="P127" t="s">
        <v>634</v>
      </c>
      <c r="Q127" t="s">
        <v>634</v>
      </c>
      <c r="R127">
        <v>1</v>
      </c>
      <c r="S127">
        <v>0.2178723846153846</v>
      </c>
      <c r="T127">
        <v>60</v>
      </c>
      <c r="U127">
        <v>0.868</v>
      </c>
      <c r="V127">
        <v>2.396</v>
      </c>
      <c r="W127">
        <v>6.5</v>
      </c>
      <c r="X127">
        <v>1.4161705</v>
      </c>
      <c r="Y127">
        <v>-0.07680000000000001</v>
      </c>
      <c r="Z127">
        <v>0.4545454545454545</v>
      </c>
      <c r="AA127">
        <v>0.09385113268608414</v>
      </c>
      <c r="AB127">
        <v>0.4588045234248789</v>
      </c>
      <c r="AC127">
        <v>0.9079159935379644</v>
      </c>
      <c r="AD127">
        <v>0.8723747980613894</v>
      </c>
    </row>
    <row r="128" spans="1:30">
      <c r="A128" s="1" t="s">
        <v>135</v>
      </c>
      <c r="B128">
        <f>HYPERLINK("https://www.suredividend.com/sure-analysis-CAH","Cardinal Health, Inc.")</f>
        <v>0</v>
      </c>
      <c r="C128">
        <v>51.8</v>
      </c>
      <c r="D128">
        <v>15150.8784</v>
      </c>
      <c r="E128" t="s">
        <v>658</v>
      </c>
      <c r="F128" t="s">
        <v>629</v>
      </c>
      <c r="G128" t="s">
        <v>673</v>
      </c>
      <c r="H128" t="s">
        <v>703</v>
      </c>
      <c r="I128" t="s">
        <v>834</v>
      </c>
      <c r="J128" t="s">
        <v>1311</v>
      </c>
      <c r="K128">
        <v>43779</v>
      </c>
      <c r="L128">
        <v>0.03696525096525</v>
      </c>
      <c r="M128">
        <v>0.02982705728092871</v>
      </c>
      <c r="N128">
        <v>0.05</v>
      </c>
      <c r="O128">
        <v>0.1094232423709067</v>
      </c>
      <c r="P128" t="s">
        <v>634</v>
      </c>
      <c r="Q128" t="s">
        <v>633</v>
      </c>
      <c r="R128">
        <v>24</v>
      </c>
      <c r="S128">
        <v>0.3844979919678715</v>
      </c>
      <c r="T128">
        <v>60</v>
      </c>
      <c r="U128">
        <v>0.8633333333333333</v>
      </c>
      <c r="V128">
        <v>-14.0476</v>
      </c>
      <c r="W128">
        <v>4.98</v>
      </c>
      <c r="X128">
        <v>1.9148</v>
      </c>
      <c r="Y128">
        <v>0.165617</v>
      </c>
      <c r="Z128">
        <v>0.6157804459691252</v>
      </c>
      <c r="AA128">
        <v>0.3851132686084142</v>
      </c>
      <c r="AB128">
        <v>0.4588045234248789</v>
      </c>
      <c r="AC128">
        <v>0.91437802907916</v>
      </c>
      <c r="AD128">
        <v>0.8659127625201939</v>
      </c>
    </row>
    <row r="129" spans="1:30">
      <c r="A129" s="1" t="s">
        <v>136</v>
      </c>
      <c r="B129">
        <f>HYPERLINK("https://www.suredividend.com/sure-analysis-T","AT&amp;T, Inc.")</f>
        <v>0</v>
      </c>
      <c r="C129">
        <v>39.15</v>
      </c>
      <c r="D129">
        <v>285990.75</v>
      </c>
      <c r="E129" t="s">
        <v>658</v>
      </c>
      <c r="F129" t="s">
        <v>629</v>
      </c>
      <c r="G129" t="s">
        <v>673</v>
      </c>
      <c r="H129" t="s">
        <v>703</v>
      </c>
      <c r="I129" t="s">
        <v>835</v>
      </c>
      <c r="J129" t="s">
        <v>1318</v>
      </c>
      <c r="K129">
        <v>43766</v>
      </c>
      <c r="L129">
        <v>0.052107279693486</v>
      </c>
      <c r="M129">
        <v>0.02363277311846868</v>
      </c>
      <c r="N129">
        <v>0.04</v>
      </c>
      <c r="O129">
        <v>0.1044090045242716</v>
      </c>
      <c r="P129" t="s">
        <v>634</v>
      </c>
      <c r="Q129" t="s">
        <v>633</v>
      </c>
      <c r="R129">
        <v>35</v>
      </c>
      <c r="S129">
        <v>0.5589041095890411</v>
      </c>
      <c r="T129">
        <v>44</v>
      </c>
      <c r="U129">
        <v>0.8897727272727273</v>
      </c>
      <c r="V129">
        <v>2.2408</v>
      </c>
      <c r="W129">
        <v>3.65</v>
      </c>
      <c r="X129">
        <v>2.04</v>
      </c>
      <c r="Y129">
        <v>0.382904</v>
      </c>
      <c r="Z129">
        <v>0.7855917667238422</v>
      </c>
      <c r="AA129">
        <v>0.7362459546925567</v>
      </c>
      <c r="AB129">
        <v>0.3182552504038772</v>
      </c>
      <c r="AC129">
        <v>0.8869143780290791</v>
      </c>
      <c r="AD129">
        <v>0.8368336025848143</v>
      </c>
    </row>
    <row r="130" spans="1:30">
      <c r="A130" s="1" t="s">
        <v>137</v>
      </c>
      <c r="B130">
        <f>HYPERLINK("https://www.suredividend.com/sure-analysis-NAVI","Navient Corp.")</f>
        <v>0</v>
      </c>
      <c r="C130">
        <v>13.77</v>
      </c>
      <c r="D130">
        <v>3043.67949</v>
      </c>
      <c r="E130" t="s">
        <v>663</v>
      </c>
      <c r="F130" t="s">
        <v>629</v>
      </c>
      <c r="G130" t="s">
        <v>673</v>
      </c>
      <c r="H130" t="s">
        <v>704</v>
      </c>
      <c r="I130" t="s">
        <v>836</v>
      </c>
      <c r="J130" t="s">
        <v>1309</v>
      </c>
      <c r="K130">
        <v>43762</v>
      </c>
      <c r="L130">
        <v>0.04647785039941901</v>
      </c>
      <c r="M130">
        <v>0.05503705446947205</v>
      </c>
      <c r="N130">
        <v>0.015</v>
      </c>
      <c r="O130">
        <v>0.1040804857854782</v>
      </c>
      <c r="P130" t="s">
        <v>634</v>
      </c>
      <c r="Q130" t="s">
        <v>633</v>
      </c>
      <c r="R130">
        <v>0</v>
      </c>
      <c r="S130">
        <v>0.256</v>
      </c>
      <c r="T130">
        <v>18</v>
      </c>
      <c r="U130">
        <v>0.765</v>
      </c>
      <c r="V130">
        <v>2.1001</v>
      </c>
      <c r="W130">
        <v>2.5</v>
      </c>
      <c r="X130">
        <v>0.64</v>
      </c>
      <c r="Y130">
        <v>0.612412</v>
      </c>
      <c r="Z130">
        <v>0.7358490566037736</v>
      </c>
      <c r="AA130">
        <v>0.9336569579288025</v>
      </c>
      <c r="AB130">
        <v>0.07592891760904685</v>
      </c>
      <c r="AC130">
        <v>0.9741518578352181</v>
      </c>
      <c r="AD130">
        <v>0.8336025848142166</v>
      </c>
    </row>
    <row r="131" spans="1:30">
      <c r="A131" s="1" t="s">
        <v>138</v>
      </c>
      <c r="B131">
        <f>HYPERLINK("https://www.suredividend.com/sure-analysis-RCL","Royal Caribbean Cruises Ltd.")</f>
        <v>0</v>
      </c>
      <c r="C131">
        <v>131.08</v>
      </c>
      <c r="D131">
        <v>27478.43148</v>
      </c>
      <c r="E131" t="s">
        <v>661</v>
      </c>
      <c r="F131" t="s">
        <v>629</v>
      </c>
      <c r="G131" t="s">
        <v>673</v>
      </c>
      <c r="H131" t="s">
        <v>703</v>
      </c>
      <c r="I131" t="s">
        <v>837</v>
      </c>
      <c r="J131" t="s">
        <v>1324</v>
      </c>
      <c r="K131">
        <v>43776</v>
      </c>
      <c r="L131">
        <v>0.021971315227342</v>
      </c>
      <c r="M131">
        <v>0.002912493971547692</v>
      </c>
      <c r="N131">
        <v>0.08</v>
      </c>
      <c r="O131">
        <v>0.1027643054822203</v>
      </c>
      <c r="P131" t="s">
        <v>634</v>
      </c>
      <c r="Q131" t="s">
        <v>494</v>
      </c>
      <c r="R131">
        <v>8</v>
      </c>
      <c r="S131">
        <v>0.3031578947368421</v>
      </c>
      <c r="T131">
        <v>133</v>
      </c>
      <c r="U131">
        <v>0.9855639097744362</v>
      </c>
      <c r="V131">
        <v>9.1738</v>
      </c>
      <c r="W131">
        <v>9.5</v>
      </c>
      <c r="X131">
        <v>2.88</v>
      </c>
      <c r="Y131">
        <v>0.416775</v>
      </c>
      <c r="Z131">
        <v>0.3379073756432247</v>
      </c>
      <c r="AA131">
        <v>0.7912621359223302</v>
      </c>
      <c r="AB131">
        <v>0.8182552504038771</v>
      </c>
      <c r="AC131">
        <v>0.7318255250403877</v>
      </c>
      <c r="AD131">
        <v>0.8255250403877221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127.22</v>
      </c>
      <c r="D132">
        <v>9687.754529</v>
      </c>
      <c r="E132" t="s">
        <v>667</v>
      </c>
      <c r="F132" t="s">
        <v>630</v>
      </c>
      <c r="G132" t="s">
        <v>673</v>
      </c>
      <c r="H132" t="s">
        <v>703</v>
      </c>
      <c r="I132" t="s">
        <v>838</v>
      </c>
      <c r="J132" t="s">
        <v>1309</v>
      </c>
      <c r="K132">
        <v>43798</v>
      </c>
      <c r="L132">
        <v>0.03230624115705</v>
      </c>
      <c r="M132">
        <v>0.01932934920845852</v>
      </c>
      <c r="N132">
        <v>0.055</v>
      </c>
      <c r="O132">
        <v>0.1025153383333801</v>
      </c>
      <c r="P132" t="s">
        <v>634</v>
      </c>
      <c r="Q132" t="s">
        <v>633</v>
      </c>
      <c r="R132">
        <v>51</v>
      </c>
      <c r="S132">
        <v>0.6442006269592477</v>
      </c>
      <c r="T132">
        <v>140</v>
      </c>
      <c r="U132">
        <v>0.9087142857142857</v>
      </c>
      <c r="V132">
        <v>3.3665</v>
      </c>
      <c r="W132">
        <v>6.38</v>
      </c>
      <c r="X132">
        <v>4.11</v>
      </c>
      <c r="Y132">
        <v>0.062735</v>
      </c>
      <c r="Z132">
        <v>0.5437392795883362</v>
      </c>
      <c r="AA132">
        <v>0.2394822006472492</v>
      </c>
      <c r="AB132">
        <v>0.5452342487883683</v>
      </c>
      <c r="AC132">
        <v>0.852988691437803</v>
      </c>
      <c r="AD132">
        <v>0.8239095315024233</v>
      </c>
    </row>
    <row r="133" spans="1:30">
      <c r="A133" s="1" t="s">
        <v>140</v>
      </c>
      <c r="B133">
        <f>HYPERLINK("https://www.suredividend.com/sure-analysis-MTB","M&amp;T Bank Corp.")</f>
        <v>0</v>
      </c>
      <c r="C133">
        <v>169.51</v>
      </c>
      <c r="D133">
        <v>22372.177454</v>
      </c>
      <c r="E133" t="s">
        <v>660</v>
      </c>
      <c r="F133" t="s">
        <v>629</v>
      </c>
      <c r="G133" t="s">
        <v>673</v>
      </c>
      <c r="H133" t="s">
        <v>703</v>
      </c>
      <c r="I133" t="s">
        <v>839</v>
      </c>
      <c r="J133" t="s">
        <v>1309</v>
      </c>
      <c r="K133">
        <v>43755</v>
      </c>
      <c r="L133">
        <v>0.023597427880361</v>
      </c>
      <c r="M133">
        <v>0.01983345947906545</v>
      </c>
      <c r="N133">
        <v>0.063</v>
      </c>
      <c r="O133">
        <v>0.1022546598656302</v>
      </c>
      <c r="P133" t="s">
        <v>634</v>
      </c>
      <c r="Q133" t="s">
        <v>494</v>
      </c>
      <c r="R133">
        <v>3</v>
      </c>
      <c r="S133">
        <v>0.2783576896311761</v>
      </c>
      <c r="T133">
        <v>187</v>
      </c>
      <c r="U133">
        <v>0.906470588235294</v>
      </c>
      <c r="V133">
        <v>13.9226</v>
      </c>
      <c r="W133">
        <v>14.37</v>
      </c>
      <c r="X133">
        <v>4</v>
      </c>
      <c r="Y133">
        <v>0.221958</v>
      </c>
      <c r="Z133">
        <v>0.3739279588336192</v>
      </c>
      <c r="AA133">
        <v>0.5048543689320388</v>
      </c>
      <c r="AB133">
        <v>0.6720516962843296</v>
      </c>
      <c r="AC133">
        <v>0.8610662358642972</v>
      </c>
      <c r="AD133">
        <v>0.8222940226171244</v>
      </c>
    </row>
    <row r="134" spans="1:30">
      <c r="A134" s="1" t="s">
        <v>141</v>
      </c>
      <c r="B134">
        <f>HYPERLINK("https://www.suredividend.com/sure-analysis-WHR","Whirlpool Corp.")</f>
        <v>0</v>
      </c>
      <c r="C134">
        <v>147.41</v>
      </c>
      <c r="D134">
        <v>9316.312</v>
      </c>
      <c r="E134" t="s">
        <v>658</v>
      </c>
      <c r="F134" t="s">
        <v>629</v>
      </c>
      <c r="G134" t="s">
        <v>673</v>
      </c>
      <c r="H134" t="s">
        <v>703</v>
      </c>
      <c r="I134" t="s">
        <v>840</v>
      </c>
      <c r="J134" t="s">
        <v>1317</v>
      </c>
      <c r="K134">
        <v>43760</v>
      </c>
      <c r="L134">
        <v>0.031883861339122</v>
      </c>
      <c r="M134">
        <v>0.02403836696991091</v>
      </c>
      <c r="N134">
        <v>0.05</v>
      </c>
      <c r="O134">
        <v>0.1014920774544477</v>
      </c>
      <c r="P134" t="s">
        <v>634</v>
      </c>
      <c r="Q134" t="s">
        <v>634</v>
      </c>
      <c r="R134">
        <v>9</v>
      </c>
      <c r="S134">
        <v>0.3112582781456954</v>
      </c>
      <c r="T134">
        <v>166</v>
      </c>
      <c r="U134">
        <v>0.888012048192771</v>
      </c>
      <c r="V134">
        <v>16.6864</v>
      </c>
      <c r="W134">
        <v>15.1</v>
      </c>
      <c r="X134">
        <v>4.7</v>
      </c>
      <c r="Y134">
        <v>0.404841</v>
      </c>
      <c r="Z134">
        <v>0.5403087478559176</v>
      </c>
      <c r="AA134">
        <v>0.7653721682847896</v>
      </c>
      <c r="AB134">
        <v>0.4588045234248789</v>
      </c>
      <c r="AC134">
        <v>0.8901453957996769</v>
      </c>
      <c r="AD134">
        <v>0.8174474959612277</v>
      </c>
    </row>
    <row r="135" spans="1:30">
      <c r="A135" s="1" t="s">
        <v>142</v>
      </c>
      <c r="B135">
        <f>HYPERLINK("https://www.suredividend.com/sure-analysis-RY","Royal Bank of Canada")</f>
        <v>0</v>
      </c>
      <c r="C135">
        <v>79.25</v>
      </c>
      <c r="D135">
        <v>113381.39</v>
      </c>
      <c r="E135" t="s">
        <v>662</v>
      </c>
      <c r="F135" t="s">
        <v>629</v>
      </c>
      <c r="G135" t="s">
        <v>675</v>
      </c>
      <c r="H135" t="s">
        <v>703</v>
      </c>
      <c r="I135" t="s">
        <v>841</v>
      </c>
      <c r="J135" t="s">
        <v>1309</v>
      </c>
      <c r="K135">
        <v>43812</v>
      </c>
      <c r="L135">
        <v>0.038651288439547</v>
      </c>
      <c r="M135">
        <v>0.001885619932906479</v>
      </c>
      <c r="N135">
        <v>0.065</v>
      </c>
      <c r="O135">
        <v>0.1007579615222067</v>
      </c>
      <c r="P135" t="s">
        <v>634</v>
      </c>
      <c r="Q135" t="s">
        <v>633</v>
      </c>
      <c r="R135">
        <v>19</v>
      </c>
      <c r="S135">
        <v>0.4585500911428398</v>
      </c>
      <c r="T135">
        <v>80</v>
      </c>
      <c r="U135">
        <v>0.990625</v>
      </c>
      <c r="V135">
        <v>6.6043</v>
      </c>
      <c r="W135">
        <v>6.68</v>
      </c>
      <c r="X135">
        <v>3.06311460883417</v>
      </c>
      <c r="Y135">
        <v>0.184073</v>
      </c>
      <c r="Z135">
        <v>0.6346483704974272</v>
      </c>
      <c r="AA135">
        <v>0.4271844660194175</v>
      </c>
      <c r="AB135">
        <v>0.6825525040387723</v>
      </c>
      <c r="AC135">
        <v>0.7205169628432957</v>
      </c>
      <c r="AD135">
        <v>0.8142164781906301</v>
      </c>
    </row>
    <row r="136" spans="1:30">
      <c r="A136" s="1" t="s">
        <v>143</v>
      </c>
      <c r="B136">
        <f>HYPERLINK("https://www.suredividend.com/sure-analysis-PRU","Prudential Financial, Inc.")</f>
        <v>0</v>
      </c>
      <c r="C136">
        <v>94.54000000000001</v>
      </c>
      <c r="D136">
        <v>38005.08</v>
      </c>
      <c r="E136" t="s">
        <v>658</v>
      </c>
      <c r="F136" t="s">
        <v>629</v>
      </c>
      <c r="G136" t="s">
        <v>673</v>
      </c>
      <c r="H136" t="s">
        <v>703</v>
      </c>
      <c r="I136" t="s">
        <v>842</v>
      </c>
      <c r="J136" t="s">
        <v>1309</v>
      </c>
      <c r="K136">
        <v>43774</v>
      </c>
      <c r="L136">
        <v>0.041252379944996</v>
      </c>
      <c r="M136">
        <v>0.02120925065694745</v>
      </c>
      <c r="N136">
        <v>0.04</v>
      </c>
      <c r="O136">
        <v>0.09882563867363947</v>
      </c>
      <c r="P136" t="s">
        <v>634</v>
      </c>
      <c r="Q136" t="s">
        <v>633</v>
      </c>
      <c r="R136">
        <v>11</v>
      </c>
      <c r="S136">
        <v>0.3145161290322581</v>
      </c>
      <c r="T136">
        <v>105</v>
      </c>
      <c r="U136">
        <v>0.9003809523809524</v>
      </c>
      <c r="V136">
        <v>9.4655</v>
      </c>
      <c r="W136">
        <v>12.4</v>
      </c>
      <c r="X136">
        <v>3.9</v>
      </c>
      <c r="Y136">
        <v>0.205099</v>
      </c>
      <c r="Z136">
        <v>0.6740994854202401</v>
      </c>
      <c r="AA136">
        <v>0.4644012944983819</v>
      </c>
      <c r="AB136">
        <v>0.3182552504038772</v>
      </c>
      <c r="AC136">
        <v>0.8707592891760905</v>
      </c>
      <c r="AD136">
        <v>0.8012924071082391</v>
      </c>
    </row>
    <row r="137" spans="1:30">
      <c r="A137" s="1" t="s">
        <v>144</v>
      </c>
      <c r="B137">
        <f>HYPERLINK("https://www.suredividend.com/sure-analysis-CMI","Cummins, Inc.")</f>
        <v>0</v>
      </c>
      <c r="C137">
        <v>181.11</v>
      </c>
      <c r="D137">
        <v>27746.77644</v>
      </c>
      <c r="E137" t="s">
        <v>660</v>
      </c>
      <c r="F137" t="s">
        <v>629</v>
      </c>
      <c r="G137" t="s">
        <v>673</v>
      </c>
      <c r="H137" t="s">
        <v>703</v>
      </c>
      <c r="I137" t="s">
        <v>843</v>
      </c>
      <c r="J137" t="s">
        <v>1316</v>
      </c>
      <c r="K137">
        <v>43767</v>
      </c>
      <c r="L137">
        <v>0.026122246148749</v>
      </c>
      <c r="M137">
        <v>0.02207269887987096</v>
      </c>
      <c r="N137">
        <v>0.05</v>
      </c>
      <c r="O137">
        <v>0.09737618937168735</v>
      </c>
      <c r="P137" t="s">
        <v>634</v>
      </c>
      <c r="Q137" t="s">
        <v>634</v>
      </c>
      <c r="R137">
        <v>8</v>
      </c>
      <c r="S137">
        <v>0.3052258064516129</v>
      </c>
      <c r="T137">
        <v>202</v>
      </c>
      <c r="U137">
        <v>0.8965841584158416</v>
      </c>
      <c r="V137">
        <v>16.1441</v>
      </c>
      <c r="W137">
        <v>15.5</v>
      </c>
      <c r="X137">
        <v>4.731</v>
      </c>
      <c r="Y137">
        <v>0.412494</v>
      </c>
      <c r="Z137">
        <v>0.4356775300171527</v>
      </c>
      <c r="AA137">
        <v>0.784789644012945</v>
      </c>
      <c r="AB137">
        <v>0.4588045234248789</v>
      </c>
      <c r="AC137">
        <v>0.8739903069466882</v>
      </c>
      <c r="AD137">
        <v>0.7948303715670435</v>
      </c>
    </row>
    <row r="138" spans="1:30">
      <c r="A138" s="1" t="s">
        <v>145</v>
      </c>
      <c r="B138">
        <f>HYPERLINK("https://www.suredividend.com/sure-analysis-LMT","Lockheed Martin Corp.")</f>
        <v>0</v>
      </c>
      <c r="C138">
        <v>386.47</v>
      </c>
      <c r="D138">
        <v>109011.97937</v>
      </c>
      <c r="E138" t="s">
        <v>657</v>
      </c>
      <c r="F138" t="s">
        <v>629</v>
      </c>
      <c r="G138" t="s">
        <v>673</v>
      </c>
      <c r="H138" t="s">
        <v>703</v>
      </c>
      <c r="I138" t="s">
        <v>844</v>
      </c>
      <c r="J138" t="s">
        <v>1308</v>
      </c>
      <c r="K138">
        <v>43773</v>
      </c>
      <c r="L138">
        <v>0.022770202085543</v>
      </c>
      <c r="M138">
        <v>-0.0224462150445347</v>
      </c>
      <c r="N138">
        <v>0.1</v>
      </c>
      <c r="O138">
        <v>0.09549346308797468</v>
      </c>
      <c r="P138" t="s">
        <v>634</v>
      </c>
      <c r="Q138" t="s">
        <v>494</v>
      </c>
      <c r="R138">
        <v>16</v>
      </c>
      <c r="S138">
        <v>0.4083526682134571</v>
      </c>
      <c r="T138">
        <v>345</v>
      </c>
      <c r="U138">
        <v>1.120202898550725</v>
      </c>
      <c r="V138">
        <v>21.1919</v>
      </c>
      <c r="W138">
        <v>21.55</v>
      </c>
      <c r="X138">
        <v>8.800000000000001</v>
      </c>
      <c r="Y138">
        <v>0.506412</v>
      </c>
      <c r="Z138">
        <v>0.3567753001715265</v>
      </c>
      <c r="AA138">
        <v>0.8737864077669903</v>
      </c>
      <c r="AB138">
        <v>0.931340872374798</v>
      </c>
      <c r="AC138">
        <v>0.5379644588045235</v>
      </c>
      <c r="AD138">
        <v>0.777059773828756</v>
      </c>
    </row>
    <row r="139" spans="1:30">
      <c r="A139" s="1" t="s">
        <v>146</v>
      </c>
      <c r="B139">
        <f>HYPERLINK("https://www.suredividend.com/sure-analysis-ORCL","Oracle Corp.")</f>
        <v>0</v>
      </c>
      <c r="C139">
        <v>53.6</v>
      </c>
      <c r="D139">
        <v>171930.04</v>
      </c>
      <c r="E139" t="s">
        <v>663</v>
      </c>
      <c r="F139" t="s">
        <v>629</v>
      </c>
      <c r="G139" t="s">
        <v>673</v>
      </c>
      <c r="H139" t="s">
        <v>703</v>
      </c>
      <c r="I139" t="s">
        <v>845</v>
      </c>
      <c r="J139" t="s">
        <v>1320</v>
      </c>
      <c r="K139">
        <v>43733</v>
      </c>
      <c r="L139">
        <v>0.016977611940298</v>
      </c>
      <c r="M139">
        <v>0.008799010229586735</v>
      </c>
      <c r="N139">
        <v>0.07000000000000001</v>
      </c>
      <c r="O139">
        <v>0.09542239376849704</v>
      </c>
      <c r="P139" t="s">
        <v>634</v>
      </c>
      <c r="Q139" t="s">
        <v>494</v>
      </c>
      <c r="R139">
        <v>11</v>
      </c>
      <c r="S139">
        <v>0.2345360824742268</v>
      </c>
      <c r="T139">
        <v>56</v>
      </c>
      <c r="U139">
        <v>0.9571428571428572</v>
      </c>
      <c r="V139">
        <v>3.2364</v>
      </c>
      <c r="W139">
        <v>3.88</v>
      </c>
      <c r="X139">
        <v>0.91</v>
      </c>
      <c r="Y139">
        <v>0.218182</v>
      </c>
      <c r="Z139">
        <v>0.2195540308747856</v>
      </c>
      <c r="AA139">
        <v>0.4935275080906149</v>
      </c>
      <c r="AB139">
        <v>0.7245557350565428</v>
      </c>
      <c r="AC139">
        <v>0.778675282714055</v>
      </c>
      <c r="AD139">
        <v>0.7754442649434572</v>
      </c>
    </row>
    <row r="140" spans="1:30">
      <c r="A140" s="1" t="s">
        <v>147</v>
      </c>
      <c r="B140">
        <f>HYPERLINK("https://www.suredividend.com/sure-analysis-FL","Foot Locker, Inc.")</f>
        <v>0</v>
      </c>
      <c r="C140">
        <v>39.93</v>
      </c>
      <c r="D140">
        <v>4175.28045</v>
      </c>
      <c r="E140" t="s">
        <v>661</v>
      </c>
      <c r="F140" t="s">
        <v>629</v>
      </c>
      <c r="G140" t="s">
        <v>673</v>
      </c>
      <c r="H140" t="s">
        <v>703</v>
      </c>
      <c r="I140" t="s">
        <v>846</v>
      </c>
      <c r="J140" t="s">
        <v>1310</v>
      </c>
      <c r="K140">
        <v>43710</v>
      </c>
      <c r="L140">
        <v>0.037190082644628</v>
      </c>
      <c r="M140">
        <v>0.01960198725209605</v>
      </c>
      <c r="N140">
        <v>0.04</v>
      </c>
      <c r="O140">
        <v>0.09459289188656572</v>
      </c>
      <c r="P140" t="s">
        <v>634</v>
      </c>
      <c r="Q140" t="s">
        <v>633</v>
      </c>
      <c r="R140">
        <v>9</v>
      </c>
      <c r="S140">
        <v>0.3061855670103093</v>
      </c>
      <c r="T140">
        <v>44</v>
      </c>
      <c r="U140">
        <v>0.9075</v>
      </c>
      <c r="V140">
        <v>4.649</v>
      </c>
      <c r="W140">
        <v>4.85</v>
      </c>
      <c r="X140">
        <v>1.485</v>
      </c>
      <c r="Y140">
        <v>-0.181091</v>
      </c>
      <c r="Z140">
        <v>0.6192109777015438</v>
      </c>
      <c r="AA140">
        <v>0.05501618122977346</v>
      </c>
      <c r="AB140">
        <v>0.3182552504038772</v>
      </c>
      <c r="AC140">
        <v>0.8594507269789983</v>
      </c>
      <c r="AD140">
        <v>0.7689822294022618</v>
      </c>
    </row>
    <row r="141" spans="1:30">
      <c r="A141" s="1" t="s">
        <v>148</v>
      </c>
      <c r="B141">
        <f>HYPERLINK("https://www.suredividend.com/sure-analysis-MGA","Magna International, Inc.")</f>
        <v>0</v>
      </c>
      <c r="C141">
        <v>55.95</v>
      </c>
      <c r="D141">
        <v>17102.74005</v>
      </c>
      <c r="E141" t="s">
        <v>662</v>
      </c>
      <c r="F141" t="s">
        <v>629</v>
      </c>
      <c r="G141" t="s">
        <v>675</v>
      </c>
      <c r="H141" t="s">
        <v>703</v>
      </c>
      <c r="I141" t="s">
        <v>847</v>
      </c>
      <c r="J141" t="s">
        <v>1316</v>
      </c>
      <c r="K141">
        <v>43786</v>
      </c>
      <c r="L141">
        <v>0.025633525471278</v>
      </c>
      <c r="M141">
        <v>0.01067234937583805</v>
      </c>
      <c r="N141">
        <v>0.06</v>
      </c>
      <c r="O141">
        <v>0.09397869847521512</v>
      </c>
      <c r="P141" t="s">
        <v>634</v>
      </c>
      <c r="Q141" t="s">
        <v>634</v>
      </c>
      <c r="R141">
        <v>9</v>
      </c>
      <c r="S141">
        <v>0.2294713200188816</v>
      </c>
      <c r="T141">
        <v>59</v>
      </c>
      <c r="U141">
        <v>0.9483050847457628</v>
      </c>
      <c r="V141">
        <v>5.4456</v>
      </c>
      <c r="W141">
        <v>6.25</v>
      </c>
      <c r="X141">
        <v>1.43419575011801</v>
      </c>
      <c r="Y141">
        <v>0.235372</v>
      </c>
      <c r="Z141">
        <v>0.41852487135506</v>
      </c>
      <c r="AA141">
        <v>0.529126213592233</v>
      </c>
      <c r="AB141">
        <v>0.6130856219709209</v>
      </c>
      <c r="AC141">
        <v>0.7948303715670435</v>
      </c>
      <c r="AD141">
        <v>0.7673667205169629</v>
      </c>
    </row>
    <row r="142" spans="1:30">
      <c r="A142" s="1" t="s">
        <v>149</v>
      </c>
      <c r="B142">
        <f>HYPERLINK("https://www.suredividend.com/sure-analysis-PBCT","People's United Financial, Inc.")</f>
        <v>0</v>
      </c>
      <c r="C142">
        <v>16.93</v>
      </c>
      <c r="D142">
        <v>7519.01932</v>
      </c>
      <c r="E142" t="s">
        <v>659</v>
      </c>
      <c r="F142" t="s">
        <v>629</v>
      </c>
      <c r="G142" t="s">
        <v>673</v>
      </c>
      <c r="H142" t="s">
        <v>704</v>
      </c>
      <c r="I142" t="s">
        <v>848</v>
      </c>
      <c r="J142" t="s">
        <v>1309</v>
      </c>
      <c r="K142">
        <v>43756</v>
      </c>
      <c r="L142">
        <v>0.04164205552274</v>
      </c>
      <c r="M142">
        <v>0.01007264320347367</v>
      </c>
      <c r="N142">
        <v>0.05</v>
      </c>
      <c r="O142">
        <v>0.09305874209090614</v>
      </c>
      <c r="P142" t="s">
        <v>634</v>
      </c>
      <c r="Q142" t="s">
        <v>633</v>
      </c>
      <c r="R142">
        <v>27</v>
      </c>
      <c r="S142">
        <v>0.5300751879699247</v>
      </c>
      <c r="T142">
        <v>17.8</v>
      </c>
      <c r="U142">
        <v>0.9511235955056179</v>
      </c>
      <c r="V142">
        <v>1.3157</v>
      </c>
      <c r="W142">
        <v>1.33</v>
      </c>
      <c r="X142">
        <v>0.705</v>
      </c>
      <c r="Y142">
        <v>0.202415</v>
      </c>
      <c r="Z142">
        <v>0.679245283018868</v>
      </c>
      <c r="AA142">
        <v>0.4563106796116505</v>
      </c>
      <c r="AB142">
        <v>0.4588045234248789</v>
      </c>
      <c r="AC142">
        <v>0.789983844911147</v>
      </c>
      <c r="AD142">
        <v>0.7609046849757674</v>
      </c>
    </row>
    <row r="143" spans="1:30">
      <c r="A143" s="1" t="s">
        <v>150</v>
      </c>
      <c r="B143">
        <f>HYPERLINK("https://www.suredividend.com/sure-analysis-HFC","HollyFrontier Corp.")</f>
        <v>0</v>
      </c>
      <c r="C143">
        <v>51.46</v>
      </c>
      <c r="D143">
        <v>8305.1294</v>
      </c>
      <c r="E143" t="s">
        <v>659</v>
      </c>
      <c r="F143" t="s">
        <v>629</v>
      </c>
      <c r="G143" t="s">
        <v>673</v>
      </c>
      <c r="H143" t="s">
        <v>703</v>
      </c>
      <c r="I143" t="s">
        <v>849</v>
      </c>
      <c r="J143" t="s">
        <v>1312</v>
      </c>
      <c r="K143">
        <v>43780</v>
      </c>
      <c r="L143">
        <v>0.025650991061018</v>
      </c>
      <c r="M143">
        <v>-0.005739824187683928</v>
      </c>
      <c r="N143">
        <v>0.078</v>
      </c>
      <c r="O143">
        <v>0.092820044481144</v>
      </c>
      <c r="P143" t="s">
        <v>634</v>
      </c>
      <c r="Q143" t="s">
        <v>494</v>
      </c>
      <c r="R143">
        <v>0</v>
      </c>
      <c r="S143">
        <v>0.2693877551020408</v>
      </c>
      <c r="T143">
        <v>50</v>
      </c>
      <c r="U143">
        <v>1.0292</v>
      </c>
      <c r="V143">
        <v>5.0577</v>
      </c>
      <c r="W143">
        <v>4.9</v>
      </c>
      <c r="X143">
        <v>1.32</v>
      </c>
      <c r="Y143">
        <v>0.042545</v>
      </c>
      <c r="Z143">
        <v>0.4202401372212693</v>
      </c>
      <c r="AA143">
        <v>0.2055016181229773</v>
      </c>
      <c r="AB143">
        <v>0.7778675282714055</v>
      </c>
      <c r="AC143">
        <v>0.6607431340872375</v>
      </c>
      <c r="AD143">
        <v>0.7576736672051696</v>
      </c>
    </row>
    <row r="144" spans="1:30">
      <c r="A144" s="1" t="s">
        <v>151</v>
      </c>
      <c r="B144">
        <f>HYPERLINK("https://www.suredividend.com/sure-analysis-FMS","Fresenius Medical Care AG &amp; Co. KGaA")</f>
        <v>0</v>
      </c>
      <c r="C144">
        <v>35.96</v>
      </c>
      <c r="D144">
        <v>21601.894652</v>
      </c>
      <c r="E144" t="s">
        <v>660</v>
      </c>
      <c r="F144" t="s">
        <v>629</v>
      </c>
      <c r="G144" t="s">
        <v>682</v>
      </c>
      <c r="H144" t="s">
        <v>703</v>
      </c>
      <c r="I144" t="s">
        <v>850</v>
      </c>
      <c r="J144" t="s">
        <v>1326</v>
      </c>
      <c r="K144">
        <v>43768</v>
      </c>
      <c r="L144">
        <v>0.01813681868743</v>
      </c>
      <c r="M144">
        <v>0.01636332370651084</v>
      </c>
      <c r="N144">
        <v>0.06</v>
      </c>
      <c r="O144">
        <v>0.09242318014456652</v>
      </c>
      <c r="P144" t="s">
        <v>634</v>
      </c>
      <c r="Q144" t="s">
        <v>405</v>
      </c>
      <c r="R144">
        <v>2</v>
      </c>
      <c r="S144">
        <v>0.2683950617283951</v>
      </c>
      <c r="T144">
        <v>39</v>
      </c>
      <c r="U144">
        <v>0.9220512820512821</v>
      </c>
      <c r="V144">
        <v>2.3747</v>
      </c>
      <c r="W144">
        <v>2.43</v>
      </c>
      <c r="X144">
        <v>0.6522</v>
      </c>
      <c r="Y144">
        <v>0.0372</v>
      </c>
      <c r="Z144">
        <v>0.2504288164665523</v>
      </c>
      <c r="AA144">
        <v>0.2006472491909385</v>
      </c>
      <c r="AB144">
        <v>0.6130856219709209</v>
      </c>
      <c r="AC144">
        <v>0.8319870759289176</v>
      </c>
      <c r="AD144">
        <v>0.752827140549273</v>
      </c>
    </row>
    <row r="145" spans="1:30">
      <c r="A145" s="1" t="s">
        <v>152</v>
      </c>
      <c r="B145">
        <f>HYPERLINK("https://www.suredividend.com/sure-analysis-PII","Polaris Inc.")</f>
        <v>0</v>
      </c>
      <c r="C145">
        <v>99.29000000000001</v>
      </c>
      <c r="D145">
        <v>6073.86717</v>
      </c>
      <c r="E145" t="s">
        <v>658</v>
      </c>
      <c r="F145" t="s">
        <v>629</v>
      </c>
      <c r="G145" t="s">
        <v>673</v>
      </c>
      <c r="H145" t="s">
        <v>703</v>
      </c>
      <c r="I145" t="s">
        <v>851</v>
      </c>
      <c r="J145" t="s">
        <v>1317</v>
      </c>
      <c r="K145">
        <v>43760</v>
      </c>
      <c r="L145">
        <v>0.024473763722429</v>
      </c>
      <c r="M145">
        <v>0.001426080876139713</v>
      </c>
      <c r="N145">
        <v>0.07000000000000001</v>
      </c>
      <c r="O145">
        <v>0.09207660843703747</v>
      </c>
      <c r="P145" t="s">
        <v>634</v>
      </c>
      <c r="Q145" t="s">
        <v>634</v>
      </c>
      <c r="R145">
        <v>24</v>
      </c>
      <c r="S145">
        <v>0.3888</v>
      </c>
      <c r="T145">
        <v>100</v>
      </c>
      <c r="U145">
        <v>0.9929000000000001</v>
      </c>
      <c r="V145">
        <v>5.1547</v>
      </c>
      <c r="W145">
        <v>6.25</v>
      </c>
      <c r="X145">
        <v>2.43</v>
      </c>
      <c r="Y145">
        <v>0.372546</v>
      </c>
      <c r="Z145">
        <v>0.3927958833619211</v>
      </c>
      <c r="AA145">
        <v>0.7119741100323624</v>
      </c>
      <c r="AB145">
        <v>0.7245557350565428</v>
      </c>
      <c r="AC145">
        <v>0.7172859450726979</v>
      </c>
      <c r="AD145">
        <v>0.7495961227786754</v>
      </c>
    </row>
    <row r="146" spans="1:30">
      <c r="A146" s="1" t="s">
        <v>153</v>
      </c>
      <c r="B146">
        <f>HYPERLINK("https://www.suredividend.com/sure-analysis-CTSH","Cognizant Technology Solutions Corp.")</f>
        <v>0</v>
      </c>
      <c r="C146">
        <v>63.22</v>
      </c>
      <c r="D146">
        <v>34617.12252</v>
      </c>
      <c r="E146" t="s">
        <v>659</v>
      </c>
      <c r="F146" t="s">
        <v>629</v>
      </c>
      <c r="G146" t="s">
        <v>673</v>
      </c>
      <c r="H146" t="s">
        <v>704</v>
      </c>
      <c r="I146" t="s">
        <v>852</v>
      </c>
      <c r="J146" t="s">
        <v>1320</v>
      </c>
      <c r="K146">
        <v>43775</v>
      </c>
      <c r="L146">
        <v>0.012654223347042</v>
      </c>
      <c r="M146">
        <v>0.002455485091989562</v>
      </c>
      <c r="N146">
        <v>0.07000000000000001</v>
      </c>
      <c r="O146">
        <v>0.085840003913777</v>
      </c>
      <c r="P146" t="s">
        <v>634</v>
      </c>
      <c r="Q146" t="s">
        <v>405</v>
      </c>
      <c r="R146">
        <v>0</v>
      </c>
      <c r="S146">
        <v>0.2015113350125945</v>
      </c>
      <c r="T146">
        <v>64</v>
      </c>
      <c r="U146">
        <v>0.9878125</v>
      </c>
      <c r="V146">
        <v>3.6941</v>
      </c>
      <c r="W146">
        <v>3.97</v>
      </c>
      <c r="X146">
        <v>0.8</v>
      </c>
      <c r="Y146">
        <v>0.052089</v>
      </c>
      <c r="Z146">
        <v>0.1183533447684391</v>
      </c>
      <c r="AA146">
        <v>0.2265372168284789</v>
      </c>
      <c r="AB146">
        <v>0.7245557350565428</v>
      </c>
      <c r="AC146">
        <v>0.7253634894991923</v>
      </c>
      <c r="AD146">
        <v>0.7172859450726979</v>
      </c>
    </row>
    <row r="147" spans="1:30">
      <c r="A147" s="1" t="s">
        <v>154</v>
      </c>
      <c r="B147">
        <f>HYPERLINK("https://www.suredividend.com/sure-analysis-SNA","Snap-On, Inc.")</f>
        <v>0</v>
      </c>
      <c r="C147">
        <v>169.68</v>
      </c>
      <c r="D147">
        <v>9306.26928</v>
      </c>
      <c r="E147" t="s">
        <v>661</v>
      </c>
      <c r="F147" t="s">
        <v>629</v>
      </c>
      <c r="G147" t="s">
        <v>673</v>
      </c>
      <c r="H147" t="s">
        <v>703</v>
      </c>
      <c r="I147" t="s">
        <v>853</v>
      </c>
      <c r="J147" t="s">
        <v>1317</v>
      </c>
      <c r="K147">
        <v>43759</v>
      </c>
      <c r="L147">
        <v>0.022395096652522</v>
      </c>
      <c r="M147">
        <v>0.002719725071437251</v>
      </c>
      <c r="N147">
        <v>0.06</v>
      </c>
      <c r="O147">
        <v>0.08547061788305421</v>
      </c>
      <c r="P147" t="s">
        <v>634</v>
      </c>
      <c r="Q147" t="s">
        <v>494</v>
      </c>
      <c r="R147">
        <v>9</v>
      </c>
      <c r="S147">
        <v>0.3102040816326531</v>
      </c>
      <c r="T147">
        <v>172</v>
      </c>
      <c r="U147">
        <v>0.9865116279069768</v>
      </c>
      <c r="V147">
        <v>12.6001</v>
      </c>
      <c r="W147">
        <v>12.25</v>
      </c>
      <c r="X147">
        <v>3.8</v>
      </c>
      <c r="Y147">
        <v>0.223889</v>
      </c>
      <c r="Z147">
        <v>0.3481989708404803</v>
      </c>
      <c r="AA147">
        <v>0.5129449838187702</v>
      </c>
      <c r="AB147">
        <v>0.6130856219709209</v>
      </c>
      <c r="AC147">
        <v>0.7302100161550888</v>
      </c>
      <c r="AD147">
        <v>0.715670436187399</v>
      </c>
    </row>
    <row r="148" spans="1:30">
      <c r="A148" s="1" t="s">
        <v>155</v>
      </c>
      <c r="B148">
        <f>HYPERLINK("https://www.suredividend.com/sure-analysis-IBM","International Business Machines Corp.")</f>
        <v>0</v>
      </c>
      <c r="C148">
        <v>135.59</v>
      </c>
      <c r="D148">
        <v>120083.52083</v>
      </c>
      <c r="E148" t="s">
        <v>657</v>
      </c>
      <c r="F148" t="s">
        <v>629</v>
      </c>
      <c r="G148" t="s">
        <v>673</v>
      </c>
      <c r="H148" t="s">
        <v>703</v>
      </c>
      <c r="I148" t="s">
        <v>854</v>
      </c>
      <c r="J148" t="s">
        <v>1320</v>
      </c>
      <c r="K148">
        <v>43759</v>
      </c>
      <c r="L148">
        <v>0.047053617523416</v>
      </c>
      <c r="M148">
        <v>0.007855546948192904</v>
      </c>
      <c r="N148">
        <v>0.03</v>
      </c>
      <c r="O148">
        <v>0.08475620423358254</v>
      </c>
      <c r="P148" t="s">
        <v>634</v>
      </c>
      <c r="Q148" t="s">
        <v>633</v>
      </c>
      <c r="R148">
        <v>24</v>
      </c>
      <c r="S148">
        <v>0.4984375</v>
      </c>
      <c r="T148">
        <v>141</v>
      </c>
      <c r="U148">
        <v>0.9616312056737589</v>
      </c>
      <c r="V148">
        <v>8.658799999999999</v>
      </c>
      <c r="W148">
        <v>12.8</v>
      </c>
      <c r="X148">
        <v>6.38</v>
      </c>
      <c r="Y148">
        <v>0.222192</v>
      </c>
      <c r="Z148">
        <v>0.7409948542024014</v>
      </c>
      <c r="AA148">
        <v>0.5064724919093851</v>
      </c>
      <c r="AB148">
        <v>0.2003231017770598</v>
      </c>
      <c r="AC148">
        <v>0.7738287560581583</v>
      </c>
      <c r="AD148">
        <v>0.7108239095315024</v>
      </c>
    </row>
    <row r="149" spans="1:30">
      <c r="A149" s="1" t="s">
        <v>156</v>
      </c>
      <c r="B149">
        <f>HYPERLINK("https://www.suredividend.com/sure-analysis-CMCSA","Comcast Corp.")</f>
        <v>0</v>
      </c>
      <c r="C149">
        <v>44.09</v>
      </c>
      <c r="D149">
        <v>200576.625394</v>
      </c>
      <c r="E149" t="s">
        <v>662</v>
      </c>
      <c r="F149" t="s">
        <v>629</v>
      </c>
      <c r="G149" t="s">
        <v>673</v>
      </c>
      <c r="H149" t="s">
        <v>704</v>
      </c>
      <c r="I149" t="s">
        <v>855</v>
      </c>
      <c r="J149" t="s">
        <v>1324</v>
      </c>
      <c r="K149">
        <v>43763</v>
      </c>
      <c r="L149">
        <v>0.018598321614878</v>
      </c>
      <c r="M149">
        <v>-0.01442710395278524</v>
      </c>
      <c r="N149">
        <v>0.08</v>
      </c>
      <c r="O149">
        <v>0.08362115180966634</v>
      </c>
      <c r="P149" t="s">
        <v>634</v>
      </c>
      <c r="Q149" t="s">
        <v>494</v>
      </c>
      <c r="R149">
        <v>12</v>
      </c>
      <c r="S149">
        <v>0.2928571428571429</v>
      </c>
      <c r="T149">
        <v>41</v>
      </c>
      <c r="U149">
        <v>1.075365853658537</v>
      </c>
      <c r="V149">
        <v>2.7326</v>
      </c>
      <c r="W149">
        <v>2.8</v>
      </c>
      <c r="X149">
        <v>0.8200000000000001</v>
      </c>
      <c r="Y149">
        <v>0.30637</v>
      </c>
      <c r="Z149">
        <v>0.2641509433962264</v>
      </c>
      <c r="AA149">
        <v>0.6375404530744336</v>
      </c>
      <c r="AB149">
        <v>0.8182552504038771</v>
      </c>
      <c r="AC149">
        <v>0.6025848142164782</v>
      </c>
      <c r="AD149">
        <v>0.704361873990307</v>
      </c>
    </row>
    <row r="150" spans="1:30">
      <c r="A150" s="1" t="s">
        <v>157</v>
      </c>
      <c r="B150">
        <f>HYPERLINK("https://www.suredividend.com/sure-analysis-HPQ","HP, Inc.")</f>
        <v>0</v>
      </c>
      <c r="C150">
        <v>20.56</v>
      </c>
      <c r="D150">
        <v>29877.5864</v>
      </c>
      <c r="E150" t="s">
        <v>663</v>
      </c>
      <c r="F150" t="s">
        <v>629</v>
      </c>
      <c r="G150" t="s">
        <v>673</v>
      </c>
      <c r="H150" t="s">
        <v>703</v>
      </c>
      <c r="I150" t="s">
        <v>856</v>
      </c>
      <c r="J150" t="s">
        <v>1308</v>
      </c>
      <c r="K150">
        <v>43734</v>
      </c>
      <c r="L150">
        <v>0.031167315175097</v>
      </c>
      <c r="M150">
        <v>0.004243979710055301</v>
      </c>
      <c r="N150">
        <v>0.05</v>
      </c>
      <c r="O150">
        <v>0.0828359832448291</v>
      </c>
      <c r="P150" t="s">
        <v>634</v>
      </c>
      <c r="Q150" t="s">
        <v>634</v>
      </c>
      <c r="R150">
        <v>3</v>
      </c>
      <c r="S150">
        <v>0.2912727272727272</v>
      </c>
      <c r="T150">
        <v>21</v>
      </c>
      <c r="U150">
        <v>0.9790476190476189</v>
      </c>
      <c r="V150">
        <v>2.0829</v>
      </c>
      <c r="W150">
        <v>2.2</v>
      </c>
      <c r="X150">
        <v>0.6408</v>
      </c>
      <c r="Y150">
        <v>0.04631</v>
      </c>
      <c r="Z150">
        <v>0.5300171526586621</v>
      </c>
      <c r="AA150">
        <v>0.2168284789644013</v>
      </c>
      <c r="AB150">
        <v>0.4588045234248789</v>
      </c>
      <c r="AC150">
        <v>0.7479806138933764</v>
      </c>
      <c r="AD150">
        <v>0.6962843295638126</v>
      </c>
    </row>
    <row r="151" spans="1:30">
      <c r="A151" s="1" t="s">
        <v>158</v>
      </c>
      <c r="B151">
        <f>HYPERLINK("https://www.suredividend.com/sure-analysis-TTC","The Toro Co.")</f>
        <v>0</v>
      </c>
      <c r="C151">
        <v>79.13</v>
      </c>
      <c r="D151">
        <v>8435.41626</v>
      </c>
      <c r="E151" t="s">
        <v>665</v>
      </c>
      <c r="F151" t="s">
        <v>629</v>
      </c>
      <c r="G151" t="s">
        <v>673</v>
      </c>
      <c r="H151" t="s">
        <v>703</v>
      </c>
      <c r="I151" t="s">
        <v>857</v>
      </c>
      <c r="J151" t="s">
        <v>1316</v>
      </c>
      <c r="K151">
        <v>43703</v>
      </c>
      <c r="L151">
        <v>0.011373688866422</v>
      </c>
      <c r="M151">
        <v>-0.04456779351517515</v>
      </c>
      <c r="N151">
        <v>0.12</v>
      </c>
      <c r="O151">
        <v>0.08149154082777321</v>
      </c>
      <c r="P151" t="s">
        <v>634</v>
      </c>
      <c r="Q151" t="s">
        <v>405</v>
      </c>
      <c r="R151">
        <v>10</v>
      </c>
      <c r="S151">
        <v>0.3040540540540541</v>
      </c>
      <c r="T151">
        <v>63</v>
      </c>
      <c r="U151">
        <v>1.256031746031746</v>
      </c>
      <c r="V151">
        <v>2.5671</v>
      </c>
      <c r="W151">
        <v>2.96</v>
      </c>
      <c r="X151">
        <v>0.9</v>
      </c>
      <c r="Y151">
        <v>0.457274</v>
      </c>
      <c r="Z151">
        <v>0.08747855917667238</v>
      </c>
      <c r="AA151">
        <v>0.8300970873786407</v>
      </c>
      <c r="AB151">
        <v>0.9571890145395799</v>
      </c>
      <c r="AC151">
        <v>0.3279483037156705</v>
      </c>
      <c r="AD151">
        <v>0.6785137318255251</v>
      </c>
    </row>
    <row r="152" spans="1:30">
      <c r="A152" s="1" t="s">
        <v>159</v>
      </c>
      <c r="B152">
        <f>HYPERLINK("https://www.suredividend.com/sure-analysis-CVS","CVS Health Corp.")</f>
        <v>0</v>
      </c>
      <c r="C152">
        <v>74.58</v>
      </c>
      <c r="D152">
        <v>97025.5968</v>
      </c>
      <c r="E152" t="s">
        <v>660</v>
      </c>
      <c r="F152" t="s">
        <v>629</v>
      </c>
      <c r="G152" t="s">
        <v>673</v>
      </c>
      <c r="H152" t="s">
        <v>703</v>
      </c>
      <c r="I152" t="s">
        <v>858</v>
      </c>
      <c r="J152" t="s">
        <v>1310</v>
      </c>
      <c r="K152">
        <v>43775</v>
      </c>
      <c r="L152">
        <v>0.026816840976133</v>
      </c>
      <c r="M152">
        <v>0.006407047296959067</v>
      </c>
      <c r="N152">
        <v>0.05</v>
      </c>
      <c r="O152">
        <v>0.0805666903241069</v>
      </c>
      <c r="P152" t="s">
        <v>634</v>
      </c>
      <c r="Q152" t="s">
        <v>634</v>
      </c>
      <c r="R152">
        <v>10</v>
      </c>
      <c r="S152">
        <v>0.2853067047075606</v>
      </c>
      <c r="T152">
        <v>77</v>
      </c>
      <c r="U152">
        <v>0.9685714285714285</v>
      </c>
      <c r="V152">
        <v>3.3851</v>
      </c>
      <c r="W152">
        <v>7.01</v>
      </c>
      <c r="X152">
        <v>2</v>
      </c>
      <c r="Y152">
        <v>0.170801</v>
      </c>
      <c r="Z152">
        <v>0.4476843910806175</v>
      </c>
      <c r="AA152">
        <v>0.3980582524271845</v>
      </c>
      <c r="AB152">
        <v>0.4588045234248789</v>
      </c>
      <c r="AC152">
        <v>0.7641357027463651</v>
      </c>
      <c r="AD152">
        <v>0.6752827140549273</v>
      </c>
    </row>
    <row r="153" spans="1:30">
      <c r="A153" s="1" t="s">
        <v>160</v>
      </c>
      <c r="B153">
        <f>HYPERLINK("https://www.suredividend.com/sure-analysis-UNH","UnitedHealth Group, Inc.")</f>
        <v>0</v>
      </c>
      <c r="C153">
        <v>292.59</v>
      </c>
      <c r="D153">
        <v>277204.15485</v>
      </c>
      <c r="E153" t="s">
        <v>661</v>
      </c>
      <c r="F153" t="s">
        <v>629</v>
      </c>
      <c r="G153" t="s">
        <v>673</v>
      </c>
      <c r="H153" t="s">
        <v>703</v>
      </c>
      <c r="I153" t="s">
        <v>859</v>
      </c>
      <c r="J153" t="s">
        <v>1326</v>
      </c>
      <c r="K153">
        <v>43755</v>
      </c>
      <c r="L153">
        <v>0.013534297139341</v>
      </c>
      <c r="M153">
        <v>-0.02259128812109257</v>
      </c>
      <c r="N153">
        <v>0.09</v>
      </c>
      <c r="O153">
        <v>0.08039904738028536</v>
      </c>
      <c r="P153" t="s">
        <v>634</v>
      </c>
      <c r="Q153" t="s">
        <v>405</v>
      </c>
      <c r="R153">
        <v>9</v>
      </c>
      <c r="S153">
        <v>0.2657718120805369</v>
      </c>
      <c r="T153">
        <v>261</v>
      </c>
      <c r="U153">
        <v>1.12103448275862</v>
      </c>
      <c r="V153">
        <v>13.9848</v>
      </c>
      <c r="W153">
        <v>14.9</v>
      </c>
      <c r="X153">
        <v>3.96</v>
      </c>
      <c r="Y153">
        <v>0.227616</v>
      </c>
      <c r="Z153">
        <v>0.137221269296741</v>
      </c>
      <c r="AA153">
        <v>0.5161812297734628</v>
      </c>
      <c r="AB153">
        <v>0.8877221324717286</v>
      </c>
      <c r="AC153">
        <v>0.5363489499192245</v>
      </c>
      <c r="AD153">
        <v>0.6736672051696284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47.42</v>
      </c>
      <c r="D154">
        <v>6499.33778</v>
      </c>
      <c r="E154" t="s">
        <v>663</v>
      </c>
      <c r="F154" t="s">
        <v>629</v>
      </c>
      <c r="G154" t="s">
        <v>673</v>
      </c>
      <c r="H154" t="s">
        <v>703</v>
      </c>
      <c r="I154" t="s">
        <v>860</v>
      </c>
      <c r="J154" t="s">
        <v>1316</v>
      </c>
      <c r="K154">
        <v>43767</v>
      </c>
      <c r="L154">
        <v>0.018557570645297</v>
      </c>
      <c r="M154">
        <v>-0.02867523562614027</v>
      </c>
      <c r="N154">
        <v>0.09</v>
      </c>
      <c r="O154">
        <v>0.07904720665788156</v>
      </c>
      <c r="P154" t="s">
        <v>634</v>
      </c>
      <c r="Q154" t="s">
        <v>494</v>
      </c>
      <c r="R154">
        <v>25</v>
      </c>
      <c r="S154">
        <v>0.3876651982378855</v>
      </c>
      <c r="T154">
        <v>41</v>
      </c>
      <c r="U154">
        <v>1.156585365853659</v>
      </c>
      <c r="V154">
        <v>2.4266</v>
      </c>
      <c r="W154">
        <v>2.27</v>
      </c>
      <c r="X154">
        <v>0.88</v>
      </c>
      <c r="Y154">
        <v>0.129317</v>
      </c>
      <c r="Z154">
        <v>0.2607204116638079</v>
      </c>
      <c r="AA154">
        <v>0.3171521035598706</v>
      </c>
      <c r="AB154">
        <v>0.8877221324717286</v>
      </c>
      <c r="AC154">
        <v>0.4765751211631664</v>
      </c>
      <c r="AD154">
        <v>0.6510500807754442</v>
      </c>
    </row>
    <row r="155" spans="1:30">
      <c r="A155" s="1" t="s">
        <v>162</v>
      </c>
      <c r="B155">
        <f>HYPERLINK("https://www.suredividend.com/sure-analysis-ALK","Alaska Air Group, Inc.")</f>
        <v>0</v>
      </c>
      <c r="C155">
        <v>69.34</v>
      </c>
      <c r="D155">
        <v>8534.159180000001</v>
      </c>
      <c r="E155" t="s">
        <v>661</v>
      </c>
      <c r="F155" t="s">
        <v>629</v>
      </c>
      <c r="G155" t="s">
        <v>673</v>
      </c>
      <c r="H155" t="s">
        <v>703</v>
      </c>
      <c r="I155" t="s">
        <v>861</v>
      </c>
      <c r="J155" t="s">
        <v>1313</v>
      </c>
      <c r="K155">
        <v>43766</v>
      </c>
      <c r="L155">
        <v>0.019757715604268</v>
      </c>
      <c r="M155">
        <v>-0.0009826040600826591</v>
      </c>
      <c r="N155">
        <v>0.06</v>
      </c>
      <c r="O155">
        <v>0.07881258400033553</v>
      </c>
      <c r="P155" t="s">
        <v>634</v>
      </c>
      <c r="Q155" t="s">
        <v>494</v>
      </c>
      <c r="R155">
        <v>7</v>
      </c>
      <c r="S155">
        <v>0.2192</v>
      </c>
      <c r="T155">
        <v>69</v>
      </c>
      <c r="U155">
        <v>1.004927536231884</v>
      </c>
      <c r="V155">
        <v>4.9538</v>
      </c>
      <c r="W155">
        <v>6.25</v>
      </c>
      <c r="X155">
        <v>1.37</v>
      </c>
      <c r="Y155">
        <v>0.16852</v>
      </c>
      <c r="Z155">
        <v>0.2984562607204116</v>
      </c>
      <c r="AA155">
        <v>0.3932038834951457</v>
      </c>
      <c r="AB155">
        <v>0.6130856219709209</v>
      </c>
      <c r="AC155">
        <v>0.704361873990307</v>
      </c>
      <c r="AD155">
        <v>0.6494345718901454</v>
      </c>
    </row>
    <row r="156" spans="1:30">
      <c r="A156" s="1" t="s">
        <v>163</v>
      </c>
      <c r="B156">
        <f>HYPERLINK("https://www.suredividend.com/sure-analysis-TM","Toyota Motor Corp.")</f>
        <v>0</v>
      </c>
      <c r="C156">
        <v>141.97</v>
      </c>
      <c r="D156">
        <v>197983.203623</v>
      </c>
      <c r="E156" t="s">
        <v>663</v>
      </c>
      <c r="F156" t="s">
        <v>629</v>
      </c>
      <c r="G156" t="s">
        <v>679</v>
      </c>
      <c r="H156" t="s">
        <v>703</v>
      </c>
      <c r="I156" t="s">
        <v>862</v>
      </c>
      <c r="J156" t="s">
        <v>1317</v>
      </c>
      <c r="K156">
        <v>43712</v>
      </c>
      <c r="L156">
        <v>0.028299640769176</v>
      </c>
      <c r="M156">
        <v>-0.005656358725641852</v>
      </c>
      <c r="N156">
        <v>0.055</v>
      </c>
      <c r="O156">
        <v>0.07713138494535188</v>
      </c>
      <c r="P156" t="s">
        <v>634</v>
      </c>
      <c r="Q156" t="s">
        <v>634</v>
      </c>
      <c r="R156">
        <v>9</v>
      </c>
      <c r="S156">
        <v>0.2480061728395062</v>
      </c>
      <c r="T156">
        <v>138</v>
      </c>
      <c r="U156">
        <v>1.028768115942029</v>
      </c>
      <c r="V156">
        <v>12.279</v>
      </c>
      <c r="W156">
        <v>16.2</v>
      </c>
      <c r="X156">
        <v>4.0177</v>
      </c>
      <c r="Y156">
        <v>0.1754</v>
      </c>
      <c r="Z156">
        <v>0.4751286449399656</v>
      </c>
      <c r="AA156">
        <v>0.4077669902912621</v>
      </c>
      <c r="AB156">
        <v>0.5452342487883683</v>
      </c>
      <c r="AC156">
        <v>0.6623586429725364</v>
      </c>
      <c r="AD156">
        <v>0.6397415185783522</v>
      </c>
    </row>
    <row r="157" spans="1:30">
      <c r="A157" s="1" t="s">
        <v>164</v>
      </c>
      <c r="B157">
        <f>HYPERLINK("https://www.suredividend.com/sure-analysis-UGI","UGI Corp.")</f>
        <v>0</v>
      </c>
      <c r="C157">
        <v>44.94</v>
      </c>
      <c r="D157">
        <v>9392.95434</v>
      </c>
      <c r="E157" t="s">
        <v>667</v>
      </c>
      <c r="F157" t="s">
        <v>629</v>
      </c>
      <c r="G157" t="s">
        <v>673</v>
      </c>
      <c r="H157" t="s">
        <v>703</v>
      </c>
      <c r="I157" t="s">
        <v>863</v>
      </c>
      <c r="J157" t="s">
        <v>1321</v>
      </c>
      <c r="K157">
        <v>43699</v>
      </c>
      <c r="L157">
        <v>0.025478415665331</v>
      </c>
      <c r="M157">
        <v>-0.02795514077977523</v>
      </c>
      <c r="N157">
        <v>0.08</v>
      </c>
      <c r="O157">
        <v>0.07534894932635172</v>
      </c>
      <c r="P157" t="s">
        <v>634</v>
      </c>
      <c r="Q157" t="s">
        <v>634</v>
      </c>
      <c r="R157">
        <v>32</v>
      </c>
      <c r="S157">
        <v>0.458</v>
      </c>
      <c r="T157">
        <v>39</v>
      </c>
      <c r="U157">
        <v>1.152307692307692</v>
      </c>
      <c r="V157">
        <v>1.4923</v>
      </c>
      <c r="W157">
        <v>2.5</v>
      </c>
      <c r="X157">
        <v>1.145</v>
      </c>
      <c r="Y157">
        <v>-0.195056</v>
      </c>
      <c r="Z157">
        <v>0.4150943396226415</v>
      </c>
      <c r="AA157">
        <v>0.0517799352750809</v>
      </c>
      <c r="AB157">
        <v>0.8182552504038771</v>
      </c>
      <c r="AC157">
        <v>0.4830371567043619</v>
      </c>
      <c r="AD157">
        <v>0.617124394184168</v>
      </c>
    </row>
    <row r="158" spans="1:30">
      <c r="A158" s="1" t="s">
        <v>165</v>
      </c>
      <c r="B158">
        <f>HYPERLINK("https://www.suredividend.com/sure-analysis-INTC","Intel Corp.")</f>
        <v>0</v>
      </c>
      <c r="C158">
        <v>58.95</v>
      </c>
      <c r="D158">
        <v>256432.5</v>
      </c>
      <c r="E158" t="s">
        <v>660</v>
      </c>
      <c r="F158" t="s">
        <v>629</v>
      </c>
      <c r="G158" t="s">
        <v>673</v>
      </c>
      <c r="H158" t="s">
        <v>704</v>
      </c>
      <c r="I158" t="s">
        <v>864</v>
      </c>
      <c r="J158" t="s">
        <v>1308</v>
      </c>
      <c r="K158">
        <v>43763</v>
      </c>
      <c r="L158">
        <v>0.021119592875318</v>
      </c>
      <c r="M158">
        <v>0.003537228326305764</v>
      </c>
      <c r="N158">
        <v>0.05</v>
      </c>
      <c r="O158">
        <v>0.07425550488774069</v>
      </c>
      <c r="P158" t="s">
        <v>634</v>
      </c>
      <c r="Q158" t="s">
        <v>494</v>
      </c>
      <c r="R158">
        <v>5</v>
      </c>
      <c r="S158">
        <v>0.2706521739130435</v>
      </c>
      <c r="T158">
        <v>60</v>
      </c>
      <c r="U158">
        <v>0.9825</v>
      </c>
      <c r="V158">
        <v>4.3241</v>
      </c>
      <c r="W158">
        <v>4.6</v>
      </c>
      <c r="X158">
        <v>1.245</v>
      </c>
      <c r="Y158">
        <v>0.314674</v>
      </c>
      <c r="Z158">
        <v>0.3259005145797599</v>
      </c>
      <c r="AA158">
        <v>0.6472491909385113</v>
      </c>
      <c r="AB158">
        <v>0.4588045234248789</v>
      </c>
      <c r="AC158">
        <v>0.7415185783521809</v>
      </c>
      <c r="AD158">
        <v>0.5993537964458805</v>
      </c>
    </row>
    <row r="159" spans="1:30">
      <c r="A159" s="1" t="s">
        <v>166</v>
      </c>
      <c r="B159">
        <f>HYPERLINK("https://www.suredividend.com/sure-analysis-FTS","Fortis, Inc.")</f>
        <v>0</v>
      </c>
      <c r="C159">
        <v>41.34</v>
      </c>
      <c r="D159">
        <v>18921.23532</v>
      </c>
      <c r="E159" t="s">
        <v>662</v>
      </c>
      <c r="F159" t="s">
        <v>629</v>
      </c>
      <c r="G159" t="s">
        <v>675</v>
      </c>
      <c r="H159" t="s">
        <v>703</v>
      </c>
      <c r="I159" t="s">
        <v>865</v>
      </c>
      <c r="J159" t="s">
        <v>1321</v>
      </c>
      <c r="K159">
        <v>43776</v>
      </c>
      <c r="L159">
        <v>0.032809464745204</v>
      </c>
      <c r="M159">
        <v>-0.01670773038848639</v>
      </c>
      <c r="N159">
        <v>0.06</v>
      </c>
      <c r="O159">
        <v>0.07394114574715838</v>
      </c>
      <c r="P159" t="s">
        <v>634</v>
      </c>
      <c r="Q159" t="s">
        <v>634</v>
      </c>
      <c r="R159">
        <v>45</v>
      </c>
      <c r="S159">
        <v>0.6884991231303351</v>
      </c>
      <c r="T159">
        <v>38</v>
      </c>
      <c r="U159">
        <v>1.087894736842105</v>
      </c>
      <c r="V159">
        <v>2.7304</v>
      </c>
      <c r="W159">
        <v>1.97</v>
      </c>
      <c r="X159">
        <v>1.35634327256676</v>
      </c>
      <c r="Y159">
        <v>0.240696</v>
      </c>
      <c r="Z159">
        <v>0.5574614065180102</v>
      </c>
      <c r="AA159">
        <v>0.5420711974110032</v>
      </c>
      <c r="AB159">
        <v>0.6130856219709209</v>
      </c>
      <c r="AC159">
        <v>0.5815831987075929</v>
      </c>
      <c r="AD159">
        <v>0.5945072697899838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462.9</v>
      </c>
      <c r="D160">
        <v>13431.5064</v>
      </c>
      <c r="E160" t="s">
        <v>659</v>
      </c>
      <c r="F160" t="s">
        <v>629</v>
      </c>
      <c r="G160" t="s">
        <v>675</v>
      </c>
      <c r="H160" t="s">
        <v>705</v>
      </c>
      <c r="I160" t="s">
        <v>866</v>
      </c>
      <c r="J160" t="s">
        <v>1309</v>
      </c>
      <c r="K160">
        <v>43711</v>
      </c>
      <c r="L160">
        <v>0.021602937999567</v>
      </c>
      <c r="M160">
        <v>0.03583451823759431</v>
      </c>
      <c r="N160">
        <v>0.018</v>
      </c>
      <c r="O160">
        <v>0.07140041504840267</v>
      </c>
      <c r="P160" t="s">
        <v>634</v>
      </c>
      <c r="Q160" t="s">
        <v>494</v>
      </c>
      <c r="R160">
        <v>0</v>
      </c>
      <c r="S160">
        <v>0.2249718785151856</v>
      </c>
      <c r="T160">
        <v>552</v>
      </c>
      <c r="U160">
        <v>0.8385869565217391</v>
      </c>
      <c r="V160">
        <v>30.2271</v>
      </c>
      <c r="W160">
        <v>44.45</v>
      </c>
      <c r="X160">
        <v>10</v>
      </c>
      <c r="Y160">
        <v>0.102143</v>
      </c>
      <c r="Z160">
        <v>0.3327615780445969</v>
      </c>
      <c r="AA160">
        <v>0.2864077669902912</v>
      </c>
      <c r="AB160">
        <v>0.09127625201938611</v>
      </c>
      <c r="AC160">
        <v>0.9273021001615508</v>
      </c>
      <c r="AD160">
        <v>0.5767366720516963</v>
      </c>
    </row>
    <row r="161" spans="1:30">
      <c r="A161" s="1" t="s">
        <v>168</v>
      </c>
      <c r="B161">
        <f>HYPERLINK("https://www.suredividend.com/sure-analysis-BK","The Bank of New York Mellon Corp.")</f>
        <v>0</v>
      </c>
      <c r="C161">
        <v>50.63</v>
      </c>
      <c r="D161">
        <v>46690.93537</v>
      </c>
      <c r="E161" t="s">
        <v>661</v>
      </c>
      <c r="F161" t="s">
        <v>629</v>
      </c>
      <c r="G161" t="s">
        <v>673</v>
      </c>
      <c r="H161" t="s">
        <v>703</v>
      </c>
      <c r="I161" t="s">
        <v>867</v>
      </c>
      <c r="J161" t="s">
        <v>1309</v>
      </c>
      <c r="K161">
        <v>43759</v>
      </c>
      <c r="L161">
        <v>0.022713806043847</v>
      </c>
      <c r="M161">
        <v>-0.01476918651978554</v>
      </c>
      <c r="N161">
        <v>0.06</v>
      </c>
      <c r="O161">
        <v>0.06904034130881187</v>
      </c>
      <c r="P161" t="s">
        <v>634</v>
      </c>
      <c r="Q161" t="s">
        <v>494</v>
      </c>
      <c r="R161">
        <v>8</v>
      </c>
      <c r="S161">
        <v>0.2948717948717949</v>
      </c>
      <c r="T161">
        <v>47</v>
      </c>
      <c r="U161">
        <v>1.077234042553191</v>
      </c>
      <c r="V161">
        <v>3.8654</v>
      </c>
      <c r="W161">
        <v>3.9</v>
      </c>
      <c r="X161">
        <v>1.15</v>
      </c>
      <c r="Y161">
        <v>0.134185</v>
      </c>
      <c r="Z161">
        <v>0.3550600343053174</v>
      </c>
      <c r="AA161">
        <v>0.3317152103559871</v>
      </c>
      <c r="AB161">
        <v>0.6130856219709209</v>
      </c>
      <c r="AC161">
        <v>0.5993537964458805</v>
      </c>
      <c r="AD161">
        <v>0.5541195476575121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15.56</v>
      </c>
      <c r="D162">
        <v>57900.527927</v>
      </c>
      <c r="E162" t="s">
        <v>657</v>
      </c>
      <c r="F162" t="s">
        <v>629</v>
      </c>
      <c r="G162" t="s">
        <v>683</v>
      </c>
      <c r="H162" t="s">
        <v>703</v>
      </c>
      <c r="I162" t="s">
        <v>868</v>
      </c>
      <c r="J162" t="s">
        <v>1312</v>
      </c>
      <c r="K162">
        <v>43712</v>
      </c>
      <c r="L162">
        <v>0.013846850899742</v>
      </c>
      <c r="M162">
        <v>-0.035312276165543</v>
      </c>
      <c r="N162">
        <v>0.1</v>
      </c>
      <c r="O162">
        <v>0.06845257142442196</v>
      </c>
      <c r="P162" t="s">
        <v>634</v>
      </c>
      <c r="Q162" t="s">
        <v>405</v>
      </c>
      <c r="R162">
        <v>0</v>
      </c>
      <c r="S162">
        <v>0.1780636363636363</v>
      </c>
      <c r="T162">
        <v>13</v>
      </c>
      <c r="U162">
        <v>1.196923076923077</v>
      </c>
      <c r="V162">
        <v>1.3376</v>
      </c>
      <c r="W162">
        <v>1.21</v>
      </c>
      <c r="X162">
        <v>0.215457</v>
      </c>
      <c r="Y162">
        <v>0.1416</v>
      </c>
      <c r="Z162">
        <v>0.1475128644939966</v>
      </c>
      <c r="AA162">
        <v>0.343042071197411</v>
      </c>
      <c r="AB162">
        <v>0.931340872374798</v>
      </c>
      <c r="AC162">
        <v>0.4022617124394184</v>
      </c>
      <c r="AD162">
        <v>0.5476575121163166</v>
      </c>
    </row>
    <row r="163" spans="1:30">
      <c r="A163" s="1" t="s">
        <v>170</v>
      </c>
      <c r="B163">
        <f>HYPERLINK("https://www.suredividend.com/sure-analysis-HA","Hawaiian Holdings, Inc.")</f>
        <v>0</v>
      </c>
      <c r="C163">
        <v>30.29</v>
      </c>
      <c r="D163">
        <v>1411.27168</v>
      </c>
      <c r="E163" t="s">
        <v>661</v>
      </c>
      <c r="F163" t="s">
        <v>629</v>
      </c>
      <c r="G163" t="s">
        <v>673</v>
      </c>
      <c r="H163" t="s">
        <v>704</v>
      </c>
      <c r="I163" t="s">
        <v>869</v>
      </c>
      <c r="J163" t="s">
        <v>1313</v>
      </c>
      <c r="K163">
        <v>43766</v>
      </c>
      <c r="L163">
        <v>0.015846814130075</v>
      </c>
      <c r="M163">
        <v>0.01728568513111228</v>
      </c>
      <c r="N163">
        <v>0.035</v>
      </c>
      <c r="O163">
        <v>0.06783515762565173</v>
      </c>
      <c r="P163" t="s">
        <v>634</v>
      </c>
      <c r="Q163" t="s">
        <v>494</v>
      </c>
      <c r="R163">
        <v>0</v>
      </c>
      <c r="S163">
        <v>0.1090909090909091</v>
      </c>
      <c r="T163">
        <v>33</v>
      </c>
      <c r="U163">
        <v>0.9178787878787878</v>
      </c>
      <c r="V163">
        <v>4.3056</v>
      </c>
      <c r="W163">
        <v>4.4</v>
      </c>
      <c r="X163">
        <v>0.48</v>
      </c>
      <c r="Y163">
        <v>0.176311</v>
      </c>
      <c r="Z163">
        <v>0.1903945111492281</v>
      </c>
      <c r="AA163">
        <v>0.4110032362459547</v>
      </c>
      <c r="AB163">
        <v>0.2520193861066236</v>
      </c>
      <c r="AC163">
        <v>0.838449111470113</v>
      </c>
      <c r="AD163">
        <v>0.5379644588045235</v>
      </c>
    </row>
    <row r="164" spans="1:30">
      <c r="A164" s="1" t="s">
        <v>171</v>
      </c>
      <c r="B164">
        <f>HYPERLINK("https://www.suredividend.com/sure-analysis-ICE","Intercontinental Exchange, Inc.")</f>
        <v>0</v>
      </c>
      <c r="C164">
        <v>93.03</v>
      </c>
      <c r="D164">
        <v>51803.7555</v>
      </c>
      <c r="E164" t="s">
        <v>657</v>
      </c>
      <c r="F164" t="s">
        <v>629</v>
      </c>
      <c r="G164" t="s">
        <v>673</v>
      </c>
      <c r="H164" t="s">
        <v>703</v>
      </c>
      <c r="I164" t="s">
        <v>870</v>
      </c>
      <c r="J164" t="s">
        <v>1309</v>
      </c>
      <c r="K164">
        <v>43724</v>
      </c>
      <c r="L164">
        <v>0.011447920025798</v>
      </c>
      <c r="M164">
        <v>-0.04217173545589659</v>
      </c>
      <c r="N164">
        <v>0.1</v>
      </c>
      <c r="O164">
        <v>0.06575967697614726</v>
      </c>
      <c r="P164" t="s">
        <v>634</v>
      </c>
      <c r="Q164" t="s">
        <v>405</v>
      </c>
      <c r="R164">
        <v>7</v>
      </c>
      <c r="S164">
        <v>0.269620253164557</v>
      </c>
      <c r="T164">
        <v>75</v>
      </c>
      <c r="U164">
        <v>1.2404</v>
      </c>
      <c r="V164">
        <v>3.7063</v>
      </c>
      <c r="W164">
        <v>3.95</v>
      </c>
      <c r="X164">
        <v>1.065</v>
      </c>
      <c r="Y164">
        <v>0.277534</v>
      </c>
      <c r="Z164">
        <v>0.09090909090909091</v>
      </c>
      <c r="AA164">
        <v>0.5970873786407767</v>
      </c>
      <c r="AB164">
        <v>0.931340872374798</v>
      </c>
      <c r="AC164">
        <v>0.358642972536349</v>
      </c>
      <c r="AD164">
        <v>0.529886914378029</v>
      </c>
    </row>
    <row r="165" spans="1:30">
      <c r="A165" s="1" t="s">
        <v>172</v>
      </c>
      <c r="B165">
        <f>HYPERLINK("https://www.suredividend.com/sure-analysis-DAL","Delta Air Lines, Inc.")</f>
        <v>0</v>
      </c>
      <c r="C165">
        <v>58.97</v>
      </c>
      <c r="D165">
        <v>38138.43471</v>
      </c>
      <c r="E165" t="s">
        <v>659</v>
      </c>
      <c r="F165" t="s">
        <v>629</v>
      </c>
      <c r="G165" t="s">
        <v>673</v>
      </c>
      <c r="H165" t="s">
        <v>703</v>
      </c>
      <c r="I165" t="s">
        <v>871</v>
      </c>
      <c r="J165" t="s">
        <v>1313</v>
      </c>
      <c r="K165">
        <v>43748</v>
      </c>
      <c r="L165">
        <v>0.024631168390707</v>
      </c>
      <c r="M165">
        <v>-0.003311670176830872</v>
      </c>
      <c r="N165">
        <v>0.04</v>
      </c>
      <c r="O165">
        <v>0.0623882306100223</v>
      </c>
      <c r="P165" t="s">
        <v>634</v>
      </c>
      <c r="Q165" t="s">
        <v>634</v>
      </c>
      <c r="R165">
        <v>6</v>
      </c>
      <c r="S165">
        <v>0.2075</v>
      </c>
      <c r="T165">
        <v>58</v>
      </c>
      <c r="U165">
        <v>1.016724137931035</v>
      </c>
      <c r="V165">
        <v>7.1342</v>
      </c>
      <c r="W165">
        <v>7</v>
      </c>
      <c r="X165">
        <v>1.4525</v>
      </c>
      <c r="Y165">
        <v>0.192518</v>
      </c>
      <c r="Z165">
        <v>0.3962264150943396</v>
      </c>
      <c r="AA165">
        <v>0.4433656957928803</v>
      </c>
      <c r="AB165">
        <v>0.3182552504038772</v>
      </c>
      <c r="AC165">
        <v>0.6833602584814217</v>
      </c>
      <c r="AD165">
        <v>0.494345718901454</v>
      </c>
    </row>
    <row r="166" spans="1:30">
      <c r="A166" s="1" t="s">
        <v>173</v>
      </c>
      <c r="B166">
        <f>HYPERLINK("https://www.suredividend.com/sure-analysis-DPZ","Domino's Pizza, Inc.")</f>
        <v>0</v>
      </c>
      <c r="C166">
        <v>292</v>
      </c>
      <c r="D166">
        <v>11943.781412</v>
      </c>
      <c r="E166" t="s">
        <v>659</v>
      </c>
      <c r="F166" t="s">
        <v>629</v>
      </c>
      <c r="G166" t="s">
        <v>673</v>
      </c>
      <c r="H166" t="s">
        <v>703</v>
      </c>
      <c r="I166" t="s">
        <v>872</v>
      </c>
      <c r="J166" t="s">
        <v>1324</v>
      </c>
      <c r="K166">
        <v>43747</v>
      </c>
      <c r="L166">
        <v>0.008561643835616001</v>
      </c>
      <c r="M166">
        <v>-0.06114321243588772</v>
      </c>
      <c r="N166">
        <v>0.12</v>
      </c>
      <c r="O166">
        <v>0.06198949561701128</v>
      </c>
      <c r="P166" t="s">
        <v>634</v>
      </c>
      <c r="Q166" t="s">
        <v>382</v>
      </c>
      <c r="R166">
        <v>7</v>
      </c>
      <c r="S166">
        <v>0.2659574468085106</v>
      </c>
      <c r="T166">
        <v>213</v>
      </c>
      <c r="U166">
        <v>1.370892018779343</v>
      </c>
      <c r="V166">
        <v>9.3367</v>
      </c>
      <c r="W166">
        <v>9.4</v>
      </c>
      <c r="X166">
        <v>2.5</v>
      </c>
      <c r="Y166">
        <v>0.219258</v>
      </c>
      <c r="Z166">
        <v>0.04288164665523156</v>
      </c>
      <c r="AA166">
        <v>0.4951456310679612</v>
      </c>
      <c r="AB166">
        <v>0.9571890145395799</v>
      </c>
      <c r="AC166">
        <v>0.2035541195476575</v>
      </c>
      <c r="AD166">
        <v>0.4911147011308563</v>
      </c>
    </row>
    <row r="167" spans="1:30">
      <c r="A167" s="1" t="s">
        <v>174</v>
      </c>
      <c r="B167">
        <f>HYPERLINK("https://www.suredividend.com/sure-analysis-AXP","American Express Co.")</f>
        <v>0</v>
      </c>
      <c r="C167">
        <v>125.77</v>
      </c>
      <c r="D167">
        <v>102913.94367</v>
      </c>
      <c r="E167" t="s">
        <v>663</v>
      </c>
      <c r="F167" t="s">
        <v>629</v>
      </c>
      <c r="G167" t="s">
        <v>673</v>
      </c>
      <c r="H167" t="s">
        <v>703</v>
      </c>
      <c r="I167" t="s">
        <v>873</v>
      </c>
      <c r="J167" t="s">
        <v>1309</v>
      </c>
      <c r="K167">
        <v>43757</v>
      </c>
      <c r="L167">
        <v>0.012721634730062</v>
      </c>
      <c r="M167">
        <v>-0.02118576545839845</v>
      </c>
      <c r="N167">
        <v>0.07000000000000001</v>
      </c>
      <c r="O167">
        <v>0.06143122372261423</v>
      </c>
      <c r="P167" t="s">
        <v>634</v>
      </c>
      <c r="Q167" t="s">
        <v>405</v>
      </c>
      <c r="R167">
        <v>7</v>
      </c>
      <c r="S167">
        <v>0.1975308641975309</v>
      </c>
      <c r="T167">
        <v>113</v>
      </c>
      <c r="U167">
        <v>1.113008849557522</v>
      </c>
      <c r="V167">
        <v>8.290100000000001</v>
      </c>
      <c r="W167">
        <v>8.1</v>
      </c>
      <c r="X167">
        <v>1.6</v>
      </c>
      <c r="Y167">
        <v>0.377094</v>
      </c>
      <c r="Z167">
        <v>0.1217838765008576</v>
      </c>
      <c r="AA167">
        <v>0.726537216828479</v>
      </c>
      <c r="AB167">
        <v>0.7245557350565428</v>
      </c>
      <c r="AC167">
        <v>0.5492730210016155</v>
      </c>
      <c r="AD167">
        <v>0.4862681744749596</v>
      </c>
    </row>
    <row r="168" spans="1:30">
      <c r="A168" s="1" t="s">
        <v>175</v>
      </c>
      <c r="B168">
        <f>HYPERLINK("https://www.suredividend.com/sure-analysis-TRV","The Travelers Cos., Inc.")</f>
        <v>0</v>
      </c>
      <c r="C168">
        <v>136.43</v>
      </c>
      <c r="D168">
        <v>35214.35659</v>
      </c>
      <c r="E168" t="s">
        <v>661</v>
      </c>
      <c r="F168" t="s">
        <v>629</v>
      </c>
      <c r="G168" t="s">
        <v>673</v>
      </c>
      <c r="H168" t="s">
        <v>703</v>
      </c>
      <c r="I168" t="s">
        <v>874</v>
      </c>
      <c r="J168" t="s">
        <v>1309</v>
      </c>
      <c r="K168">
        <v>43672</v>
      </c>
      <c r="L168">
        <v>0.023308656453859</v>
      </c>
      <c r="M168">
        <v>-0.0237184134741627</v>
      </c>
      <c r="N168">
        <v>0.06</v>
      </c>
      <c r="O168">
        <v>0.06072128103240226</v>
      </c>
      <c r="P168" t="s">
        <v>634</v>
      </c>
      <c r="Q168" t="s">
        <v>634</v>
      </c>
      <c r="R168">
        <v>15</v>
      </c>
      <c r="S168">
        <v>0.2958139534883721</v>
      </c>
      <c r="T168">
        <v>121</v>
      </c>
      <c r="U168">
        <v>1.127520661157025</v>
      </c>
      <c r="V168">
        <v>8.966200000000001</v>
      </c>
      <c r="W168">
        <v>10.75</v>
      </c>
      <c r="X168">
        <v>3.18</v>
      </c>
      <c r="Y168">
        <v>0.175513</v>
      </c>
      <c r="Z168">
        <v>0.3670668953687822</v>
      </c>
      <c r="AA168">
        <v>0.4093851132686084</v>
      </c>
      <c r="AB168">
        <v>0.6130856219709209</v>
      </c>
      <c r="AC168">
        <v>0.529886914378029</v>
      </c>
      <c r="AD168">
        <v>0.4781906300484653</v>
      </c>
    </row>
    <row r="169" spans="1:30">
      <c r="A169" s="1" t="s">
        <v>176</v>
      </c>
      <c r="B169">
        <f>HYPERLINK("https://www.suredividend.com/sure-analysis-USB","U.S. Bancorp")</f>
        <v>0</v>
      </c>
      <c r="C169">
        <v>59.77</v>
      </c>
      <c r="D169">
        <v>93352.3722</v>
      </c>
      <c r="E169" t="s">
        <v>661</v>
      </c>
      <c r="F169" t="s">
        <v>629</v>
      </c>
      <c r="G169" t="s">
        <v>673</v>
      </c>
      <c r="H169" t="s">
        <v>703</v>
      </c>
      <c r="I169" t="s">
        <v>875</v>
      </c>
      <c r="J169" t="s">
        <v>1309</v>
      </c>
      <c r="K169">
        <v>43759</v>
      </c>
      <c r="L169">
        <v>0.025598126150242</v>
      </c>
      <c r="M169">
        <v>-0.027467737128821</v>
      </c>
      <c r="N169">
        <v>0.065</v>
      </c>
      <c r="O169">
        <v>0.06041376565107615</v>
      </c>
      <c r="P169" t="s">
        <v>634</v>
      </c>
      <c r="Q169" t="s">
        <v>494</v>
      </c>
      <c r="R169">
        <v>8</v>
      </c>
      <c r="S169">
        <v>0.3517241379310345</v>
      </c>
      <c r="T169">
        <v>52</v>
      </c>
      <c r="U169">
        <v>1.149423076923077</v>
      </c>
      <c r="V169">
        <v>4.3531</v>
      </c>
      <c r="W169">
        <v>4.35</v>
      </c>
      <c r="X169">
        <v>1.53</v>
      </c>
      <c r="Y169">
        <v>0.339834</v>
      </c>
      <c r="Z169">
        <v>0.4168096054888508</v>
      </c>
      <c r="AA169">
        <v>0.6779935275080906</v>
      </c>
      <c r="AB169">
        <v>0.6825525040387723</v>
      </c>
      <c r="AC169">
        <v>0.4991922455573505</v>
      </c>
      <c r="AD169">
        <v>0.4765751211631664</v>
      </c>
    </row>
    <row r="170" spans="1:30">
      <c r="A170" s="1" t="s">
        <v>177</v>
      </c>
      <c r="B170">
        <f>HYPERLINK("https://www.suredividend.com/sure-analysis-WSM","Williams-Sonoma, Inc.")</f>
        <v>0</v>
      </c>
      <c r="C170">
        <v>72.81999999999999</v>
      </c>
      <c r="D170">
        <v>5641.14694</v>
      </c>
      <c r="E170" t="s">
        <v>658</v>
      </c>
      <c r="F170" t="s">
        <v>629</v>
      </c>
      <c r="G170" t="s">
        <v>673</v>
      </c>
      <c r="H170" t="s">
        <v>703</v>
      </c>
      <c r="I170" t="s">
        <v>876</v>
      </c>
      <c r="J170" t="s">
        <v>1310</v>
      </c>
      <c r="K170">
        <v>43791</v>
      </c>
      <c r="L170">
        <v>0.025679758308157</v>
      </c>
      <c r="M170">
        <v>-0.005049362036593896</v>
      </c>
      <c r="N170">
        <v>0.04</v>
      </c>
      <c r="O170">
        <v>0.05922730906489959</v>
      </c>
      <c r="P170" t="s">
        <v>634</v>
      </c>
      <c r="Q170" t="s">
        <v>494</v>
      </c>
      <c r="R170">
        <v>14</v>
      </c>
      <c r="S170">
        <v>0.3978723404255319</v>
      </c>
      <c r="T170">
        <v>71</v>
      </c>
      <c r="U170">
        <v>1.025633802816901</v>
      </c>
      <c r="V170">
        <v>4.3778</v>
      </c>
      <c r="W170">
        <v>4.7</v>
      </c>
      <c r="X170">
        <v>1.87</v>
      </c>
      <c r="Y170">
        <v>0.549362</v>
      </c>
      <c r="Z170">
        <v>0.4219554030874786</v>
      </c>
      <c r="AA170">
        <v>0.9029126213592232</v>
      </c>
      <c r="AB170">
        <v>0.3182552504038772</v>
      </c>
      <c r="AC170">
        <v>0.6688206785137318</v>
      </c>
      <c r="AD170">
        <v>0.470113085621971</v>
      </c>
    </row>
    <row r="171" spans="1:30">
      <c r="A171" s="1" t="s">
        <v>178</v>
      </c>
      <c r="B171">
        <f>HYPERLINK("https://www.suredividend.com/sure-analysis-NEP","NextEra Energy Partners LP")</f>
        <v>0</v>
      </c>
      <c r="C171">
        <v>53.27</v>
      </c>
      <c r="D171">
        <v>8643.792626</v>
      </c>
      <c r="E171" t="s">
        <v>667</v>
      </c>
      <c r="F171" t="s">
        <v>631</v>
      </c>
      <c r="G171" t="s">
        <v>673</v>
      </c>
      <c r="H171" t="s">
        <v>703</v>
      </c>
      <c r="I171" t="s">
        <v>877</v>
      </c>
      <c r="J171" t="s">
        <v>1321</v>
      </c>
      <c r="K171">
        <v>43733</v>
      </c>
      <c r="L171">
        <v>0.03566735498404301</v>
      </c>
      <c r="M171">
        <v>-0.0206189240682747</v>
      </c>
      <c r="N171">
        <v>0.04</v>
      </c>
      <c r="O171">
        <v>0.05633675360923585</v>
      </c>
      <c r="P171" t="s">
        <v>634</v>
      </c>
      <c r="Q171" t="s">
        <v>634</v>
      </c>
      <c r="R171">
        <v>3</v>
      </c>
      <c r="S171">
        <v>0.2996845425867508</v>
      </c>
      <c r="T171">
        <v>48</v>
      </c>
      <c r="U171">
        <v>1.109791666666667</v>
      </c>
      <c r="V171">
        <v>-2.4845</v>
      </c>
      <c r="W171">
        <v>6.34</v>
      </c>
      <c r="X171">
        <v>1.9</v>
      </c>
      <c r="Y171">
        <v>0.247249</v>
      </c>
      <c r="Z171">
        <v>0.5934819897084048</v>
      </c>
      <c r="AA171">
        <v>0.551779935275081</v>
      </c>
      <c r="AB171">
        <v>0.3182552504038772</v>
      </c>
      <c r="AC171">
        <v>0.5589660743134087</v>
      </c>
      <c r="AD171">
        <v>0.4523424878836833</v>
      </c>
    </row>
    <row r="172" spans="1:30">
      <c r="A172" s="1" t="s">
        <v>179</v>
      </c>
      <c r="B172">
        <f>HYPERLINK("https://www.suredividend.com/sure-analysis-HMC","Honda Motor Co., Ltd.")</f>
        <v>0</v>
      </c>
      <c r="C172">
        <v>28.91</v>
      </c>
      <c r="D172">
        <v>50869.614319</v>
      </c>
      <c r="E172" t="s">
        <v>660</v>
      </c>
      <c r="F172" t="s">
        <v>629</v>
      </c>
      <c r="G172" t="s">
        <v>679</v>
      </c>
      <c r="H172" t="s">
        <v>703</v>
      </c>
      <c r="I172" t="s">
        <v>878</v>
      </c>
      <c r="J172" t="s">
        <v>1317</v>
      </c>
      <c r="K172">
        <v>43778</v>
      </c>
      <c r="L172">
        <v>0.03555517122103</v>
      </c>
      <c r="M172">
        <v>-0.006376194417760717</v>
      </c>
      <c r="N172">
        <v>0.029</v>
      </c>
      <c r="O172">
        <v>0.05549582879557602</v>
      </c>
      <c r="P172" t="s">
        <v>634</v>
      </c>
      <c r="Q172" t="s">
        <v>634</v>
      </c>
      <c r="R172">
        <v>4</v>
      </c>
      <c r="S172">
        <v>0.3086786786786787</v>
      </c>
      <c r="T172">
        <v>28</v>
      </c>
      <c r="U172">
        <v>1.0325</v>
      </c>
      <c r="V172">
        <v>2.7794</v>
      </c>
      <c r="W172">
        <v>3.33</v>
      </c>
      <c r="X172">
        <v>1.0279</v>
      </c>
      <c r="Y172">
        <v>0.0617</v>
      </c>
      <c r="Z172">
        <v>0.5900514579759863</v>
      </c>
      <c r="AA172">
        <v>0.2378640776699029</v>
      </c>
      <c r="AB172">
        <v>0.1663974151857835</v>
      </c>
      <c r="AC172">
        <v>0.6558966074313409</v>
      </c>
      <c r="AD172">
        <v>0.444264943457189</v>
      </c>
    </row>
    <row r="173" spans="1:30">
      <c r="A173" s="1" t="s">
        <v>180</v>
      </c>
      <c r="B173">
        <f>HYPERLINK("https://www.suredividend.com/sure-analysis-TJX","The TJX Cos., Inc.")</f>
        <v>0</v>
      </c>
      <c r="C173">
        <v>59.98</v>
      </c>
      <c r="D173">
        <v>72735.9466</v>
      </c>
      <c r="E173" t="s">
        <v>662</v>
      </c>
      <c r="F173" t="s">
        <v>629</v>
      </c>
      <c r="G173" t="s">
        <v>673</v>
      </c>
      <c r="H173" t="s">
        <v>703</v>
      </c>
      <c r="I173" t="s">
        <v>879</v>
      </c>
      <c r="J173" t="s">
        <v>1310</v>
      </c>
      <c r="K173">
        <v>43788</v>
      </c>
      <c r="L173">
        <v>0.014754918306102</v>
      </c>
      <c r="M173">
        <v>-0.04760242857188512</v>
      </c>
      <c r="N173">
        <v>0.09</v>
      </c>
      <c r="O173">
        <v>0.05526306820862259</v>
      </c>
      <c r="P173" t="s">
        <v>634</v>
      </c>
      <c r="Q173" t="s">
        <v>494</v>
      </c>
      <c r="R173">
        <v>23</v>
      </c>
      <c r="S173">
        <v>0.3430232558139535</v>
      </c>
      <c r="T173">
        <v>47</v>
      </c>
      <c r="U173">
        <v>1.276170212765957</v>
      </c>
      <c r="V173">
        <v>2.5835</v>
      </c>
      <c r="W173">
        <v>2.58</v>
      </c>
      <c r="X173">
        <v>0.885</v>
      </c>
      <c r="Y173">
        <v>0.430479</v>
      </c>
      <c r="Z173">
        <v>0.1663807890222985</v>
      </c>
      <c r="AA173">
        <v>0.8090614886731392</v>
      </c>
      <c r="AB173">
        <v>0.8877221324717286</v>
      </c>
      <c r="AC173">
        <v>0.3004846526655897</v>
      </c>
      <c r="AD173">
        <v>0.4394184168012925</v>
      </c>
    </row>
    <row r="174" spans="1:30">
      <c r="A174" s="1" t="s">
        <v>181</v>
      </c>
      <c r="B174">
        <f>HYPERLINK("https://www.suredividend.com/sure-analysis-FOXA","Fox Corp.")</f>
        <v>0</v>
      </c>
      <c r="C174">
        <v>37.17</v>
      </c>
      <c r="D174">
        <v>23070.86145</v>
      </c>
      <c r="E174" t="s">
        <v>668</v>
      </c>
      <c r="F174" t="s">
        <v>629</v>
      </c>
      <c r="G174" t="s">
        <v>673</v>
      </c>
      <c r="H174" t="s">
        <v>704</v>
      </c>
      <c r="I174" t="s">
        <v>880</v>
      </c>
      <c r="J174" t="s">
        <v>1324</v>
      </c>
      <c r="K174">
        <v>43712</v>
      </c>
      <c r="L174">
        <v>0.012375571697605</v>
      </c>
      <c r="M174">
        <v>0.004426603676314977</v>
      </c>
      <c r="N174">
        <v>0.042</v>
      </c>
      <c r="O174">
        <v>0.05378948086001478</v>
      </c>
      <c r="P174" t="s">
        <v>634</v>
      </c>
      <c r="Q174" t="s">
        <v>405</v>
      </c>
      <c r="R174">
        <v>0</v>
      </c>
      <c r="S174">
        <v>0.1789883268482491</v>
      </c>
      <c r="T174">
        <v>38</v>
      </c>
      <c r="U174">
        <v>0.9781578947368421</v>
      </c>
      <c r="V174">
        <v>2.3946</v>
      </c>
      <c r="W174">
        <v>2.57</v>
      </c>
      <c r="X174">
        <v>0.46</v>
      </c>
      <c r="Y174">
        <v>-0.021842</v>
      </c>
      <c r="Z174">
        <v>0.1132075471698113</v>
      </c>
      <c r="AA174">
        <v>0.1488673139158576</v>
      </c>
      <c r="AB174">
        <v>0.3699515347334411</v>
      </c>
      <c r="AC174">
        <v>0.7495961227786754</v>
      </c>
      <c r="AD174">
        <v>0.4329563812600969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34.96</v>
      </c>
      <c r="D175">
        <v>314469.0456</v>
      </c>
      <c r="E175" t="s">
        <v>661</v>
      </c>
      <c r="F175" t="s">
        <v>629</v>
      </c>
      <c r="G175" t="s">
        <v>673</v>
      </c>
      <c r="H175" t="s">
        <v>703</v>
      </c>
      <c r="I175" t="s">
        <v>881</v>
      </c>
      <c r="J175" t="s">
        <v>1309</v>
      </c>
      <c r="K175">
        <v>43759</v>
      </c>
      <c r="L175">
        <v>0.018020594965675</v>
      </c>
      <c r="M175">
        <v>-0.03013794973984163</v>
      </c>
      <c r="N175">
        <v>0.06</v>
      </c>
      <c r="O175">
        <v>0.05331578201241305</v>
      </c>
      <c r="P175" t="s">
        <v>634</v>
      </c>
      <c r="Q175" t="s">
        <v>494</v>
      </c>
      <c r="R175">
        <v>5</v>
      </c>
      <c r="S175">
        <v>0.2333333333333333</v>
      </c>
      <c r="T175">
        <v>30</v>
      </c>
      <c r="U175">
        <v>1.165333333333333</v>
      </c>
      <c r="V175">
        <v>2.7336</v>
      </c>
      <c r="W175">
        <v>2.7</v>
      </c>
      <c r="X175">
        <v>0.63</v>
      </c>
      <c r="Y175">
        <v>0.495935</v>
      </c>
      <c r="Z175">
        <v>0.248713550600343</v>
      </c>
      <c r="AA175">
        <v>0.8689320388349515</v>
      </c>
      <c r="AB175">
        <v>0.6130856219709209</v>
      </c>
      <c r="AC175">
        <v>0.4588045234248789</v>
      </c>
      <c r="AD175">
        <v>0.4281098546042004</v>
      </c>
    </row>
    <row r="176" spans="1:30">
      <c r="A176" s="1" t="s">
        <v>183</v>
      </c>
      <c r="B176">
        <f>HYPERLINK("https://www.suredividend.com/sure-analysis-KSU","Kansas City Southern")</f>
        <v>0</v>
      </c>
      <c r="C176">
        <v>155.1</v>
      </c>
      <c r="D176">
        <v>15373.512</v>
      </c>
      <c r="E176" t="s">
        <v>663</v>
      </c>
      <c r="F176" t="s">
        <v>629</v>
      </c>
      <c r="G176" t="s">
        <v>673</v>
      </c>
      <c r="H176" t="s">
        <v>703</v>
      </c>
      <c r="I176" t="s">
        <v>882</v>
      </c>
      <c r="J176" t="s">
        <v>1313</v>
      </c>
      <c r="K176">
        <v>43757</v>
      </c>
      <c r="L176">
        <v>0.009284332688588</v>
      </c>
      <c r="M176">
        <v>-0.03767972858362534</v>
      </c>
      <c r="N176">
        <v>0.08400000000000001</v>
      </c>
      <c r="O176">
        <v>0.05245758257405364</v>
      </c>
      <c r="P176" t="s">
        <v>634</v>
      </c>
      <c r="Q176" t="s">
        <v>405</v>
      </c>
      <c r="R176">
        <v>4</v>
      </c>
      <c r="S176">
        <v>0.2142857142857143</v>
      </c>
      <c r="T176">
        <v>128</v>
      </c>
      <c r="U176">
        <v>1.21171875</v>
      </c>
      <c r="V176">
        <v>5.7138</v>
      </c>
      <c r="W176">
        <v>6.72</v>
      </c>
      <c r="X176">
        <v>1.44</v>
      </c>
      <c r="Y176">
        <v>0.672418</v>
      </c>
      <c r="Z176">
        <v>0.0548885077186964</v>
      </c>
      <c r="AA176">
        <v>0.9449838187702265</v>
      </c>
      <c r="AB176">
        <v>0.8602584814216477</v>
      </c>
      <c r="AC176">
        <v>0.382875605815832</v>
      </c>
      <c r="AD176">
        <v>0.4248788368336026</v>
      </c>
    </row>
    <row r="177" spans="1:30">
      <c r="A177" s="1" t="s">
        <v>184</v>
      </c>
      <c r="B177">
        <f>HYPERLINK("https://www.suredividend.com/sure-analysis-XYL","Xylem, Inc.")</f>
        <v>0</v>
      </c>
      <c r="C177">
        <v>78.61</v>
      </c>
      <c r="D177">
        <v>14156.01019</v>
      </c>
      <c r="E177" t="s">
        <v>663</v>
      </c>
      <c r="F177" t="s">
        <v>629</v>
      </c>
      <c r="G177" t="s">
        <v>673</v>
      </c>
      <c r="H177" t="s">
        <v>703</v>
      </c>
      <c r="I177" t="s">
        <v>883</v>
      </c>
      <c r="J177" t="s">
        <v>1316</v>
      </c>
      <c r="K177">
        <v>43770</v>
      </c>
      <c r="L177">
        <v>0.011830555908917</v>
      </c>
      <c r="M177">
        <v>-0.05259714133388005</v>
      </c>
      <c r="N177">
        <v>0.094</v>
      </c>
      <c r="O177">
        <v>0.05070617670795752</v>
      </c>
      <c r="P177" t="s">
        <v>634</v>
      </c>
      <c r="Q177" t="s">
        <v>382</v>
      </c>
      <c r="R177">
        <v>9</v>
      </c>
      <c r="S177">
        <v>0.3079470198675497</v>
      </c>
      <c r="T177">
        <v>60</v>
      </c>
      <c r="U177">
        <v>1.310166666666667</v>
      </c>
      <c r="V177">
        <v>2.8229</v>
      </c>
      <c r="W177">
        <v>3.02</v>
      </c>
      <c r="X177">
        <v>0.93</v>
      </c>
      <c r="Y177">
        <v>0.239124</v>
      </c>
      <c r="Z177">
        <v>0.09948542024013722</v>
      </c>
      <c r="AA177">
        <v>0.5372168284789643</v>
      </c>
      <c r="AB177">
        <v>0.9046849757673666</v>
      </c>
      <c r="AC177">
        <v>0.27140549273021</v>
      </c>
      <c r="AD177">
        <v>0.4103392568659128</v>
      </c>
    </row>
    <row r="178" spans="1:30">
      <c r="A178" s="1" t="s">
        <v>185</v>
      </c>
      <c r="B178">
        <f>HYPERLINK("https://www.suredividend.com/sure-analysis-AIZ","Assurant, Inc.")</f>
        <v>0</v>
      </c>
      <c r="C178">
        <v>131.26</v>
      </c>
      <c r="D178">
        <v>7959.08136</v>
      </c>
      <c r="E178" t="s">
        <v>657</v>
      </c>
      <c r="F178" t="s">
        <v>629</v>
      </c>
      <c r="G178" t="s">
        <v>673</v>
      </c>
      <c r="H178" t="s">
        <v>703</v>
      </c>
      <c r="I178" t="s">
        <v>884</v>
      </c>
      <c r="J178" t="s">
        <v>1309</v>
      </c>
      <c r="K178">
        <v>43808</v>
      </c>
      <c r="L178">
        <v>0.018284321194575</v>
      </c>
      <c r="M178">
        <v>-0.01777774690264211</v>
      </c>
      <c r="N178">
        <v>0.05</v>
      </c>
      <c r="O178">
        <v>0.05027814844805167</v>
      </c>
      <c r="P178" t="s">
        <v>634</v>
      </c>
      <c r="Q178" t="s">
        <v>494</v>
      </c>
      <c r="R178">
        <v>15</v>
      </c>
      <c r="S178">
        <v>0.2790697674418605</v>
      </c>
      <c r="T178">
        <v>120</v>
      </c>
      <c r="U178">
        <v>1.093833333333333</v>
      </c>
      <c r="V178">
        <v>4.1673</v>
      </c>
      <c r="W178">
        <v>8.6</v>
      </c>
      <c r="X178">
        <v>2.4</v>
      </c>
      <c r="Y178">
        <v>0.5389849999999999</v>
      </c>
      <c r="Z178">
        <v>0.2555746140651801</v>
      </c>
      <c r="AA178">
        <v>0.8948220064724919</v>
      </c>
      <c r="AB178">
        <v>0.4588045234248789</v>
      </c>
      <c r="AC178">
        <v>0.5751211631663974</v>
      </c>
      <c r="AD178">
        <v>0.4071082390953151</v>
      </c>
    </row>
    <row r="179" spans="1:30">
      <c r="A179" s="1" t="s">
        <v>186</v>
      </c>
      <c r="B179">
        <f>HYPERLINK("https://www.suredividend.com/sure-analysis-KR","The Kroger Co.")</f>
        <v>0</v>
      </c>
      <c r="C179">
        <v>29</v>
      </c>
      <c r="D179">
        <v>23217.023</v>
      </c>
      <c r="E179" t="s">
        <v>658</v>
      </c>
      <c r="F179" t="s">
        <v>629</v>
      </c>
      <c r="G179" t="s">
        <v>673</v>
      </c>
      <c r="H179" t="s">
        <v>703</v>
      </c>
      <c r="I179" t="s">
        <v>885</v>
      </c>
      <c r="J179" t="s">
        <v>1310</v>
      </c>
      <c r="K179">
        <v>43720</v>
      </c>
      <c r="L179">
        <v>0.020689655172413</v>
      </c>
      <c r="M179">
        <v>-0.02160309544119665</v>
      </c>
      <c r="N179">
        <v>0.05</v>
      </c>
      <c r="O179">
        <v>0.04751273938001233</v>
      </c>
      <c r="P179" t="s">
        <v>634</v>
      </c>
      <c r="Q179" t="s">
        <v>634</v>
      </c>
      <c r="R179">
        <v>13</v>
      </c>
      <c r="S179">
        <v>0.2727272727272728</v>
      </c>
      <c r="T179">
        <v>26</v>
      </c>
      <c r="U179">
        <v>1.115384615384615</v>
      </c>
      <c r="V179">
        <v>1.9866</v>
      </c>
      <c r="W179">
        <v>2.2</v>
      </c>
      <c r="X179">
        <v>0.6000000000000001</v>
      </c>
      <c r="Y179">
        <v>0.05839399999999999</v>
      </c>
      <c r="Z179">
        <v>0.3224699828473414</v>
      </c>
      <c r="AA179">
        <v>0.2346278317152103</v>
      </c>
      <c r="AB179">
        <v>0.4588045234248789</v>
      </c>
      <c r="AC179">
        <v>0.5460420032310178</v>
      </c>
      <c r="AD179">
        <v>0.382875605815832</v>
      </c>
    </row>
    <row r="180" spans="1:30">
      <c r="A180" s="1" t="s">
        <v>187</v>
      </c>
      <c r="B180">
        <f>HYPERLINK("https://www.suredividend.com/sure-analysis-MDU","MDU Resources Group, Inc.")</f>
        <v>0</v>
      </c>
      <c r="C180">
        <v>29.77</v>
      </c>
      <c r="D180">
        <v>5965.43168</v>
      </c>
      <c r="E180" t="s">
        <v>661</v>
      </c>
      <c r="F180" t="s">
        <v>629</v>
      </c>
      <c r="G180" t="s">
        <v>673</v>
      </c>
      <c r="H180" t="s">
        <v>703</v>
      </c>
      <c r="I180" t="s">
        <v>886</v>
      </c>
      <c r="J180" t="s">
        <v>1321</v>
      </c>
      <c r="K180">
        <v>43775</v>
      </c>
      <c r="L180">
        <v>0.027208599261001</v>
      </c>
      <c r="M180">
        <v>-0.02671752688410378</v>
      </c>
      <c r="N180">
        <v>0.05</v>
      </c>
      <c r="O180">
        <v>0.04692054146044433</v>
      </c>
      <c r="P180" t="s">
        <v>634</v>
      </c>
      <c r="Q180" t="s">
        <v>634</v>
      </c>
      <c r="R180">
        <v>28</v>
      </c>
      <c r="S180">
        <v>0.5225806451612903</v>
      </c>
      <c r="T180">
        <v>26</v>
      </c>
      <c r="U180">
        <v>1.145</v>
      </c>
      <c r="V180">
        <v>1.6127</v>
      </c>
      <c r="W180">
        <v>1.55</v>
      </c>
      <c r="X180">
        <v>0.8100000000000001</v>
      </c>
      <c r="Y180">
        <v>0.217587</v>
      </c>
      <c r="Z180">
        <v>0.4562607204116638</v>
      </c>
      <c r="AA180">
        <v>0.4902912621359223</v>
      </c>
      <c r="AB180">
        <v>0.4588045234248789</v>
      </c>
      <c r="AC180">
        <v>0.505654281098546</v>
      </c>
      <c r="AD180">
        <v>0.3731825525040388</v>
      </c>
    </row>
    <row r="181" spans="1:30">
      <c r="A181" s="1" t="s">
        <v>188</v>
      </c>
      <c r="B181">
        <f>HYPERLINK("https://www.suredividend.com/sure-analysis-DG","Dollar General Corp.")</f>
        <v>0</v>
      </c>
      <c r="C181">
        <v>156.71</v>
      </c>
      <c r="D181">
        <v>39898.366</v>
      </c>
      <c r="E181" t="s">
        <v>657</v>
      </c>
      <c r="F181" t="s">
        <v>629</v>
      </c>
      <c r="G181" t="s">
        <v>673</v>
      </c>
      <c r="H181" t="s">
        <v>703</v>
      </c>
      <c r="I181" t="s">
        <v>887</v>
      </c>
      <c r="J181" t="s">
        <v>1310</v>
      </c>
      <c r="K181">
        <v>43818</v>
      </c>
      <c r="L181">
        <v>0.007976517133558</v>
      </c>
      <c r="M181">
        <v>-0.05676951149959852</v>
      </c>
      <c r="N181">
        <v>0.1</v>
      </c>
      <c r="O181">
        <v>0.04637250971303075</v>
      </c>
      <c r="P181" t="s">
        <v>634</v>
      </c>
      <c r="Q181" t="s">
        <v>405</v>
      </c>
      <c r="R181">
        <v>4</v>
      </c>
      <c r="S181">
        <v>0.1920122887864824</v>
      </c>
      <c r="T181">
        <v>117</v>
      </c>
      <c r="U181">
        <v>1.339401709401709</v>
      </c>
      <c r="V181">
        <v>6.42</v>
      </c>
      <c r="W181">
        <v>6.51</v>
      </c>
      <c r="X181">
        <v>1.25</v>
      </c>
      <c r="Y181">
        <v>0.5711849999999999</v>
      </c>
      <c r="Z181">
        <v>0.03259005145797599</v>
      </c>
      <c r="AA181">
        <v>0.9207119741100324</v>
      </c>
      <c r="AB181">
        <v>0.931340872374798</v>
      </c>
      <c r="AC181">
        <v>0.2374798061389337</v>
      </c>
      <c r="AD181">
        <v>0.3699515347334411</v>
      </c>
    </row>
    <row r="182" spans="1:30">
      <c r="A182" s="1" t="s">
        <v>189</v>
      </c>
      <c r="B182">
        <f>HYPERLINK("https://www.suredividend.com/sure-analysis-LEG","Leggett &amp; Platt, Inc.")</f>
        <v>0</v>
      </c>
      <c r="C182">
        <v>51.48</v>
      </c>
      <c r="D182">
        <v>6774.92244</v>
      </c>
      <c r="E182" t="s">
        <v>663</v>
      </c>
      <c r="F182" t="s">
        <v>629</v>
      </c>
      <c r="G182" t="s">
        <v>673</v>
      </c>
      <c r="H182" t="s">
        <v>703</v>
      </c>
      <c r="I182" t="s">
        <v>888</v>
      </c>
      <c r="J182" t="s">
        <v>1317</v>
      </c>
      <c r="K182">
        <v>43767</v>
      </c>
      <c r="L182">
        <v>0.03030303030303</v>
      </c>
      <c r="M182">
        <v>-0.04450358111452379</v>
      </c>
      <c r="N182">
        <v>0.06</v>
      </c>
      <c r="O182">
        <v>0.04551905780997489</v>
      </c>
      <c r="P182" t="s">
        <v>634</v>
      </c>
      <c r="Q182" t="s">
        <v>633</v>
      </c>
      <c r="R182">
        <v>48</v>
      </c>
      <c r="S182">
        <v>0.609375</v>
      </c>
      <c r="T182">
        <v>41</v>
      </c>
      <c r="U182">
        <v>1.255609756097561</v>
      </c>
      <c r="V182">
        <v>2.2291</v>
      </c>
      <c r="W182">
        <v>2.56</v>
      </c>
      <c r="X182">
        <v>1.56</v>
      </c>
      <c r="Y182">
        <v>0.475917</v>
      </c>
      <c r="Z182">
        <v>0.5180102915951973</v>
      </c>
      <c r="AA182">
        <v>0.854368932038835</v>
      </c>
      <c r="AB182">
        <v>0.6130856219709209</v>
      </c>
      <c r="AC182">
        <v>0.3295638126009693</v>
      </c>
      <c r="AD182">
        <v>0.3651050080775444</v>
      </c>
    </row>
    <row r="183" spans="1:30">
      <c r="A183" s="1" t="s">
        <v>190</v>
      </c>
      <c r="B183">
        <f>HYPERLINK("https://www.suredividend.com/sure-analysis-BMY","Bristol-Myers Squibb Co.")</f>
        <v>0</v>
      </c>
      <c r="C183">
        <v>63.51</v>
      </c>
      <c r="D183">
        <v>103476.2079</v>
      </c>
      <c r="E183" t="s">
        <v>660</v>
      </c>
      <c r="F183" t="s">
        <v>629</v>
      </c>
      <c r="G183" t="s">
        <v>673</v>
      </c>
      <c r="H183" t="s">
        <v>703</v>
      </c>
      <c r="I183" t="s">
        <v>889</v>
      </c>
      <c r="J183" t="s">
        <v>1315</v>
      </c>
      <c r="K183">
        <v>43770</v>
      </c>
      <c r="L183">
        <v>0.025822705085813</v>
      </c>
      <c r="M183">
        <v>-0.01798713770531846</v>
      </c>
      <c r="N183">
        <v>0.04</v>
      </c>
      <c r="O183">
        <v>0.04548155146970645</v>
      </c>
      <c r="P183" t="s">
        <v>634</v>
      </c>
      <c r="Q183" t="s">
        <v>494</v>
      </c>
      <c r="R183">
        <v>10</v>
      </c>
      <c r="S183">
        <v>0.3813953488372093</v>
      </c>
      <c r="T183">
        <v>58</v>
      </c>
      <c r="U183">
        <v>1.095</v>
      </c>
      <c r="V183">
        <v>3.4812</v>
      </c>
      <c r="W183">
        <v>4.3</v>
      </c>
      <c r="X183">
        <v>1.64</v>
      </c>
      <c r="Y183">
        <v>0.274789</v>
      </c>
      <c r="Z183">
        <v>0.4305317324185248</v>
      </c>
      <c r="AA183">
        <v>0.5954692556634305</v>
      </c>
      <c r="AB183">
        <v>0.3182552504038772</v>
      </c>
      <c r="AC183">
        <v>0.5735056542810986</v>
      </c>
      <c r="AD183">
        <v>0.3634894991922456</v>
      </c>
    </row>
    <row r="184" spans="1:30">
      <c r="A184" s="1" t="s">
        <v>191</v>
      </c>
      <c r="B184">
        <f>HYPERLINK("https://www.suredividend.com/sure-analysis-KMB","Kimberly-Clark Corp.")</f>
        <v>0</v>
      </c>
      <c r="C184">
        <v>138.01</v>
      </c>
      <c r="D184">
        <v>47310.65606</v>
      </c>
      <c r="E184" t="s">
        <v>661</v>
      </c>
      <c r="F184" t="s">
        <v>629</v>
      </c>
      <c r="G184" t="s">
        <v>673</v>
      </c>
      <c r="H184" t="s">
        <v>703</v>
      </c>
      <c r="I184" t="s">
        <v>890</v>
      </c>
      <c r="J184" t="s">
        <v>1322</v>
      </c>
      <c r="K184">
        <v>43763</v>
      </c>
      <c r="L184">
        <v>0.029635533656981</v>
      </c>
      <c r="M184">
        <v>-0.02276522922457902</v>
      </c>
      <c r="N184">
        <v>0.04</v>
      </c>
      <c r="O184">
        <v>0.04531722612443656</v>
      </c>
      <c r="P184" t="s">
        <v>634</v>
      </c>
      <c r="Q184" t="s">
        <v>633</v>
      </c>
      <c r="R184">
        <v>47</v>
      </c>
      <c r="S184">
        <v>0.5970802919708029</v>
      </c>
      <c r="T184">
        <v>123</v>
      </c>
      <c r="U184">
        <v>1.122032520325203</v>
      </c>
      <c r="V184">
        <v>5.8717</v>
      </c>
      <c r="W184">
        <v>6.85</v>
      </c>
      <c r="X184">
        <v>4.09</v>
      </c>
      <c r="Y184">
        <v>0.190254</v>
      </c>
      <c r="Z184">
        <v>0.5042881646655232</v>
      </c>
      <c r="AA184">
        <v>0.4385113268608414</v>
      </c>
      <c r="AB184">
        <v>0.3182552504038772</v>
      </c>
      <c r="AC184">
        <v>0.5347334410339257</v>
      </c>
      <c r="AD184">
        <v>0.3602584814216478</v>
      </c>
    </row>
    <row r="185" spans="1:30">
      <c r="A185" s="1" t="s">
        <v>192</v>
      </c>
      <c r="B185">
        <f>HYPERLINK("https://www.suredividend.com/sure-analysis-CFR","Cullen/Frost Bankers, Inc.")</f>
        <v>0</v>
      </c>
      <c r="C185">
        <v>98.25</v>
      </c>
      <c r="D185">
        <v>6147.01125</v>
      </c>
      <c r="E185" t="s">
        <v>658</v>
      </c>
      <c r="F185" t="s">
        <v>629</v>
      </c>
      <c r="G185" t="s">
        <v>673</v>
      </c>
      <c r="H185" t="s">
        <v>703</v>
      </c>
      <c r="I185" t="s">
        <v>891</v>
      </c>
      <c r="J185" t="s">
        <v>1309</v>
      </c>
      <c r="K185">
        <v>43769</v>
      </c>
      <c r="L185">
        <v>0.028091603053435</v>
      </c>
      <c r="M185">
        <v>-0.03317225093139342</v>
      </c>
      <c r="N185">
        <v>0.05</v>
      </c>
      <c r="O185">
        <v>0.04255550003583708</v>
      </c>
      <c r="P185" t="s">
        <v>634</v>
      </c>
      <c r="Q185" t="s">
        <v>634</v>
      </c>
      <c r="R185">
        <v>26</v>
      </c>
      <c r="S185">
        <v>0.3971223021582733</v>
      </c>
      <c r="T185">
        <v>83</v>
      </c>
      <c r="U185">
        <v>1.183734939759036</v>
      </c>
      <c r="V185">
        <v>7.1056</v>
      </c>
      <c r="W185">
        <v>6.95</v>
      </c>
      <c r="X185">
        <v>2.76</v>
      </c>
      <c r="Y185">
        <v>0.150468</v>
      </c>
      <c r="Z185">
        <v>0.4682675814751286</v>
      </c>
      <c r="AA185">
        <v>0.3640776699029126</v>
      </c>
      <c r="AB185">
        <v>0.4588045234248789</v>
      </c>
      <c r="AC185">
        <v>0.4232633279483037</v>
      </c>
      <c r="AD185">
        <v>0.3344103392568659</v>
      </c>
    </row>
    <row r="186" spans="1:30">
      <c r="A186" s="1" t="s">
        <v>193</v>
      </c>
      <c r="B186">
        <f>HYPERLINK("https://www.suredividend.com/sure-analysis-NVS","Novartis AG")</f>
        <v>0</v>
      </c>
      <c r="C186">
        <v>94.29000000000001</v>
      </c>
      <c r="D186">
        <v>215727.657063</v>
      </c>
      <c r="E186" t="s">
        <v>660</v>
      </c>
      <c r="F186" t="s">
        <v>629</v>
      </c>
      <c r="G186" t="s">
        <v>678</v>
      </c>
      <c r="H186" t="s">
        <v>703</v>
      </c>
      <c r="I186" t="s">
        <v>892</v>
      </c>
      <c r="J186" t="s">
        <v>1315</v>
      </c>
      <c r="K186">
        <v>43665</v>
      </c>
      <c r="L186">
        <v>0.019537384664333</v>
      </c>
      <c r="M186">
        <v>-0.02754470961415068</v>
      </c>
      <c r="N186">
        <v>0.04</v>
      </c>
      <c r="O186">
        <v>0.04209174717476727</v>
      </c>
      <c r="P186" t="s">
        <v>634</v>
      </c>
      <c r="Q186" t="s">
        <v>494</v>
      </c>
      <c r="R186">
        <v>22</v>
      </c>
      <c r="S186">
        <v>0.3584007782101167</v>
      </c>
      <c r="T186">
        <v>82</v>
      </c>
      <c r="U186">
        <v>1.149878048780488</v>
      </c>
      <c r="V186">
        <v>5.1259</v>
      </c>
      <c r="W186">
        <v>5.14</v>
      </c>
      <c r="X186">
        <v>1.84218</v>
      </c>
      <c r="Y186">
        <v>0.06660000000000001</v>
      </c>
      <c r="Z186">
        <v>0.2915951972555746</v>
      </c>
      <c r="AA186">
        <v>0.2427184466019418</v>
      </c>
      <c r="AB186">
        <v>0.3182552504038772</v>
      </c>
      <c r="AC186">
        <v>0.4959612277867528</v>
      </c>
      <c r="AD186">
        <v>0.332794830371567</v>
      </c>
    </row>
    <row r="187" spans="1:30">
      <c r="A187" s="1" t="s">
        <v>194</v>
      </c>
      <c r="B187">
        <f>HYPERLINK("https://www.suredividend.com/sure-analysis-DIS","The Walt Disney Co.")</f>
        <v>0</v>
      </c>
      <c r="C187">
        <v>146.88</v>
      </c>
      <c r="D187">
        <v>264736.512</v>
      </c>
      <c r="E187" t="s">
        <v>666</v>
      </c>
      <c r="F187" t="s">
        <v>629</v>
      </c>
      <c r="G187" t="s">
        <v>673</v>
      </c>
      <c r="H187" t="s">
        <v>703</v>
      </c>
      <c r="I187" t="s">
        <v>893</v>
      </c>
      <c r="J187" t="s">
        <v>1324</v>
      </c>
      <c r="K187">
        <v>43785</v>
      </c>
      <c r="L187">
        <v>0.0119825708061</v>
      </c>
      <c r="M187">
        <v>-0.056186892911124</v>
      </c>
      <c r="N187">
        <v>0.09</v>
      </c>
      <c r="O187">
        <v>0.04206672564268898</v>
      </c>
      <c r="P187" t="s">
        <v>634</v>
      </c>
      <c r="Q187" t="s">
        <v>405</v>
      </c>
      <c r="R187">
        <v>9</v>
      </c>
      <c r="S187">
        <v>0.2885245901639344</v>
      </c>
      <c r="T187">
        <v>110</v>
      </c>
      <c r="U187">
        <v>1.335272727272727</v>
      </c>
      <c r="V187">
        <v>6.9955</v>
      </c>
      <c r="W187">
        <v>6.1</v>
      </c>
      <c r="X187">
        <v>1.76</v>
      </c>
      <c r="Y187">
        <v>0.409326</v>
      </c>
      <c r="Z187">
        <v>0.1029159519725557</v>
      </c>
      <c r="AA187">
        <v>0.7718446601941747</v>
      </c>
      <c r="AB187">
        <v>0.8877221324717286</v>
      </c>
      <c r="AC187">
        <v>0.2407108239095315</v>
      </c>
      <c r="AD187">
        <v>0.3311793214862682</v>
      </c>
    </row>
    <row r="188" spans="1:30">
      <c r="A188" s="1" t="s">
        <v>195</v>
      </c>
      <c r="B188">
        <f>HYPERLINK("https://www.suredividend.com/sure-analysis-NSC","Norfolk Southern Corp.")</f>
        <v>0</v>
      </c>
      <c r="C188">
        <v>194.59</v>
      </c>
      <c r="D188">
        <v>50738.75873</v>
      </c>
      <c r="E188" t="s">
        <v>663</v>
      </c>
      <c r="F188" t="s">
        <v>629</v>
      </c>
      <c r="G188" t="s">
        <v>673</v>
      </c>
      <c r="H188" t="s">
        <v>703</v>
      </c>
      <c r="I188" t="s">
        <v>894</v>
      </c>
      <c r="J188" t="s">
        <v>1313</v>
      </c>
      <c r="K188">
        <v>43761</v>
      </c>
      <c r="L188">
        <v>0.017780975384141</v>
      </c>
      <c r="M188">
        <v>-0.04080409991877743</v>
      </c>
      <c r="N188">
        <v>0.065</v>
      </c>
      <c r="O188">
        <v>0.04191488757615325</v>
      </c>
      <c r="P188" t="s">
        <v>634</v>
      </c>
      <c r="Q188" t="s">
        <v>405</v>
      </c>
      <c r="R188">
        <v>8</v>
      </c>
      <c r="S188">
        <v>0.3392156862745098</v>
      </c>
      <c r="T188">
        <v>158</v>
      </c>
      <c r="U188">
        <v>1.231582278481013</v>
      </c>
      <c r="V188">
        <v>10.3429</v>
      </c>
      <c r="W188">
        <v>10.2</v>
      </c>
      <c r="X188">
        <v>3.46</v>
      </c>
      <c r="Y188">
        <v>0.347763</v>
      </c>
      <c r="Z188">
        <v>0.241852487135506</v>
      </c>
      <c r="AA188">
        <v>0.686084142394822</v>
      </c>
      <c r="AB188">
        <v>0.6825525040387723</v>
      </c>
      <c r="AC188">
        <v>0.3667205169628433</v>
      </c>
      <c r="AD188">
        <v>0.3295638126009693</v>
      </c>
    </row>
    <row r="189" spans="1:30">
      <c r="A189" s="1" t="s">
        <v>196</v>
      </c>
      <c r="B189">
        <f>HYPERLINK("https://www.suredividend.com/sure-analysis-CHD","Church &amp; Dwight Co., Inc.")</f>
        <v>0</v>
      </c>
      <c r="C189">
        <v>70.25</v>
      </c>
      <c r="D189">
        <v>17239.4905</v>
      </c>
      <c r="E189" t="s">
        <v>661</v>
      </c>
      <c r="F189" t="s">
        <v>629</v>
      </c>
      <c r="G189" t="s">
        <v>673</v>
      </c>
      <c r="H189" t="s">
        <v>703</v>
      </c>
      <c r="I189" t="s">
        <v>895</v>
      </c>
      <c r="J189" t="s">
        <v>1322</v>
      </c>
      <c r="K189">
        <v>43781</v>
      </c>
      <c r="L189">
        <v>0.012811387900355</v>
      </c>
      <c r="M189">
        <v>-0.05838926088757501</v>
      </c>
      <c r="N189">
        <v>0.09</v>
      </c>
      <c r="O189">
        <v>0.04036038037522927</v>
      </c>
      <c r="P189" t="s">
        <v>634</v>
      </c>
      <c r="Q189" t="s">
        <v>405</v>
      </c>
      <c r="R189">
        <v>23</v>
      </c>
      <c r="S189">
        <v>0.3643724696356275</v>
      </c>
      <c r="T189">
        <v>52</v>
      </c>
      <c r="U189">
        <v>1.350961538461539</v>
      </c>
      <c r="V189">
        <v>2.4925</v>
      </c>
      <c r="W189">
        <v>2.47</v>
      </c>
      <c r="X189">
        <v>0.9</v>
      </c>
      <c r="Y189">
        <v>0.08243499999999999</v>
      </c>
      <c r="Z189">
        <v>0.1234991423670669</v>
      </c>
      <c r="AA189">
        <v>0.2605177993527508</v>
      </c>
      <c r="AB189">
        <v>0.8877221324717286</v>
      </c>
      <c r="AC189">
        <v>0.222940226171244</v>
      </c>
      <c r="AD189">
        <v>0.321486268174475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149.49</v>
      </c>
      <c r="D190">
        <v>129024.52002</v>
      </c>
      <c r="E190" t="s">
        <v>660</v>
      </c>
      <c r="F190" t="s">
        <v>629</v>
      </c>
      <c r="G190" t="s">
        <v>673</v>
      </c>
      <c r="H190" t="s">
        <v>703</v>
      </c>
      <c r="I190" t="s">
        <v>896</v>
      </c>
      <c r="J190" t="s">
        <v>1316</v>
      </c>
      <c r="K190">
        <v>43760</v>
      </c>
      <c r="L190">
        <v>0.019666867348986</v>
      </c>
      <c r="M190">
        <v>-0.02755232552207043</v>
      </c>
      <c r="N190">
        <v>0.05</v>
      </c>
      <c r="O190">
        <v>0.04013867408796323</v>
      </c>
      <c r="P190" t="s">
        <v>634</v>
      </c>
      <c r="Q190" t="s">
        <v>634</v>
      </c>
      <c r="R190">
        <v>25</v>
      </c>
      <c r="S190">
        <v>0.362962962962963</v>
      </c>
      <c r="T190">
        <v>130</v>
      </c>
      <c r="U190">
        <v>1.149923076923077</v>
      </c>
      <c r="V190">
        <v>5.9761</v>
      </c>
      <c r="W190">
        <v>8.1</v>
      </c>
      <c r="X190">
        <v>2.94</v>
      </c>
      <c r="Y190">
        <v>0.407892</v>
      </c>
      <c r="Z190">
        <v>0.2967409948542024</v>
      </c>
      <c r="AA190">
        <v>0.7702265372168284</v>
      </c>
      <c r="AB190">
        <v>0.4588045234248789</v>
      </c>
      <c r="AC190">
        <v>0.494345718901454</v>
      </c>
      <c r="AD190">
        <v>0.3182552504038772</v>
      </c>
    </row>
    <row r="191" spans="1:30">
      <c r="A191" s="1" t="s">
        <v>198</v>
      </c>
      <c r="B191">
        <f>HYPERLINK("https://www.suredividend.com/sure-analysis-AMAT","Applied Materials, Inc.")</f>
        <v>0</v>
      </c>
      <c r="C191">
        <v>61.81</v>
      </c>
      <c r="D191">
        <v>56574.94024</v>
      </c>
      <c r="E191" t="s">
        <v>661</v>
      </c>
      <c r="F191" t="s">
        <v>629</v>
      </c>
      <c r="G191" t="s">
        <v>673</v>
      </c>
      <c r="H191" t="s">
        <v>704</v>
      </c>
      <c r="I191" t="s">
        <v>897</v>
      </c>
      <c r="J191" t="s">
        <v>1316</v>
      </c>
      <c r="K191">
        <v>43709</v>
      </c>
      <c r="L191">
        <v>0.013428247856333</v>
      </c>
      <c r="M191">
        <v>-0.06150761291650875</v>
      </c>
      <c r="N191">
        <v>0.09</v>
      </c>
      <c r="O191">
        <v>0.03960012338705066</v>
      </c>
      <c r="P191" t="s">
        <v>634</v>
      </c>
      <c r="Q191" t="s">
        <v>382</v>
      </c>
      <c r="R191">
        <v>2</v>
      </c>
      <c r="S191">
        <v>0.2766666666666667</v>
      </c>
      <c r="T191">
        <v>45</v>
      </c>
      <c r="U191">
        <v>1.373555555555556</v>
      </c>
      <c r="V191">
        <v>2.8933</v>
      </c>
      <c r="W191">
        <v>3</v>
      </c>
      <c r="X191">
        <v>0.8300000000000001</v>
      </c>
      <c r="Y191">
        <v>1.039261</v>
      </c>
      <c r="Z191">
        <v>0.1355060034305317</v>
      </c>
      <c r="AA191">
        <v>0.9886731391585761</v>
      </c>
      <c r="AB191">
        <v>0.8877221324717286</v>
      </c>
      <c r="AC191">
        <v>0.2019386106623587</v>
      </c>
      <c r="AD191">
        <v>0.3117932148626817</v>
      </c>
    </row>
    <row r="192" spans="1:30">
      <c r="A192" s="1" t="s">
        <v>199</v>
      </c>
      <c r="B192">
        <f>HYPERLINK("https://www.suredividend.com/sure-analysis-KLAC","KLA Corp.")</f>
        <v>0</v>
      </c>
      <c r="C192">
        <v>177.47</v>
      </c>
      <c r="D192">
        <v>28003.70118</v>
      </c>
      <c r="E192" t="s">
        <v>663</v>
      </c>
      <c r="F192" t="s">
        <v>629</v>
      </c>
      <c r="G192" t="s">
        <v>673</v>
      </c>
      <c r="H192" t="s">
        <v>704</v>
      </c>
      <c r="I192" t="s">
        <v>898</v>
      </c>
      <c r="J192" t="s">
        <v>1308</v>
      </c>
      <c r="K192">
        <v>43710</v>
      </c>
      <c r="L192">
        <v>0.016904265509663</v>
      </c>
      <c r="M192">
        <v>-0.06180534974110896</v>
      </c>
      <c r="N192">
        <v>0.08599999999999999</v>
      </c>
      <c r="O192">
        <v>0.03930212332694927</v>
      </c>
      <c r="P192" t="s">
        <v>634</v>
      </c>
      <c r="Q192" t="s">
        <v>405</v>
      </c>
      <c r="R192">
        <v>9</v>
      </c>
      <c r="S192">
        <v>0.3253796095444685</v>
      </c>
      <c r="T192">
        <v>129</v>
      </c>
      <c r="U192">
        <v>1.375736434108527</v>
      </c>
      <c r="V192">
        <v>7.1991</v>
      </c>
      <c r="W192">
        <v>9.220000000000001</v>
      </c>
      <c r="X192">
        <v>3</v>
      </c>
      <c r="Y192">
        <v>1.071554</v>
      </c>
      <c r="Z192">
        <v>0.2161234991423671</v>
      </c>
      <c r="AA192">
        <v>0.9902912621359223</v>
      </c>
      <c r="AB192">
        <v>0.8691437802907916</v>
      </c>
      <c r="AC192">
        <v>0.1922455573505654</v>
      </c>
      <c r="AD192">
        <v>0.3069466882067852</v>
      </c>
    </row>
    <row r="193" spans="1:30">
      <c r="A193" s="1" t="s">
        <v>200</v>
      </c>
      <c r="B193">
        <f>HYPERLINK("https://www.suredividend.com/sure-analysis-JPM","JPMorgan Chase &amp; Co.")</f>
        <v>0</v>
      </c>
      <c r="C193">
        <v>137.24</v>
      </c>
      <c r="D193">
        <v>430451.8876</v>
      </c>
      <c r="E193" t="s">
        <v>661</v>
      </c>
      <c r="F193" t="s">
        <v>629</v>
      </c>
      <c r="G193" t="s">
        <v>673</v>
      </c>
      <c r="H193" t="s">
        <v>703</v>
      </c>
      <c r="I193" t="s">
        <v>899</v>
      </c>
      <c r="J193" t="s">
        <v>1309</v>
      </c>
      <c r="K193">
        <v>43757</v>
      </c>
      <c r="L193">
        <v>0.024045467793646</v>
      </c>
      <c r="M193">
        <v>-0.0432854141760356</v>
      </c>
      <c r="N193">
        <v>0.055</v>
      </c>
      <c r="O193">
        <v>0.03781617558025352</v>
      </c>
      <c r="P193" t="s">
        <v>634</v>
      </c>
      <c r="Q193" t="s">
        <v>494</v>
      </c>
      <c r="R193">
        <v>8</v>
      </c>
      <c r="S193">
        <v>0.33</v>
      </c>
      <c r="T193">
        <v>110</v>
      </c>
      <c r="U193">
        <v>1.247636363636364</v>
      </c>
      <c r="V193">
        <v>10.1633</v>
      </c>
      <c r="W193">
        <v>10</v>
      </c>
      <c r="X193">
        <v>3.3</v>
      </c>
      <c r="Y193">
        <v>0.457364</v>
      </c>
      <c r="Z193">
        <v>0.3859348198970841</v>
      </c>
      <c r="AA193">
        <v>0.8317152103559871</v>
      </c>
      <c r="AB193">
        <v>0.5452342487883683</v>
      </c>
      <c r="AC193">
        <v>0.3489499192245558</v>
      </c>
      <c r="AD193">
        <v>0.3021001615508885</v>
      </c>
    </row>
    <row r="194" spans="1:30">
      <c r="A194" s="1" t="s">
        <v>201</v>
      </c>
      <c r="B194">
        <f>HYPERLINK("https://www.suredividend.com/sure-analysis-ALL","The Allstate Corp.")</f>
        <v>0</v>
      </c>
      <c r="C194">
        <v>111.58</v>
      </c>
      <c r="D194">
        <v>36147.01048</v>
      </c>
      <c r="E194" t="s">
        <v>665</v>
      </c>
      <c r="F194" t="s">
        <v>629</v>
      </c>
      <c r="G194" t="s">
        <v>673</v>
      </c>
      <c r="H194" t="s">
        <v>703</v>
      </c>
      <c r="I194" t="s">
        <v>900</v>
      </c>
      <c r="J194" t="s">
        <v>1309</v>
      </c>
      <c r="K194">
        <v>43804</v>
      </c>
      <c r="L194">
        <v>0.017565872020075</v>
      </c>
      <c r="M194">
        <v>-0.02167595286261725</v>
      </c>
      <c r="N194">
        <v>0.04</v>
      </c>
      <c r="O194">
        <v>0.03765705077585468</v>
      </c>
      <c r="P194" t="s">
        <v>634</v>
      </c>
      <c r="Q194" t="s">
        <v>494</v>
      </c>
      <c r="R194">
        <v>9</v>
      </c>
      <c r="S194">
        <v>0.2144420131291028</v>
      </c>
      <c r="T194">
        <v>100</v>
      </c>
      <c r="U194">
        <v>1.1158</v>
      </c>
      <c r="V194">
        <v>8.062900000000001</v>
      </c>
      <c r="W194">
        <v>9.140000000000001</v>
      </c>
      <c r="X194">
        <v>1.96</v>
      </c>
      <c r="Y194">
        <v>0.3973700000000001</v>
      </c>
      <c r="Z194">
        <v>0.2384219554030875</v>
      </c>
      <c r="AA194">
        <v>0.7540453074433657</v>
      </c>
      <c r="AB194">
        <v>0.3182552504038772</v>
      </c>
      <c r="AC194">
        <v>0.5444264943457189</v>
      </c>
      <c r="AD194">
        <v>0.2956381260096931</v>
      </c>
    </row>
    <row r="195" spans="1:30">
      <c r="A195" s="1" t="s">
        <v>202</v>
      </c>
      <c r="B195">
        <f>HYPERLINK("https://www.suredividend.com/sure-analysis-RRD","R.R. Donnelley &amp; Sons Co.")</f>
        <v>0</v>
      </c>
      <c r="C195">
        <v>4.08</v>
      </c>
      <c r="D195">
        <v>289.272</v>
      </c>
      <c r="E195" t="s">
        <v>658</v>
      </c>
      <c r="F195" t="s">
        <v>629</v>
      </c>
      <c r="G195" t="s">
        <v>673</v>
      </c>
      <c r="H195" t="s">
        <v>703</v>
      </c>
      <c r="I195" t="s">
        <v>901</v>
      </c>
      <c r="J195" t="s">
        <v>1319</v>
      </c>
      <c r="K195">
        <v>43768</v>
      </c>
      <c r="L195">
        <v>0.029411764705882</v>
      </c>
      <c r="M195">
        <v>0.01055896337980999</v>
      </c>
      <c r="N195">
        <v>0</v>
      </c>
      <c r="O195">
        <v>0.03730670085979049</v>
      </c>
      <c r="P195" t="s">
        <v>634</v>
      </c>
      <c r="Q195" t="s">
        <v>634</v>
      </c>
      <c r="R195">
        <v>0</v>
      </c>
      <c r="S195">
        <v>0.1666666666666667</v>
      </c>
      <c r="T195">
        <v>4.3</v>
      </c>
      <c r="U195">
        <v>0.9488372093023256</v>
      </c>
      <c r="V195">
        <v>-0.3671</v>
      </c>
      <c r="W195">
        <v>0.72</v>
      </c>
      <c r="X195">
        <v>0.12</v>
      </c>
      <c r="Y195">
        <v>0.068063</v>
      </c>
      <c r="Z195">
        <v>0.4991423670668954</v>
      </c>
      <c r="AA195">
        <v>0.2491909385113269</v>
      </c>
      <c r="AB195">
        <v>0.02988691437802908</v>
      </c>
      <c r="AC195">
        <v>0.7932148626817448</v>
      </c>
      <c r="AD195">
        <v>0.2891760904684976</v>
      </c>
    </row>
    <row r="196" spans="1:30">
      <c r="A196" s="1" t="s">
        <v>203</v>
      </c>
      <c r="B196">
        <f>HYPERLINK("https://www.suredividend.com/sure-analysis-LRCX","Lam Research Corp.")</f>
        <v>0</v>
      </c>
      <c r="C196">
        <v>297.41</v>
      </c>
      <c r="D196">
        <v>43147.94539</v>
      </c>
      <c r="E196" t="s">
        <v>666</v>
      </c>
      <c r="F196" t="s">
        <v>629</v>
      </c>
      <c r="G196" t="s">
        <v>673</v>
      </c>
      <c r="H196" t="s">
        <v>704</v>
      </c>
      <c r="I196" t="s">
        <v>902</v>
      </c>
      <c r="J196" t="s">
        <v>1308</v>
      </c>
      <c r="K196">
        <v>43772</v>
      </c>
      <c r="L196">
        <v>0.014962509666789</v>
      </c>
      <c r="M196">
        <v>-0.05427386639223553</v>
      </c>
      <c r="N196">
        <v>0.08</v>
      </c>
      <c r="O196">
        <v>0.03610384738809191</v>
      </c>
      <c r="P196" t="s">
        <v>634</v>
      </c>
      <c r="Q196" t="s">
        <v>405</v>
      </c>
      <c r="R196">
        <v>5</v>
      </c>
      <c r="S196">
        <v>0.2966666666666667</v>
      </c>
      <c r="T196">
        <v>225</v>
      </c>
      <c r="U196">
        <v>1.321822222222222</v>
      </c>
      <c r="V196">
        <v>14.1671</v>
      </c>
      <c r="W196">
        <v>15</v>
      </c>
      <c r="X196">
        <v>4.45</v>
      </c>
      <c r="Y196">
        <v>1.338864</v>
      </c>
      <c r="Z196">
        <v>0.1732418524871355</v>
      </c>
      <c r="AA196">
        <v>0.9951456310679612</v>
      </c>
      <c r="AB196">
        <v>0.8182552504038771</v>
      </c>
      <c r="AC196">
        <v>0.2568659127625202</v>
      </c>
      <c r="AD196">
        <v>0.2875605815831987</v>
      </c>
    </row>
    <row r="197" spans="1:30">
      <c r="A197" s="1" t="s">
        <v>204</v>
      </c>
      <c r="B197">
        <f>HYPERLINK("https://www.suredividend.com/sure-analysis-RTN","Raytheon Co.")</f>
        <v>0</v>
      </c>
      <c r="C197">
        <v>217.4</v>
      </c>
      <c r="D197">
        <v>60541.3346</v>
      </c>
      <c r="E197" t="s">
        <v>657</v>
      </c>
      <c r="F197" t="s">
        <v>629</v>
      </c>
      <c r="G197" t="s">
        <v>673</v>
      </c>
      <c r="H197" t="s">
        <v>703</v>
      </c>
      <c r="I197" t="s">
        <v>903</v>
      </c>
      <c r="J197" t="s">
        <v>1308</v>
      </c>
      <c r="K197">
        <v>43773</v>
      </c>
      <c r="L197">
        <v>0.016996320147194</v>
      </c>
      <c r="M197">
        <v>-0.04137086163826809</v>
      </c>
      <c r="N197">
        <v>0.06</v>
      </c>
      <c r="O197">
        <v>0.03597053226618474</v>
      </c>
      <c r="P197" t="s">
        <v>634</v>
      </c>
      <c r="Q197" t="s">
        <v>494</v>
      </c>
      <c r="R197">
        <v>15</v>
      </c>
      <c r="S197">
        <v>0.314468085106383</v>
      </c>
      <c r="T197">
        <v>176</v>
      </c>
      <c r="U197">
        <v>1.235227272727273</v>
      </c>
      <c r="V197">
        <v>11.6983</v>
      </c>
      <c r="W197">
        <v>11.75</v>
      </c>
      <c r="X197">
        <v>3.695</v>
      </c>
      <c r="Y197">
        <v>0.434794</v>
      </c>
      <c r="Z197">
        <v>0.2212692967409949</v>
      </c>
      <c r="AA197">
        <v>0.8106796116504854</v>
      </c>
      <c r="AB197">
        <v>0.6130856219709209</v>
      </c>
      <c r="AC197">
        <v>0.3651050080775444</v>
      </c>
      <c r="AD197">
        <v>0.2827140549273021</v>
      </c>
    </row>
    <row r="198" spans="1:30">
      <c r="A198" s="1" t="s">
        <v>205</v>
      </c>
      <c r="B198">
        <f>HYPERLINK("https://www.suredividend.com/sure-analysis-OMI","Owens &amp; Minor, Inc.")</f>
        <v>0</v>
      </c>
      <c r="C198">
        <v>4.98</v>
      </c>
      <c r="D198">
        <v>313.00296</v>
      </c>
      <c r="E198" t="s">
        <v>658</v>
      </c>
      <c r="F198" t="s">
        <v>629</v>
      </c>
      <c r="G198" t="s">
        <v>673</v>
      </c>
      <c r="H198" t="s">
        <v>703</v>
      </c>
      <c r="I198" t="s">
        <v>904</v>
      </c>
      <c r="J198" t="s">
        <v>1311</v>
      </c>
      <c r="K198">
        <v>43775</v>
      </c>
      <c r="L198">
        <v>0.01656626506024</v>
      </c>
      <c r="M198">
        <v>-0.02446093151914286</v>
      </c>
      <c r="N198">
        <v>0.06</v>
      </c>
      <c r="O198">
        <v>0.03582165570578066</v>
      </c>
      <c r="P198" t="s">
        <v>634</v>
      </c>
      <c r="Q198" t="s">
        <v>494</v>
      </c>
      <c r="R198">
        <v>0</v>
      </c>
      <c r="S198">
        <v>0.15</v>
      </c>
      <c r="T198">
        <v>4.4</v>
      </c>
      <c r="U198">
        <v>1.131818181818182</v>
      </c>
      <c r="V198">
        <v>-4.7538</v>
      </c>
      <c r="W198">
        <v>0.55</v>
      </c>
      <c r="X198">
        <v>0.0825</v>
      </c>
      <c r="Y198">
        <v>-0.175497</v>
      </c>
      <c r="Z198">
        <v>0.20926243567753</v>
      </c>
      <c r="AA198">
        <v>0.05825242718446602</v>
      </c>
      <c r="AB198">
        <v>0.6130856219709209</v>
      </c>
      <c r="AC198">
        <v>0.5218093699515347</v>
      </c>
      <c r="AD198">
        <v>0.2810985460420032</v>
      </c>
    </row>
    <row r="199" spans="1:30">
      <c r="A199" s="1" t="s">
        <v>206</v>
      </c>
      <c r="B199">
        <f>HYPERLINK("https://www.suredividend.com/sure-analysis-RE","Everest Re Group Ltd.")</f>
        <v>0</v>
      </c>
      <c r="C199">
        <v>277.28</v>
      </c>
      <c r="D199">
        <v>11308.03296</v>
      </c>
      <c r="E199" t="s">
        <v>663</v>
      </c>
      <c r="F199" t="s">
        <v>629</v>
      </c>
      <c r="G199" t="s">
        <v>684</v>
      </c>
      <c r="H199" t="s">
        <v>703</v>
      </c>
      <c r="I199" t="s">
        <v>905</v>
      </c>
      <c r="J199" t="s">
        <v>1309</v>
      </c>
      <c r="K199">
        <v>43767</v>
      </c>
      <c r="L199">
        <v>0.020196191575302</v>
      </c>
      <c r="M199">
        <v>-0.04349579016371241</v>
      </c>
      <c r="N199">
        <v>0.058</v>
      </c>
      <c r="O199">
        <v>0.03400669266275691</v>
      </c>
      <c r="P199" t="s">
        <v>634</v>
      </c>
      <c r="Q199" t="s">
        <v>494</v>
      </c>
      <c r="R199">
        <v>6</v>
      </c>
      <c r="S199">
        <v>0.2267206477732794</v>
      </c>
      <c r="T199">
        <v>222</v>
      </c>
      <c r="U199">
        <v>1.249009009009009</v>
      </c>
      <c r="V199">
        <v>10.2497</v>
      </c>
      <c r="W199">
        <v>24.7</v>
      </c>
      <c r="X199">
        <v>5.6</v>
      </c>
      <c r="Y199">
        <v>0.300136</v>
      </c>
      <c r="Z199">
        <v>0.3121783876500858</v>
      </c>
      <c r="AA199">
        <v>0.6294498381877023</v>
      </c>
      <c r="AB199">
        <v>0.5581583198707594</v>
      </c>
      <c r="AC199">
        <v>0.345718901453958</v>
      </c>
      <c r="AD199">
        <v>0.27140549273021</v>
      </c>
    </row>
    <row r="200" spans="1:30">
      <c r="A200" s="1" t="s">
        <v>207</v>
      </c>
      <c r="B200">
        <f>HYPERLINK("https://www.suredividend.com/sure-analysis-BBY","Best Buy Co., Inc.")</f>
        <v>0</v>
      </c>
      <c r="C200">
        <v>87.73</v>
      </c>
      <c r="D200">
        <v>22702.50621</v>
      </c>
      <c r="E200" t="s">
        <v>657</v>
      </c>
      <c r="F200" t="s">
        <v>629</v>
      </c>
      <c r="G200" t="s">
        <v>673</v>
      </c>
      <c r="H200" t="s">
        <v>703</v>
      </c>
      <c r="I200" t="s">
        <v>906</v>
      </c>
      <c r="J200" t="s">
        <v>1310</v>
      </c>
      <c r="K200">
        <v>43818</v>
      </c>
      <c r="L200">
        <v>0.02222728827083</v>
      </c>
      <c r="M200">
        <v>-0.04143394875771256</v>
      </c>
      <c r="N200">
        <v>0.05</v>
      </c>
      <c r="O200">
        <v>0.03319737486342311</v>
      </c>
      <c r="P200" t="s">
        <v>634</v>
      </c>
      <c r="Q200" t="s">
        <v>494</v>
      </c>
      <c r="R200">
        <v>16</v>
      </c>
      <c r="S200">
        <v>0.3277310924369748</v>
      </c>
      <c r="T200">
        <v>71</v>
      </c>
      <c r="U200">
        <v>1.235633802816901</v>
      </c>
      <c r="V200">
        <v>5.7269</v>
      </c>
      <c r="W200">
        <v>5.95</v>
      </c>
      <c r="X200">
        <v>1.95</v>
      </c>
      <c r="Y200">
        <v>0.795538</v>
      </c>
      <c r="Z200">
        <v>0.3413379073756432</v>
      </c>
      <c r="AA200">
        <v>0.9676375404530744</v>
      </c>
      <c r="AB200">
        <v>0.4588045234248789</v>
      </c>
      <c r="AC200">
        <v>0.3634894991922456</v>
      </c>
      <c r="AD200">
        <v>0.2633279483037157</v>
      </c>
    </row>
    <row r="201" spans="1:30">
      <c r="A201" s="1" t="s">
        <v>208</v>
      </c>
      <c r="B201">
        <f>HYPERLINK("https://www.suredividend.com/sure-analysis-SWKS","Skyworks Solutions, Inc.")</f>
        <v>0</v>
      </c>
      <c r="C201">
        <v>118.9</v>
      </c>
      <c r="D201">
        <v>20257.5875</v>
      </c>
      <c r="E201" t="s">
        <v>666</v>
      </c>
      <c r="F201" t="s">
        <v>629</v>
      </c>
      <c r="G201" t="s">
        <v>673</v>
      </c>
      <c r="H201" t="s">
        <v>704</v>
      </c>
      <c r="I201" t="s">
        <v>907</v>
      </c>
      <c r="J201" t="s">
        <v>1308</v>
      </c>
      <c r="K201">
        <v>43797</v>
      </c>
      <c r="L201">
        <v>0.013288477712363</v>
      </c>
      <c r="M201">
        <v>-0.06713352405048822</v>
      </c>
      <c r="N201">
        <v>0.09</v>
      </c>
      <c r="O201">
        <v>0.03311361484823139</v>
      </c>
      <c r="P201" t="s">
        <v>634</v>
      </c>
      <c r="Q201" t="s">
        <v>405</v>
      </c>
      <c r="R201">
        <v>4</v>
      </c>
      <c r="S201">
        <v>0.2633333333333334</v>
      </c>
      <c r="T201">
        <v>84</v>
      </c>
      <c r="U201">
        <v>1.415476190476191</v>
      </c>
      <c r="V201">
        <v>4.9096</v>
      </c>
      <c r="W201">
        <v>6</v>
      </c>
      <c r="X201">
        <v>1.58</v>
      </c>
      <c r="Y201">
        <v>0.8436969999999999</v>
      </c>
      <c r="Z201">
        <v>0.1320754716981132</v>
      </c>
      <c r="AA201">
        <v>0.9741100323624596</v>
      </c>
      <c r="AB201">
        <v>0.8877221324717286</v>
      </c>
      <c r="AC201">
        <v>0.1696284329563813</v>
      </c>
      <c r="AD201">
        <v>0.2600969305331179</v>
      </c>
    </row>
    <row r="202" spans="1:30">
      <c r="A202" s="1" t="s">
        <v>209</v>
      </c>
      <c r="B202">
        <f>HYPERLINK("https://www.suredividend.com/sure-analysis-IR","Ingersoll-Rand Plc")</f>
        <v>0</v>
      </c>
      <c r="C202">
        <v>135.01</v>
      </c>
      <c r="D202">
        <v>32243.35822</v>
      </c>
      <c r="E202" t="s">
        <v>658</v>
      </c>
      <c r="F202" t="s">
        <v>629</v>
      </c>
      <c r="G202" t="s">
        <v>676</v>
      </c>
      <c r="H202" t="s">
        <v>703</v>
      </c>
      <c r="I202" t="s">
        <v>908</v>
      </c>
      <c r="J202" t="s">
        <v>1316</v>
      </c>
      <c r="K202">
        <v>43767</v>
      </c>
      <c r="L202">
        <v>0.015702540552551</v>
      </c>
      <c r="M202">
        <v>-0.05453197287821709</v>
      </c>
      <c r="N202">
        <v>0.07000000000000001</v>
      </c>
      <c r="O202">
        <v>0.03129464723357001</v>
      </c>
      <c r="P202" t="s">
        <v>634</v>
      </c>
      <c r="Q202" t="s">
        <v>405</v>
      </c>
      <c r="R202">
        <v>8</v>
      </c>
      <c r="S202">
        <v>0.33125</v>
      </c>
      <c r="T202">
        <v>102</v>
      </c>
      <c r="U202">
        <v>1.323627450980392</v>
      </c>
      <c r="V202">
        <v>5.6465</v>
      </c>
      <c r="W202">
        <v>6.4</v>
      </c>
      <c r="X202">
        <v>2.12</v>
      </c>
      <c r="Y202">
        <v>0.517648</v>
      </c>
      <c r="Z202">
        <v>0.1818181818181818</v>
      </c>
      <c r="AA202">
        <v>0.8851132686084142</v>
      </c>
      <c r="AB202">
        <v>0.7245557350565428</v>
      </c>
      <c r="AC202">
        <v>0.2552504038772213</v>
      </c>
      <c r="AD202">
        <v>0.2552504038772213</v>
      </c>
    </row>
    <row r="203" spans="1:30">
      <c r="A203" s="1" t="s">
        <v>210</v>
      </c>
      <c r="B203">
        <f>HYPERLINK("https://www.suredividend.com/sure-analysis-MSFT","Microsoft Corp.")</f>
        <v>0</v>
      </c>
      <c r="C203">
        <v>157.41</v>
      </c>
      <c r="D203">
        <v>1200850.9821</v>
      </c>
      <c r="E203" t="s">
        <v>658</v>
      </c>
      <c r="F203" t="s">
        <v>629</v>
      </c>
      <c r="G203" t="s">
        <v>673</v>
      </c>
      <c r="H203" t="s">
        <v>704</v>
      </c>
      <c r="I203" t="s">
        <v>909</v>
      </c>
      <c r="J203" t="s">
        <v>1320</v>
      </c>
      <c r="K203">
        <v>43762</v>
      </c>
      <c r="L203">
        <v>0.012006861063464</v>
      </c>
      <c r="M203">
        <v>-0.06249302727739114</v>
      </c>
      <c r="N203">
        <v>0.08</v>
      </c>
      <c r="O203">
        <v>0.02837394512698976</v>
      </c>
      <c r="P203" t="s">
        <v>634</v>
      </c>
      <c r="Q203" t="s">
        <v>405</v>
      </c>
      <c r="R203">
        <v>17</v>
      </c>
      <c r="S203">
        <v>0.3634615384615384</v>
      </c>
      <c r="T203">
        <v>114</v>
      </c>
      <c r="U203">
        <v>1.380789473684211</v>
      </c>
      <c r="V203">
        <v>5.36</v>
      </c>
      <c r="W203">
        <v>5.2</v>
      </c>
      <c r="X203">
        <v>1.89</v>
      </c>
      <c r="Y203">
        <v>0.602464</v>
      </c>
      <c r="Z203">
        <v>0.104631217838765</v>
      </c>
      <c r="AA203">
        <v>0.9271844660194175</v>
      </c>
      <c r="AB203">
        <v>0.8182552504038771</v>
      </c>
      <c r="AC203">
        <v>0.1873990306946688</v>
      </c>
      <c r="AD203">
        <v>0.2455573505654281</v>
      </c>
    </row>
    <row r="204" spans="1:30">
      <c r="A204" s="1" t="s">
        <v>211</v>
      </c>
      <c r="B204">
        <f>HYPERLINK("https://www.suredividend.com/sure-analysis-KO","The Coca-Cola Co.")</f>
        <v>0</v>
      </c>
      <c r="C204">
        <v>54.97</v>
      </c>
      <c r="D204">
        <v>235518.4153</v>
      </c>
      <c r="E204" t="s">
        <v>661</v>
      </c>
      <c r="F204" t="s">
        <v>629</v>
      </c>
      <c r="G204" t="s">
        <v>673</v>
      </c>
      <c r="H204" t="s">
        <v>703</v>
      </c>
      <c r="I204" t="s">
        <v>910</v>
      </c>
      <c r="J204" t="s">
        <v>1322</v>
      </c>
      <c r="K204">
        <v>43758</v>
      </c>
      <c r="L204">
        <v>0.028924868109878</v>
      </c>
      <c r="M204">
        <v>-0.06160248104078991</v>
      </c>
      <c r="N204">
        <v>0.06</v>
      </c>
      <c r="O204">
        <v>0.02664228824757409</v>
      </c>
      <c r="P204" t="s">
        <v>634</v>
      </c>
      <c r="Q204" t="s">
        <v>634</v>
      </c>
      <c r="R204">
        <v>57</v>
      </c>
      <c r="S204">
        <v>0.757142857142857</v>
      </c>
      <c r="T204">
        <v>40</v>
      </c>
      <c r="U204">
        <v>1.37425</v>
      </c>
      <c r="V204">
        <v>1.8094</v>
      </c>
      <c r="W204">
        <v>2.1</v>
      </c>
      <c r="X204">
        <v>1.59</v>
      </c>
      <c r="Y204">
        <v>0.15556</v>
      </c>
      <c r="Z204">
        <v>0.4871355060034305</v>
      </c>
      <c r="AA204">
        <v>0.3754045307443366</v>
      </c>
      <c r="AB204">
        <v>0.6130856219709209</v>
      </c>
      <c r="AC204">
        <v>0.1970920840064621</v>
      </c>
      <c r="AD204">
        <v>0.2294022617124394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37.78</v>
      </c>
      <c r="D205">
        <v>565.79328</v>
      </c>
      <c r="E205" t="s">
        <v>661</v>
      </c>
      <c r="F205" t="s">
        <v>629</v>
      </c>
      <c r="G205" t="s">
        <v>673</v>
      </c>
      <c r="H205" t="s">
        <v>704</v>
      </c>
      <c r="I205" t="s">
        <v>911</v>
      </c>
      <c r="J205" t="s">
        <v>1309</v>
      </c>
      <c r="K205">
        <v>43772</v>
      </c>
      <c r="L205">
        <v>0.026726310217046</v>
      </c>
      <c r="M205">
        <v>-0.04506928997591031</v>
      </c>
      <c r="N205">
        <v>0.04</v>
      </c>
      <c r="O205">
        <v>0.02616986797025733</v>
      </c>
      <c r="P205" t="s">
        <v>634</v>
      </c>
      <c r="Q205" t="s">
        <v>634</v>
      </c>
      <c r="R205">
        <v>25</v>
      </c>
      <c r="S205">
        <v>0.403888</v>
      </c>
      <c r="T205">
        <v>30</v>
      </c>
      <c r="U205">
        <v>1.259333333333333</v>
      </c>
      <c r="V205">
        <v>2.4463</v>
      </c>
      <c r="W205">
        <v>2.5</v>
      </c>
      <c r="X205">
        <v>1.00972</v>
      </c>
      <c r="Y205">
        <v>0.221772</v>
      </c>
      <c r="Z205">
        <v>0.4459691252144082</v>
      </c>
      <c r="AA205">
        <v>0.5032362459546925</v>
      </c>
      <c r="AB205">
        <v>0.3182552504038772</v>
      </c>
      <c r="AC205">
        <v>0.3166397415185784</v>
      </c>
      <c r="AD205">
        <v>0.222940226171244</v>
      </c>
    </row>
    <row r="206" spans="1:30">
      <c r="A206" s="1" t="s">
        <v>213</v>
      </c>
      <c r="B206">
        <f>HYPERLINK("https://www.suredividend.com/sure-analysis-COST","Costco Wholesale Corp.")</f>
        <v>0</v>
      </c>
      <c r="C206">
        <v>294.83</v>
      </c>
      <c r="D206">
        <v>130249.40774</v>
      </c>
      <c r="E206" t="s">
        <v>661</v>
      </c>
      <c r="F206" t="s">
        <v>629</v>
      </c>
      <c r="G206" t="s">
        <v>673</v>
      </c>
      <c r="H206" t="s">
        <v>704</v>
      </c>
      <c r="I206" t="s">
        <v>912</v>
      </c>
      <c r="J206" t="s">
        <v>1310</v>
      </c>
      <c r="K206">
        <v>43818</v>
      </c>
      <c r="L206">
        <v>0.008547298443170001</v>
      </c>
      <c r="M206">
        <v>-0.06919413826588772</v>
      </c>
      <c r="N206">
        <v>0.09</v>
      </c>
      <c r="O206">
        <v>0.02615124578223327</v>
      </c>
      <c r="P206" t="s">
        <v>634</v>
      </c>
      <c r="Q206" t="s">
        <v>405</v>
      </c>
      <c r="R206">
        <v>15</v>
      </c>
      <c r="S206">
        <v>0.2930232558139535</v>
      </c>
      <c r="T206">
        <v>206</v>
      </c>
      <c r="U206">
        <v>1.43121359223301</v>
      </c>
      <c r="V206">
        <v>8.484999999999999</v>
      </c>
      <c r="W206">
        <v>8.6</v>
      </c>
      <c r="X206">
        <v>2.52</v>
      </c>
      <c r="Y206">
        <v>0.51568</v>
      </c>
      <c r="Z206">
        <v>0.04116638078902229</v>
      </c>
      <c r="AA206">
        <v>0.8802588996763754</v>
      </c>
      <c r="AB206">
        <v>0.8877221324717286</v>
      </c>
      <c r="AC206">
        <v>0.159935379644588</v>
      </c>
      <c r="AD206">
        <v>0.221324717285945</v>
      </c>
    </row>
    <row r="207" spans="1:30">
      <c r="A207" s="1" t="s">
        <v>214</v>
      </c>
      <c r="B207">
        <f>HYPERLINK("https://www.suredividend.com/sure-analysis-PEP","PepsiCo, Inc.")</f>
        <v>0</v>
      </c>
      <c r="C207">
        <v>137.92</v>
      </c>
      <c r="D207">
        <v>192319.7856</v>
      </c>
      <c r="E207" t="s">
        <v>660</v>
      </c>
      <c r="F207" t="s">
        <v>629</v>
      </c>
      <c r="G207" t="s">
        <v>673</v>
      </c>
      <c r="H207" t="s">
        <v>704</v>
      </c>
      <c r="I207" t="s">
        <v>913</v>
      </c>
      <c r="J207" t="s">
        <v>1322</v>
      </c>
      <c r="K207">
        <v>43741</v>
      </c>
      <c r="L207">
        <v>0.027298433874709</v>
      </c>
      <c r="M207">
        <v>-0.05489248129667346</v>
      </c>
      <c r="N207">
        <v>0.055</v>
      </c>
      <c r="O207">
        <v>0.02542151211183863</v>
      </c>
      <c r="P207" t="s">
        <v>634</v>
      </c>
      <c r="Q207" t="s">
        <v>634</v>
      </c>
      <c r="R207">
        <v>47</v>
      </c>
      <c r="S207">
        <v>0.6845454545454546</v>
      </c>
      <c r="T207">
        <v>104</v>
      </c>
      <c r="U207">
        <v>1.326153846153846</v>
      </c>
      <c r="V207">
        <v>8.818200000000001</v>
      </c>
      <c r="W207">
        <v>5.5</v>
      </c>
      <c r="X207">
        <v>3.765</v>
      </c>
      <c r="Y207">
        <v>0.260464</v>
      </c>
      <c r="Z207">
        <v>0.4579759862778731</v>
      </c>
      <c r="AA207">
        <v>0.5744336569579288</v>
      </c>
      <c r="AB207">
        <v>0.5452342487883683</v>
      </c>
      <c r="AC207">
        <v>0.247172859450727</v>
      </c>
      <c r="AD207">
        <v>0.2164781906300485</v>
      </c>
    </row>
    <row r="208" spans="1:30">
      <c r="A208" s="1" t="s">
        <v>215</v>
      </c>
      <c r="B208">
        <f>HYPERLINK("https://www.suredividend.com/sure-analysis-UNP","Union Pacific Corp.")</f>
        <v>0</v>
      </c>
      <c r="C208">
        <v>180.4</v>
      </c>
      <c r="D208">
        <v>125233.68</v>
      </c>
      <c r="E208" t="s">
        <v>660</v>
      </c>
      <c r="F208" t="s">
        <v>629</v>
      </c>
      <c r="G208" t="s">
        <v>673</v>
      </c>
      <c r="H208" t="s">
        <v>703</v>
      </c>
      <c r="I208" t="s">
        <v>914</v>
      </c>
      <c r="J208" t="s">
        <v>1313</v>
      </c>
      <c r="K208">
        <v>43757</v>
      </c>
      <c r="L208">
        <v>0.019567627494456</v>
      </c>
      <c r="M208">
        <v>-0.04540336120118726</v>
      </c>
      <c r="N208">
        <v>0.05</v>
      </c>
      <c r="O208">
        <v>0.02380994498572542</v>
      </c>
      <c r="P208" t="s">
        <v>634</v>
      </c>
      <c r="Q208" t="s">
        <v>405</v>
      </c>
      <c r="R208">
        <v>13</v>
      </c>
      <c r="S208">
        <v>0.3939732142857143</v>
      </c>
      <c r="T208">
        <v>143</v>
      </c>
      <c r="U208">
        <v>1.261538461538461</v>
      </c>
      <c r="V208">
        <v>8.5236</v>
      </c>
      <c r="W208">
        <v>8.960000000000001</v>
      </c>
      <c r="X208">
        <v>3.53</v>
      </c>
      <c r="Y208">
        <v>0.361099</v>
      </c>
      <c r="Z208">
        <v>0.2933104631217839</v>
      </c>
      <c r="AA208">
        <v>0.6990291262135923</v>
      </c>
      <c r="AB208">
        <v>0.4588045234248789</v>
      </c>
      <c r="AC208">
        <v>0.3150242326332795</v>
      </c>
      <c r="AD208">
        <v>0.2116316639741519</v>
      </c>
    </row>
    <row r="209" spans="1:30">
      <c r="A209" s="1" t="s">
        <v>216</v>
      </c>
      <c r="B209">
        <f>HYPERLINK("https://www.suredividend.com/sure-analysis-APTV","Aptiv Plc")</f>
        <v>0</v>
      </c>
      <c r="C209">
        <v>96.34999999999999</v>
      </c>
      <c r="D209">
        <v>24596.9988</v>
      </c>
      <c r="E209" t="s">
        <v>661</v>
      </c>
      <c r="F209" t="s">
        <v>629</v>
      </c>
      <c r="G209" t="s">
        <v>676</v>
      </c>
      <c r="H209" t="s">
        <v>703</v>
      </c>
      <c r="I209" t="s">
        <v>915</v>
      </c>
      <c r="J209" t="s">
        <v>1316</v>
      </c>
      <c r="K209">
        <v>43777</v>
      </c>
      <c r="L209">
        <v>0.009133367929423</v>
      </c>
      <c r="M209">
        <v>-0.05923462242676958</v>
      </c>
      <c r="N209">
        <v>0.07000000000000001</v>
      </c>
      <c r="O209">
        <v>0.02342654395406196</v>
      </c>
      <c r="P209" t="s">
        <v>634</v>
      </c>
      <c r="Q209" t="s">
        <v>405</v>
      </c>
      <c r="R209">
        <v>4</v>
      </c>
      <c r="S209">
        <v>0.1725490196078432</v>
      </c>
      <c r="T209">
        <v>71</v>
      </c>
      <c r="U209">
        <v>1.357042253521127</v>
      </c>
      <c r="V209">
        <v>3.8943</v>
      </c>
      <c r="W209">
        <v>5.1</v>
      </c>
      <c r="X209">
        <v>0.88</v>
      </c>
      <c r="Y209">
        <v>0.568197</v>
      </c>
      <c r="Z209">
        <v>0.05145797598627787</v>
      </c>
      <c r="AA209">
        <v>0.9158576051779935</v>
      </c>
      <c r="AB209">
        <v>0.7245557350565428</v>
      </c>
      <c r="AC209">
        <v>0.2116316639741519</v>
      </c>
      <c r="AD209">
        <v>0.2084006462035541</v>
      </c>
    </row>
    <row r="210" spans="1:30">
      <c r="A210" s="1" t="s">
        <v>217</v>
      </c>
      <c r="B210">
        <f>HYPERLINK("https://www.suredividend.com/sure-analysis-TSN","Tyson Foods, Inc.")</f>
        <v>0</v>
      </c>
      <c r="C210">
        <v>90.86</v>
      </c>
      <c r="D210">
        <v>26820.41824</v>
      </c>
      <c r="E210" t="s">
        <v>658</v>
      </c>
      <c r="F210" t="s">
        <v>629</v>
      </c>
      <c r="G210" t="s">
        <v>673</v>
      </c>
      <c r="H210" t="s">
        <v>703</v>
      </c>
      <c r="I210" t="s">
        <v>916</v>
      </c>
      <c r="J210" t="s">
        <v>1322</v>
      </c>
      <c r="K210">
        <v>43781</v>
      </c>
      <c r="L210">
        <v>0.017004182258419</v>
      </c>
      <c r="M210">
        <v>-0.04813113131675162</v>
      </c>
      <c r="N210">
        <v>0.05</v>
      </c>
      <c r="O210">
        <v>0.01990839433284841</v>
      </c>
      <c r="P210" t="s">
        <v>634</v>
      </c>
      <c r="Q210" t="s">
        <v>405</v>
      </c>
      <c r="R210">
        <v>7</v>
      </c>
      <c r="S210">
        <v>0.261864406779661</v>
      </c>
      <c r="T210">
        <v>71</v>
      </c>
      <c r="U210">
        <v>1.279718309859155</v>
      </c>
      <c r="V210">
        <v>5.6721</v>
      </c>
      <c r="W210">
        <v>5.9</v>
      </c>
      <c r="X210">
        <v>1.545</v>
      </c>
      <c r="Y210">
        <v>0.756428</v>
      </c>
      <c r="Z210">
        <v>0.2229845626072041</v>
      </c>
      <c r="AA210">
        <v>0.9627831715210355</v>
      </c>
      <c r="AB210">
        <v>0.4588045234248789</v>
      </c>
      <c r="AC210">
        <v>0.2972536348949919</v>
      </c>
      <c r="AD210">
        <v>0.1922455573505654</v>
      </c>
    </row>
    <row r="211" spans="1:30">
      <c r="A211" s="1" t="s">
        <v>218</v>
      </c>
      <c r="B211">
        <f>HYPERLINK("https://www.suredividend.com/sure-analysis-MCD","McDonald's Corp.")</f>
        <v>0</v>
      </c>
      <c r="C211">
        <v>197.14</v>
      </c>
      <c r="D211">
        <v>148464.75402</v>
      </c>
      <c r="E211" t="s">
        <v>658</v>
      </c>
      <c r="F211" t="s">
        <v>629</v>
      </c>
      <c r="G211" t="s">
        <v>673</v>
      </c>
      <c r="H211" t="s">
        <v>703</v>
      </c>
      <c r="I211" t="s">
        <v>917</v>
      </c>
      <c r="J211" t="s">
        <v>1324</v>
      </c>
      <c r="K211">
        <v>43760</v>
      </c>
      <c r="L211">
        <v>0.023536572993811</v>
      </c>
      <c r="M211">
        <v>-0.06351091824261157</v>
      </c>
      <c r="N211">
        <v>0.06</v>
      </c>
      <c r="O211">
        <v>0.01914331460644325</v>
      </c>
      <c r="P211" t="s">
        <v>634</v>
      </c>
      <c r="Q211" t="s">
        <v>634</v>
      </c>
      <c r="R211">
        <v>43</v>
      </c>
      <c r="S211">
        <v>0.5873417721518986</v>
      </c>
      <c r="T211">
        <v>142</v>
      </c>
      <c r="U211">
        <v>1.388309859154929</v>
      </c>
      <c r="V211">
        <v>7.6952</v>
      </c>
      <c r="W211">
        <v>7.9</v>
      </c>
      <c r="X211">
        <v>4.64</v>
      </c>
      <c r="Y211">
        <v>0.132013</v>
      </c>
      <c r="Z211">
        <v>0.3722126929674099</v>
      </c>
      <c r="AA211">
        <v>0.3236245954692556</v>
      </c>
      <c r="AB211">
        <v>0.6130856219709209</v>
      </c>
      <c r="AC211">
        <v>0.1825525040387722</v>
      </c>
      <c r="AD211">
        <v>0.1890145395799677</v>
      </c>
    </row>
    <row r="212" spans="1:30">
      <c r="A212" s="1" t="s">
        <v>219</v>
      </c>
      <c r="B212">
        <f>HYPERLINK("https://www.suredividend.com/sure-analysis-BAH","Booz Allen Hamilton Holding Corp.")</f>
        <v>0</v>
      </c>
      <c r="C212">
        <v>71.81</v>
      </c>
      <c r="D212">
        <v>10080.6878</v>
      </c>
      <c r="E212" t="s">
        <v>657</v>
      </c>
      <c r="F212" t="s">
        <v>629</v>
      </c>
      <c r="G212" t="s">
        <v>673</v>
      </c>
      <c r="H212" t="s">
        <v>703</v>
      </c>
      <c r="I212" t="s">
        <v>918</v>
      </c>
      <c r="J212" t="s">
        <v>1319</v>
      </c>
      <c r="K212">
        <v>43796</v>
      </c>
      <c r="L212">
        <v>0.012254560646149</v>
      </c>
      <c r="M212">
        <v>-0.07359214098095423</v>
      </c>
      <c r="N212">
        <v>0.08</v>
      </c>
      <c r="O212">
        <v>0.01807709217751863</v>
      </c>
      <c r="P212" t="s">
        <v>634</v>
      </c>
      <c r="Q212" t="s">
        <v>405</v>
      </c>
      <c r="R212">
        <v>8</v>
      </c>
      <c r="S212">
        <v>0.2885245901639344</v>
      </c>
      <c r="T212">
        <v>49</v>
      </c>
      <c r="U212">
        <v>1.465510204081633</v>
      </c>
      <c r="V212">
        <v>3.2095</v>
      </c>
      <c r="W212">
        <v>3.05</v>
      </c>
      <c r="X212">
        <v>0.88</v>
      </c>
      <c r="Y212">
        <v>0.603976</v>
      </c>
      <c r="Z212">
        <v>0.1080617495711835</v>
      </c>
      <c r="AA212">
        <v>0.93042071197411</v>
      </c>
      <c r="AB212">
        <v>0.8182552504038771</v>
      </c>
      <c r="AC212">
        <v>0.1437802907915993</v>
      </c>
      <c r="AD212">
        <v>0.1809369951534734</v>
      </c>
    </row>
    <row r="213" spans="1:30">
      <c r="A213" s="1" t="s">
        <v>220</v>
      </c>
      <c r="B213">
        <f>HYPERLINK("https://www.suredividend.com/sure-analysis-CLX","The Clorox Co.")</f>
        <v>0</v>
      </c>
      <c r="C213">
        <v>152.66</v>
      </c>
      <c r="D213">
        <v>19159.28798</v>
      </c>
      <c r="E213" t="s">
        <v>661</v>
      </c>
      <c r="F213" t="s">
        <v>629</v>
      </c>
      <c r="G213" t="s">
        <v>673</v>
      </c>
      <c r="H213" t="s">
        <v>703</v>
      </c>
      <c r="I213" t="s">
        <v>919</v>
      </c>
      <c r="J213" t="s">
        <v>1322</v>
      </c>
      <c r="K213">
        <v>43780</v>
      </c>
      <c r="L213">
        <v>0.026464037730905</v>
      </c>
      <c r="M213">
        <v>-0.04384805122496449</v>
      </c>
      <c r="N213">
        <v>0.03</v>
      </c>
      <c r="O213">
        <v>0.01620058594848128</v>
      </c>
      <c r="P213" t="s">
        <v>634</v>
      </c>
      <c r="Q213" t="s">
        <v>634</v>
      </c>
      <c r="R213">
        <v>42</v>
      </c>
      <c r="S213">
        <v>0.63125</v>
      </c>
      <c r="T213">
        <v>122</v>
      </c>
      <c r="U213">
        <v>1.251311475409836</v>
      </c>
      <c r="V213">
        <v>6.3935</v>
      </c>
      <c r="W213">
        <v>6.4</v>
      </c>
      <c r="X213">
        <v>4.04</v>
      </c>
      <c r="Y213">
        <v>-0.011973</v>
      </c>
      <c r="Z213">
        <v>0.4425385934819897</v>
      </c>
      <c r="AA213">
        <v>0.1553398058252427</v>
      </c>
      <c r="AB213">
        <v>0.2003231017770598</v>
      </c>
      <c r="AC213">
        <v>0.3408723747980614</v>
      </c>
      <c r="AD213">
        <v>0.1744749596122779</v>
      </c>
    </row>
    <row r="214" spans="1:30">
      <c r="A214" s="1" t="s">
        <v>221</v>
      </c>
      <c r="B214">
        <f>HYPERLINK("https://www.suredividend.com/sure-analysis-MAR","Marriott International, Inc.")</f>
        <v>0</v>
      </c>
      <c r="C214">
        <v>150.8</v>
      </c>
      <c r="D214">
        <v>49302.0996</v>
      </c>
      <c r="E214" t="s">
        <v>668</v>
      </c>
      <c r="F214" t="s">
        <v>629</v>
      </c>
      <c r="G214" t="s">
        <v>673</v>
      </c>
      <c r="H214" t="s">
        <v>704</v>
      </c>
      <c r="I214" t="s">
        <v>920</v>
      </c>
      <c r="J214" t="s">
        <v>1324</v>
      </c>
      <c r="K214">
        <v>43791</v>
      </c>
      <c r="L214">
        <v>0.011803713527851</v>
      </c>
      <c r="M214">
        <v>-0.05775609635743351</v>
      </c>
      <c r="N214">
        <v>0.064</v>
      </c>
      <c r="O214">
        <v>0.01547934408747187</v>
      </c>
      <c r="P214" t="s">
        <v>634</v>
      </c>
      <c r="Q214" t="s">
        <v>405</v>
      </c>
      <c r="R214">
        <v>9</v>
      </c>
      <c r="S214">
        <v>0.2942148760330578</v>
      </c>
      <c r="T214">
        <v>112</v>
      </c>
      <c r="U214">
        <v>1.346428571428572</v>
      </c>
      <c r="V214">
        <v>4.1891</v>
      </c>
      <c r="W214">
        <v>6.05</v>
      </c>
      <c r="X214">
        <v>1.78</v>
      </c>
      <c r="Y214">
        <v>0.465785</v>
      </c>
      <c r="Z214">
        <v>0.09777015437392796</v>
      </c>
      <c r="AA214">
        <v>0.8430420711974109</v>
      </c>
      <c r="AB214">
        <v>0.6752827140549273</v>
      </c>
      <c r="AC214">
        <v>0.2277867528271406</v>
      </c>
      <c r="AD214">
        <v>0.1712439418416801</v>
      </c>
    </row>
    <row r="215" spans="1:30">
      <c r="A215" s="1" t="s">
        <v>222</v>
      </c>
      <c r="B215">
        <f>HYPERLINK("https://www.suredividend.com/sure-analysis-HII","Huntington Ingalls Industries, Inc.")</f>
        <v>0</v>
      </c>
      <c r="C215">
        <v>254.11</v>
      </c>
      <c r="D215">
        <v>10393.200644</v>
      </c>
      <c r="E215" t="s">
        <v>657</v>
      </c>
      <c r="F215" t="s">
        <v>629</v>
      </c>
      <c r="G215" t="s">
        <v>673</v>
      </c>
      <c r="H215" t="s">
        <v>703</v>
      </c>
      <c r="I215" t="s">
        <v>921</v>
      </c>
      <c r="J215" t="s">
        <v>1308</v>
      </c>
      <c r="K215">
        <v>43759</v>
      </c>
      <c r="L215">
        <v>0.013537444413836</v>
      </c>
      <c r="M215">
        <v>-0.05060516862993492</v>
      </c>
      <c r="N215">
        <v>0.05</v>
      </c>
      <c r="O215">
        <v>0.01534121430788682</v>
      </c>
      <c r="P215" t="s">
        <v>634</v>
      </c>
      <c r="Q215" t="s">
        <v>405</v>
      </c>
      <c r="R215">
        <v>7</v>
      </c>
      <c r="S215">
        <v>0.2457142857142857</v>
      </c>
      <c r="T215">
        <v>196</v>
      </c>
      <c r="U215">
        <v>1.296479591836735</v>
      </c>
      <c r="V215">
        <v>14.6176</v>
      </c>
      <c r="W215">
        <v>14</v>
      </c>
      <c r="X215">
        <v>3.44</v>
      </c>
      <c r="Y215">
        <v>0.415182</v>
      </c>
      <c r="Z215">
        <v>0.1389365351629502</v>
      </c>
      <c r="AA215">
        <v>0.7880258899676376</v>
      </c>
      <c r="AB215">
        <v>0.4588045234248789</v>
      </c>
      <c r="AC215">
        <v>0.2827140549273021</v>
      </c>
      <c r="AD215">
        <v>0.1663974151857835</v>
      </c>
    </row>
    <row r="216" spans="1:30">
      <c r="A216" s="1" t="s">
        <v>223</v>
      </c>
      <c r="B216">
        <f>HYPERLINK("https://www.suredividend.com/sure-analysis-ED","Consolidated Edison, Inc.")</f>
        <v>0</v>
      </c>
      <c r="C216">
        <v>90.63</v>
      </c>
      <c r="D216">
        <v>30128.1309</v>
      </c>
      <c r="E216" t="s">
        <v>660</v>
      </c>
      <c r="F216" t="s">
        <v>629</v>
      </c>
      <c r="G216" t="s">
        <v>673</v>
      </c>
      <c r="H216" t="s">
        <v>703</v>
      </c>
      <c r="I216" t="s">
        <v>922</v>
      </c>
      <c r="J216" t="s">
        <v>1321</v>
      </c>
      <c r="K216">
        <v>43773</v>
      </c>
      <c r="L216">
        <v>0.032384420169921</v>
      </c>
      <c r="M216">
        <v>-0.05862954341735305</v>
      </c>
      <c r="N216">
        <v>0.035</v>
      </c>
      <c r="O216">
        <v>0.01161322328220171</v>
      </c>
      <c r="P216" t="s">
        <v>634</v>
      </c>
      <c r="Q216" t="s">
        <v>634</v>
      </c>
      <c r="R216">
        <v>45</v>
      </c>
      <c r="S216">
        <v>0.674712643678161</v>
      </c>
      <c r="T216">
        <v>67</v>
      </c>
      <c r="U216">
        <v>1.352686567164179</v>
      </c>
      <c r="V216">
        <v>4.2564</v>
      </c>
      <c r="W216">
        <v>4.35</v>
      </c>
      <c r="X216">
        <v>2.935</v>
      </c>
      <c r="Y216">
        <v>0.133442</v>
      </c>
      <c r="Z216">
        <v>0.5454545454545454</v>
      </c>
      <c r="AA216">
        <v>0.3284789644012945</v>
      </c>
      <c r="AB216">
        <v>0.2520193861066236</v>
      </c>
      <c r="AC216">
        <v>0.2180936995153474</v>
      </c>
      <c r="AD216">
        <v>0.1550888529886914</v>
      </c>
    </row>
    <row r="217" spans="1:30">
      <c r="A217" s="1" t="s">
        <v>224</v>
      </c>
      <c r="B217">
        <f>HYPERLINK("https://www.suredividend.com/sure-analysis-CAE","CAE, Inc.")</f>
        <v>0</v>
      </c>
      <c r="C217">
        <v>26.05</v>
      </c>
      <c r="D217">
        <v>6917.75985</v>
      </c>
      <c r="E217" t="s">
        <v>659</v>
      </c>
      <c r="F217" t="s">
        <v>629</v>
      </c>
      <c r="G217" t="s">
        <v>675</v>
      </c>
      <c r="H217" t="s">
        <v>703</v>
      </c>
      <c r="I217" t="s">
        <v>923</v>
      </c>
      <c r="J217" t="s">
        <v>1319</v>
      </c>
      <c r="K217">
        <v>43783</v>
      </c>
      <c r="L217">
        <v>0.011861109289394</v>
      </c>
      <c r="M217">
        <v>-0.07126255578898111</v>
      </c>
      <c r="N217">
        <v>0.07000000000000001</v>
      </c>
      <c r="O217">
        <v>0.009591611186466675</v>
      </c>
      <c r="P217" t="s">
        <v>634</v>
      </c>
      <c r="Q217" t="s">
        <v>405</v>
      </c>
      <c r="R217">
        <v>9</v>
      </c>
      <c r="S217">
        <v>0.2942684733225981</v>
      </c>
      <c r="T217">
        <v>18</v>
      </c>
      <c r="U217">
        <v>1.447222222222222</v>
      </c>
      <c r="V217">
        <v>0.9508000000000001</v>
      </c>
      <c r="W217">
        <v>1.05</v>
      </c>
      <c r="X217">
        <v>0.308981896988728</v>
      </c>
      <c r="Y217">
        <v>0.411924</v>
      </c>
      <c r="Z217">
        <v>0.1012006861063465</v>
      </c>
      <c r="AA217">
        <v>0.7815533980582525</v>
      </c>
      <c r="AB217">
        <v>0.7245557350565428</v>
      </c>
      <c r="AC217">
        <v>0.1534733441033926</v>
      </c>
      <c r="AD217">
        <v>0.1453957996768982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153.79</v>
      </c>
      <c r="D218">
        <v>6583.7499</v>
      </c>
      <c r="E218" t="s">
        <v>661</v>
      </c>
      <c r="F218" t="s">
        <v>629</v>
      </c>
      <c r="G218" t="s">
        <v>673</v>
      </c>
      <c r="H218" t="s">
        <v>704</v>
      </c>
      <c r="I218" t="s">
        <v>924</v>
      </c>
      <c r="J218" t="s">
        <v>1319</v>
      </c>
      <c r="K218">
        <v>43764</v>
      </c>
      <c r="L218">
        <v>0.007282658170232</v>
      </c>
      <c r="M218">
        <v>-0.05647383378205884</v>
      </c>
      <c r="N218">
        <v>0.06</v>
      </c>
      <c r="O218">
        <v>0.009039349480621794</v>
      </c>
      <c r="P218" t="s">
        <v>634</v>
      </c>
      <c r="Q218" t="s">
        <v>382</v>
      </c>
      <c r="R218">
        <v>9</v>
      </c>
      <c r="S218">
        <v>0.2574712643678161</v>
      </c>
      <c r="T218">
        <v>115</v>
      </c>
      <c r="U218">
        <v>1.337304347826087</v>
      </c>
      <c r="V218">
        <v>3.9055</v>
      </c>
      <c r="W218">
        <v>4.35</v>
      </c>
      <c r="X218">
        <v>1.12</v>
      </c>
      <c r="Y218">
        <v>0.440926</v>
      </c>
      <c r="Z218">
        <v>0.02401372212692968</v>
      </c>
      <c r="AA218">
        <v>0.813915857605178</v>
      </c>
      <c r="AB218">
        <v>0.6130856219709209</v>
      </c>
      <c r="AC218">
        <v>0.2390953150242326</v>
      </c>
      <c r="AD218">
        <v>0.1421647819063005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70.97</v>
      </c>
      <c r="D219">
        <v>3669.29094</v>
      </c>
      <c r="E219" t="s">
        <v>661</v>
      </c>
      <c r="F219" t="s">
        <v>629</v>
      </c>
      <c r="G219" t="s">
        <v>673</v>
      </c>
      <c r="H219" t="s">
        <v>703</v>
      </c>
      <c r="I219" t="s">
        <v>925</v>
      </c>
      <c r="J219" t="s">
        <v>1309</v>
      </c>
      <c r="K219">
        <v>43762</v>
      </c>
      <c r="L219">
        <v>0.021840214175003</v>
      </c>
      <c r="M219">
        <v>-0.08306910662759914</v>
      </c>
      <c r="N219">
        <v>0.07000000000000001</v>
      </c>
      <c r="O219">
        <v>0.008922500680760503</v>
      </c>
      <c r="P219" t="s">
        <v>634</v>
      </c>
      <c r="Q219" t="s">
        <v>494</v>
      </c>
      <c r="R219">
        <v>26</v>
      </c>
      <c r="S219">
        <v>0.4769230769230769</v>
      </c>
      <c r="T219">
        <v>46</v>
      </c>
      <c r="U219">
        <v>1.542826086956522</v>
      </c>
      <c r="V219">
        <v>3.2294</v>
      </c>
      <c r="W219">
        <v>3.25</v>
      </c>
      <c r="X219">
        <v>1.55</v>
      </c>
      <c r="Y219">
        <v>0.268001</v>
      </c>
      <c r="Z219">
        <v>0.3344768439108062</v>
      </c>
      <c r="AA219">
        <v>0.5841423948220065</v>
      </c>
      <c r="AB219">
        <v>0.7245557350565428</v>
      </c>
      <c r="AC219">
        <v>0.1066235864297254</v>
      </c>
      <c r="AD219">
        <v>0.1405492730210016</v>
      </c>
    </row>
    <row r="220" spans="1:30">
      <c r="A220" s="1" t="s">
        <v>227</v>
      </c>
      <c r="B220">
        <f>HYPERLINK("https://www.suredividend.com/sure-analysis-ACN","Accenture Plc")</f>
        <v>0</v>
      </c>
      <c r="C220">
        <v>211.1</v>
      </c>
      <c r="D220">
        <v>138681.3006</v>
      </c>
      <c r="E220" t="s">
        <v>663</v>
      </c>
      <c r="F220" t="s">
        <v>629</v>
      </c>
      <c r="G220" t="s">
        <v>676</v>
      </c>
      <c r="H220" t="s">
        <v>703</v>
      </c>
      <c r="I220" t="s">
        <v>926</v>
      </c>
      <c r="J220" t="s">
        <v>1320</v>
      </c>
      <c r="K220">
        <v>43743</v>
      </c>
      <c r="L220">
        <v>0.013832306963524</v>
      </c>
      <c r="M220">
        <v>-0.08017477916906701</v>
      </c>
      <c r="N220">
        <v>0.075</v>
      </c>
      <c r="O220">
        <v>0.007148847571808448</v>
      </c>
      <c r="P220" t="s">
        <v>634</v>
      </c>
      <c r="Q220" t="s">
        <v>382</v>
      </c>
      <c r="R220">
        <v>14</v>
      </c>
      <c r="S220">
        <v>0.3978201634877384</v>
      </c>
      <c r="T220">
        <v>139</v>
      </c>
      <c r="U220">
        <v>1.518705035971223</v>
      </c>
      <c r="V220">
        <v>7.629</v>
      </c>
      <c r="W220">
        <v>7.34</v>
      </c>
      <c r="X220">
        <v>2.92</v>
      </c>
      <c r="Y220">
        <v>0.5386300000000001</v>
      </c>
      <c r="Z220">
        <v>0.1440823327615781</v>
      </c>
      <c r="AA220">
        <v>0.8932038834951456</v>
      </c>
      <c r="AB220">
        <v>0.7649434571890146</v>
      </c>
      <c r="AC220">
        <v>0.1163166397415186</v>
      </c>
      <c r="AD220">
        <v>0.1340872374798061</v>
      </c>
    </row>
    <row r="221" spans="1:30">
      <c r="A221" s="1" t="s">
        <v>228</v>
      </c>
      <c r="B221">
        <f>HYPERLINK("https://www.suredividend.com/sure-analysis-MGRC","McGrath RentCorp")</f>
        <v>0</v>
      </c>
      <c r="C221">
        <v>77.59999999999999</v>
      </c>
      <c r="D221">
        <v>1884.516</v>
      </c>
      <c r="E221" t="s">
        <v>660</v>
      </c>
      <c r="F221" t="s">
        <v>629</v>
      </c>
      <c r="G221" t="s">
        <v>673</v>
      </c>
      <c r="H221" t="s">
        <v>704</v>
      </c>
      <c r="I221" t="s">
        <v>927</v>
      </c>
      <c r="J221" t="s">
        <v>1309</v>
      </c>
      <c r="K221">
        <v>43768</v>
      </c>
      <c r="L221">
        <v>0.018878865979381</v>
      </c>
      <c r="M221">
        <v>-0.04389410996421528</v>
      </c>
      <c r="N221">
        <v>0.03</v>
      </c>
      <c r="O221">
        <v>0.006313460393370995</v>
      </c>
      <c r="P221" t="s">
        <v>634</v>
      </c>
      <c r="Q221" t="s">
        <v>494</v>
      </c>
      <c r="R221">
        <v>27</v>
      </c>
      <c r="S221">
        <v>0.4150141643059491</v>
      </c>
      <c r="T221">
        <v>62</v>
      </c>
      <c r="U221">
        <v>1.251612903225806</v>
      </c>
      <c r="V221">
        <v>3.9071</v>
      </c>
      <c r="W221">
        <v>3.53</v>
      </c>
      <c r="X221">
        <v>1.465</v>
      </c>
      <c r="Y221">
        <v>0.544586</v>
      </c>
      <c r="Z221">
        <v>0.2761578044596912</v>
      </c>
      <c r="AA221">
        <v>0.8996763754045307</v>
      </c>
      <c r="AB221">
        <v>0.2003231017770598</v>
      </c>
      <c r="AC221">
        <v>0.3376413570274637</v>
      </c>
      <c r="AD221">
        <v>0.1308562197092084</v>
      </c>
    </row>
    <row r="222" spans="1:30">
      <c r="A222" s="1" t="s">
        <v>229</v>
      </c>
      <c r="B222">
        <f>HYPERLINK("https://www.suredividend.com/sure-analysis-VFC","VF Corp.")</f>
        <v>0</v>
      </c>
      <c r="C222">
        <v>97.23999999999999</v>
      </c>
      <c r="D222">
        <v>38835.12776</v>
      </c>
      <c r="E222" t="s">
        <v>658</v>
      </c>
      <c r="F222" t="s">
        <v>629</v>
      </c>
      <c r="G222" t="s">
        <v>673</v>
      </c>
      <c r="H222" t="s">
        <v>703</v>
      </c>
      <c r="I222" t="s">
        <v>928</v>
      </c>
      <c r="J222" t="s">
        <v>1322</v>
      </c>
      <c r="K222">
        <v>43766</v>
      </c>
      <c r="L222">
        <v>0.020156314273961</v>
      </c>
      <c r="M222">
        <v>-0.09205140683913726</v>
      </c>
      <c r="N222">
        <v>0.08</v>
      </c>
      <c r="O222">
        <v>0.004668369932768313</v>
      </c>
      <c r="P222" t="s">
        <v>634</v>
      </c>
      <c r="Q222" t="s">
        <v>634</v>
      </c>
      <c r="R222">
        <v>46</v>
      </c>
      <c r="S222">
        <v>0.5903614457831325</v>
      </c>
      <c r="T222">
        <v>60</v>
      </c>
      <c r="U222">
        <v>1.620666666666666</v>
      </c>
      <c r="V222">
        <v>3.2515</v>
      </c>
      <c r="W222">
        <v>3.32</v>
      </c>
      <c r="X222">
        <v>1.96</v>
      </c>
      <c r="Y222">
        <v>0.391727</v>
      </c>
      <c r="Z222">
        <v>0.3104631217838765</v>
      </c>
      <c r="AA222">
        <v>0.7443365695792881</v>
      </c>
      <c r="AB222">
        <v>0.8182552504038771</v>
      </c>
      <c r="AC222">
        <v>0.08723747980613894</v>
      </c>
      <c r="AD222">
        <v>0.1179321486268175</v>
      </c>
    </row>
    <row r="223" spans="1:30">
      <c r="A223" s="1" t="s">
        <v>230</v>
      </c>
      <c r="B223">
        <f>HYPERLINK("https://www.suredividend.com/sure-analysis-LIN","Linde Plc")</f>
        <v>0</v>
      </c>
      <c r="C223">
        <v>212.11</v>
      </c>
      <c r="D223">
        <v>113940.40136</v>
      </c>
      <c r="E223" t="s">
        <v>663</v>
      </c>
      <c r="F223" t="s">
        <v>629</v>
      </c>
      <c r="G223" t="s">
        <v>677</v>
      </c>
      <c r="H223" t="s">
        <v>703</v>
      </c>
      <c r="I223" t="s">
        <v>929</v>
      </c>
      <c r="J223" t="s">
        <v>1314</v>
      </c>
      <c r="K223">
        <v>43736</v>
      </c>
      <c r="L223">
        <v>0.016265145443402</v>
      </c>
      <c r="M223">
        <v>-0.07842307149726591</v>
      </c>
      <c r="N223">
        <v>0.06</v>
      </c>
      <c r="O223">
        <v>-0.003677138337943364</v>
      </c>
      <c r="P223" t="s">
        <v>634</v>
      </c>
      <c r="Q223" t="s">
        <v>405</v>
      </c>
      <c r="R223">
        <v>26</v>
      </c>
      <c r="S223">
        <v>0.487977369165488</v>
      </c>
      <c r="T223">
        <v>141</v>
      </c>
      <c r="U223">
        <v>1.504326241134752</v>
      </c>
      <c r="V223">
        <v>9.7805</v>
      </c>
      <c r="W223">
        <v>7.07</v>
      </c>
      <c r="X223">
        <v>3.45</v>
      </c>
      <c r="Y223">
        <v>0.385344</v>
      </c>
      <c r="Z223">
        <v>0.2058319039451115</v>
      </c>
      <c r="AA223">
        <v>0.7394822006472492</v>
      </c>
      <c r="AB223">
        <v>0.6130856219709209</v>
      </c>
      <c r="AC223">
        <v>0.1211631663974152</v>
      </c>
      <c r="AD223">
        <v>0.09854604200323103</v>
      </c>
    </row>
    <row r="224" spans="1:30">
      <c r="A224" s="1" t="s">
        <v>231</v>
      </c>
      <c r="B224">
        <f>HYPERLINK("https://www.suredividend.com/sure-analysis-AAPL","Apple, Inc.")</f>
        <v>0</v>
      </c>
      <c r="C224">
        <v>279.44</v>
      </c>
      <c r="D224">
        <v>1241627.3688</v>
      </c>
      <c r="E224" t="s">
        <v>658</v>
      </c>
      <c r="F224" t="s">
        <v>629</v>
      </c>
      <c r="G224" t="s">
        <v>673</v>
      </c>
      <c r="H224" t="s">
        <v>704</v>
      </c>
      <c r="I224" t="s">
        <v>930</v>
      </c>
      <c r="J224" t="s">
        <v>1308</v>
      </c>
      <c r="K224">
        <v>43769</v>
      </c>
      <c r="L224">
        <v>0.010735757228743</v>
      </c>
      <c r="M224">
        <v>-0.07620872667991019</v>
      </c>
      <c r="N224">
        <v>0.06</v>
      </c>
      <c r="O224">
        <v>-0.006292186233321728</v>
      </c>
      <c r="P224" t="s">
        <v>634</v>
      </c>
      <c r="Q224" t="s">
        <v>405</v>
      </c>
      <c r="R224">
        <v>8</v>
      </c>
      <c r="S224">
        <v>0.24</v>
      </c>
      <c r="T224">
        <v>188</v>
      </c>
      <c r="U224">
        <v>1.486382978723404</v>
      </c>
      <c r="V224">
        <v>11.9342</v>
      </c>
      <c r="W224">
        <v>12.5</v>
      </c>
      <c r="X224">
        <v>3</v>
      </c>
      <c r="Y224">
        <v>0.853911</v>
      </c>
      <c r="Z224">
        <v>0.07890222984562607</v>
      </c>
      <c r="AA224">
        <v>0.9773462783171522</v>
      </c>
      <c r="AB224">
        <v>0.6130856219709209</v>
      </c>
      <c r="AC224">
        <v>0.135702746365105</v>
      </c>
      <c r="AD224">
        <v>0.0888529886914378</v>
      </c>
    </row>
    <row r="225" spans="1:30">
      <c r="A225" s="1" t="s">
        <v>232</v>
      </c>
      <c r="B225">
        <f>HYPERLINK("https://www.suredividend.com/sure-analysis-NKE","NIKE, Inc.")</f>
        <v>0</v>
      </c>
      <c r="C225">
        <v>99.95999999999999</v>
      </c>
      <c r="D225">
        <v>156040.5588</v>
      </c>
      <c r="E225" t="s">
        <v>658</v>
      </c>
      <c r="F225" t="s">
        <v>629</v>
      </c>
      <c r="G225" t="s">
        <v>673</v>
      </c>
      <c r="H225" t="s">
        <v>703</v>
      </c>
      <c r="I225" t="s">
        <v>931</v>
      </c>
      <c r="J225" t="s">
        <v>1322</v>
      </c>
      <c r="K225">
        <v>43735</v>
      </c>
      <c r="L225">
        <v>0.009053621448579</v>
      </c>
      <c r="M225">
        <v>-0.1000774117495407</v>
      </c>
      <c r="N225">
        <v>0.09</v>
      </c>
      <c r="O225">
        <v>-0.006354145458913329</v>
      </c>
      <c r="P225" t="s">
        <v>634</v>
      </c>
      <c r="Q225" t="s">
        <v>405</v>
      </c>
      <c r="R225">
        <v>17</v>
      </c>
      <c r="S225">
        <v>0.3351851851851852</v>
      </c>
      <c r="T225">
        <v>59</v>
      </c>
      <c r="U225">
        <v>1.694237288135593</v>
      </c>
      <c r="V225">
        <v>2.9193</v>
      </c>
      <c r="W225">
        <v>2.7</v>
      </c>
      <c r="X225">
        <v>0.905</v>
      </c>
      <c r="Y225">
        <v>0.381235</v>
      </c>
      <c r="Z225">
        <v>0.04974271012006861</v>
      </c>
      <c r="AA225">
        <v>0.7346278317152104</v>
      </c>
      <c r="AB225">
        <v>0.8877221324717286</v>
      </c>
      <c r="AC225">
        <v>0.06623586429725363</v>
      </c>
      <c r="AD225">
        <v>0.08723747980613894</v>
      </c>
    </row>
    <row r="226" spans="1:30">
      <c r="A226" s="1" t="s">
        <v>233</v>
      </c>
      <c r="B226">
        <f>HYPERLINK("https://www.suredividend.com/sure-analysis-WABC","Westamerica Bancorporation")</f>
        <v>0</v>
      </c>
      <c r="C226">
        <v>68.34</v>
      </c>
      <c r="D226">
        <v>1848.9387</v>
      </c>
      <c r="E226" t="s">
        <v>660</v>
      </c>
      <c r="F226" t="s">
        <v>629</v>
      </c>
      <c r="G226" t="s">
        <v>673</v>
      </c>
      <c r="H226" t="s">
        <v>704</v>
      </c>
      <c r="I226" t="s">
        <v>932</v>
      </c>
      <c r="J226" t="s">
        <v>1309</v>
      </c>
      <c r="K226">
        <v>43756</v>
      </c>
      <c r="L226">
        <v>0.023705004389815</v>
      </c>
      <c r="M226">
        <v>-0.05318381363284308</v>
      </c>
      <c r="N226">
        <v>0.02</v>
      </c>
      <c r="O226">
        <v>-0.006596565381158603</v>
      </c>
      <c r="P226" t="s">
        <v>634</v>
      </c>
      <c r="Q226" t="s">
        <v>494</v>
      </c>
      <c r="R226">
        <v>28</v>
      </c>
      <c r="S226">
        <v>0.5586206896551724</v>
      </c>
      <c r="T226">
        <v>52</v>
      </c>
      <c r="U226">
        <v>1.314230769230769</v>
      </c>
      <c r="V226">
        <v>2.9259</v>
      </c>
      <c r="W226">
        <v>2.9</v>
      </c>
      <c r="X226">
        <v>1.62</v>
      </c>
      <c r="Y226">
        <v>0.283139</v>
      </c>
      <c r="Z226">
        <v>0.3773584905660378</v>
      </c>
      <c r="AA226">
        <v>0.6084142394822006</v>
      </c>
      <c r="AB226">
        <v>0.1219709208400646</v>
      </c>
      <c r="AC226">
        <v>0.2665589660743134</v>
      </c>
      <c r="AD226">
        <v>0.08562197092084006</v>
      </c>
    </row>
    <row r="227" spans="1:30">
      <c r="A227" s="1" t="s">
        <v>234</v>
      </c>
      <c r="B227">
        <f>HYPERLINK("https://www.suredividend.com/sure-analysis-APD","Air Products &amp; Chemicals, Inc.")</f>
        <v>0</v>
      </c>
      <c r="C227">
        <v>235</v>
      </c>
      <c r="D227">
        <v>51814.21</v>
      </c>
      <c r="E227" t="s">
        <v>663</v>
      </c>
      <c r="F227" t="s">
        <v>629</v>
      </c>
      <c r="G227" t="s">
        <v>673</v>
      </c>
      <c r="H227" t="s">
        <v>703</v>
      </c>
      <c r="I227" t="s">
        <v>933</v>
      </c>
      <c r="J227" t="s">
        <v>1314</v>
      </c>
      <c r="K227">
        <v>43784</v>
      </c>
      <c r="L227">
        <v>0.019489361702127</v>
      </c>
      <c r="M227">
        <v>-0.08832767668106511</v>
      </c>
      <c r="N227">
        <v>0.06</v>
      </c>
      <c r="O227">
        <v>-0.007312961558278319</v>
      </c>
      <c r="P227" t="s">
        <v>634</v>
      </c>
      <c r="Q227" t="s">
        <v>494</v>
      </c>
      <c r="R227">
        <v>37</v>
      </c>
      <c r="S227">
        <v>0.5565006075334143</v>
      </c>
      <c r="T227">
        <v>148</v>
      </c>
      <c r="U227">
        <v>1.587837837837838</v>
      </c>
      <c r="V227">
        <v>7.98</v>
      </c>
      <c r="W227">
        <v>8.23</v>
      </c>
      <c r="X227">
        <v>4.58</v>
      </c>
      <c r="Y227">
        <v>0.514273</v>
      </c>
      <c r="Z227">
        <v>0.2898799313893654</v>
      </c>
      <c r="AA227">
        <v>0.8770226537216829</v>
      </c>
      <c r="AB227">
        <v>0.6130856219709209</v>
      </c>
      <c r="AC227">
        <v>0.09531502423263329</v>
      </c>
      <c r="AD227">
        <v>0.0840064620355412</v>
      </c>
    </row>
    <row r="228" spans="1:30">
      <c r="A228" s="1" t="s">
        <v>235</v>
      </c>
      <c r="B228">
        <f>HYPERLINK("https://www.suredividend.com/sure-analysis-JKHY","Jack Henry &amp; Associates, Inc.")</f>
        <v>0</v>
      </c>
      <c r="C228">
        <v>146.82</v>
      </c>
      <c r="D228">
        <v>11295.89034</v>
      </c>
      <c r="E228" t="s">
        <v>663</v>
      </c>
      <c r="F228" t="s">
        <v>629</v>
      </c>
      <c r="G228" t="s">
        <v>673</v>
      </c>
      <c r="H228" t="s">
        <v>704</v>
      </c>
      <c r="I228" t="s">
        <v>934</v>
      </c>
      <c r="J228" t="s">
        <v>1320</v>
      </c>
      <c r="K228">
        <v>43797</v>
      </c>
      <c r="L228">
        <v>0.010693366026426</v>
      </c>
      <c r="M228">
        <v>-0.1121492623958843</v>
      </c>
      <c r="N228">
        <v>0.097</v>
      </c>
      <c r="O228">
        <v>-0.00981769748723893</v>
      </c>
      <c r="P228" t="s">
        <v>634</v>
      </c>
      <c r="Q228" t="s">
        <v>405</v>
      </c>
      <c r="R228">
        <v>29</v>
      </c>
      <c r="S228">
        <v>0.4277929155313352</v>
      </c>
      <c r="T228">
        <v>81</v>
      </c>
      <c r="U228">
        <v>1.812592592592593</v>
      </c>
      <c r="V228">
        <v>3.6021</v>
      </c>
      <c r="W228">
        <v>3.67</v>
      </c>
      <c r="X228">
        <v>1.57</v>
      </c>
      <c r="Y228">
        <v>0.188345</v>
      </c>
      <c r="Z228">
        <v>0.07718696397941681</v>
      </c>
      <c r="AA228">
        <v>0.43042071197411</v>
      </c>
      <c r="AB228">
        <v>0.9119547657512116</v>
      </c>
      <c r="AC228">
        <v>0.05331179321486269</v>
      </c>
      <c r="AD228">
        <v>0.07592891760904685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112.26</v>
      </c>
      <c r="D229">
        <v>13397.55744</v>
      </c>
      <c r="E229" t="s">
        <v>661</v>
      </c>
      <c r="F229" t="s">
        <v>629</v>
      </c>
      <c r="G229" t="s">
        <v>673</v>
      </c>
      <c r="H229" t="s">
        <v>703</v>
      </c>
      <c r="I229" t="s">
        <v>935</v>
      </c>
      <c r="J229" t="s">
        <v>1321</v>
      </c>
      <c r="K229">
        <v>43744</v>
      </c>
      <c r="L229">
        <v>0.018706574024585</v>
      </c>
      <c r="M229">
        <v>-0.09275452543735907</v>
      </c>
      <c r="N229">
        <v>0.06</v>
      </c>
      <c r="O229">
        <v>-0.01365605330410224</v>
      </c>
      <c r="P229" t="s">
        <v>634</v>
      </c>
      <c r="Q229" t="s">
        <v>494</v>
      </c>
      <c r="R229">
        <v>35</v>
      </c>
      <c r="S229">
        <v>0.4883720930232558</v>
      </c>
      <c r="T229">
        <v>69</v>
      </c>
      <c r="U229">
        <v>1.62695652173913</v>
      </c>
      <c r="V229">
        <v>4.3803</v>
      </c>
      <c r="W229">
        <v>4.3</v>
      </c>
      <c r="X229">
        <v>2.1</v>
      </c>
      <c r="Y229">
        <v>0.18844</v>
      </c>
      <c r="Z229">
        <v>0.2710120068610635</v>
      </c>
      <c r="AA229">
        <v>0.4320388349514563</v>
      </c>
      <c r="AB229">
        <v>0.6130856219709209</v>
      </c>
      <c r="AC229">
        <v>0.08077544426494346</v>
      </c>
      <c r="AD229">
        <v>0.07108239095315025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238.14</v>
      </c>
      <c r="D230">
        <v>44960.832</v>
      </c>
      <c r="E230" t="s">
        <v>661</v>
      </c>
      <c r="F230" t="s">
        <v>629</v>
      </c>
      <c r="G230" t="s">
        <v>673</v>
      </c>
      <c r="H230" t="s">
        <v>703</v>
      </c>
      <c r="I230" t="s">
        <v>936</v>
      </c>
      <c r="J230" t="s">
        <v>1319</v>
      </c>
      <c r="K230">
        <v>43775</v>
      </c>
      <c r="L230">
        <v>0.008146468463928001</v>
      </c>
      <c r="M230">
        <v>-0.09074463298759483</v>
      </c>
      <c r="N230">
        <v>0.07000000000000001</v>
      </c>
      <c r="O230">
        <v>-0.0143988629561258</v>
      </c>
      <c r="P230" t="s">
        <v>634</v>
      </c>
      <c r="Q230" t="s">
        <v>405</v>
      </c>
      <c r="R230">
        <v>10</v>
      </c>
      <c r="S230">
        <v>0.2365853658536586</v>
      </c>
      <c r="T230">
        <v>148</v>
      </c>
      <c r="U230">
        <v>1.609054054054054</v>
      </c>
      <c r="V230">
        <v>6.9174</v>
      </c>
      <c r="W230">
        <v>8.199999999999999</v>
      </c>
      <c r="X230">
        <v>1.94</v>
      </c>
      <c r="Y230">
        <v>0.796199</v>
      </c>
      <c r="Z230">
        <v>0.03773584905660377</v>
      </c>
      <c r="AA230">
        <v>0.9692556634304208</v>
      </c>
      <c r="AB230">
        <v>0.7245557350565428</v>
      </c>
      <c r="AC230">
        <v>0.0888529886914378</v>
      </c>
      <c r="AD230">
        <v>0.06785137318255251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167.01</v>
      </c>
      <c r="D231">
        <v>29640.170896</v>
      </c>
      <c r="E231" t="s">
        <v>660</v>
      </c>
      <c r="F231" t="s">
        <v>629</v>
      </c>
      <c r="G231" t="s">
        <v>685</v>
      </c>
      <c r="H231" t="s">
        <v>703</v>
      </c>
      <c r="I231" t="s">
        <v>937</v>
      </c>
      <c r="J231" t="s">
        <v>1317</v>
      </c>
      <c r="K231">
        <v>43773</v>
      </c>
      <c r="L231">
        <v>0.006167295371534</v>
      </c>
      <c r="M231">
        <v>-0.09213985768038302</v>
      </c>
      <c r="N231">
        <v>0.075</v>
      </c>
      <c r="O231">
        <v>-0.01671486421153823</v>
      </c>
      <c r="P231" t="s">
        <v>634</v>
      </c>
      <c r="Q231" t="s">
        <v>382</v>
      </c>
      <c r="R231">
        <v>2</v>
      </c>
      <c r="S231">
        <v>0.251219512195122</v>
      </c>
      <c r="T231">
        <v>103</v>
      </c>
      <c r="U231">
        <v>1.621456310679612</v>
      </c>
      <c r="V231">
        <v>4.3218</v>
      </c>
      <c r="W231">
        <v>4.1</v>
      </c>
      <c r="X231">
        <v>1.03</v>
      </c>
      <c r="Y231">
        <v>0.701406</v>
      </c>
      <c r="Z231">
        <v>0.01715265866209262</v>
      </c>
      <c r="AA231">
        <v>0.9530744336569579</v>
      </c>
      <c r="AB231">
        <v>0.7649434571890146</v>
      </c>
      <c r="AC231">
        <v>0.08562197092084006</v>
      </c>
      <c r="AD231">
        <v>0.06138933764135703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73.86</v>
      </c>
      <c r="D232">
        <v>2248.00296</v>
      </c>
      <c r="E232" t="s">
        <v>667</v>
      </c>
      <c r="F232" t="s">
        <v>629</v>
      </c>
      <c r="G232" t="s">
        <v>673</v>
      </c>
      <c r="H232" t="s">
        <v>703</v>
      </c>
      <c r="I232" t="s">
        <v>938</v>
      </c>
      <c r="J232" t="s">
        <v>1321</v>
      </c>
      <c r="K232">
        <v>43733</v>
      </c>
      <c r="L232">
        <v>0.025724343352288</v>
      </c>
      <c r="M232">
        <v>-0.08643866406995637</v>
      </c>
      <c r="N232">
        <v>0.029</v>
      </c>
      <c r="O232">
        <v>-0.02669489072659792</v>
      </c>
      <c r="P232" t="s">
        <v>634</v>
      </c>
      <c r="Q232" t="s">
        <v>634</v>
      </c>
      <c r="R232">
        <v>63</v>
      </c>
      <c r="S232">
        <v>0.8085106382978723</v>
      </c>
      <c r="T232">
        <v>47</v>
      </c>
      <c r="U232">
        <v>1.571489361702128</v>
      </c>
      <c r="V232">
        <v>2.1392</v>
      </c>
      <c r="W232">
        <v>2.35</v>
      </c>
      <c r="X232">
        <v>1.9</v>
      </c>
      <c r="Y232">
        <v>0.170709</v>
      </c>
      <c r="Z232">
        <v>0.4253859348198971</v>
      </c>
      <c r="AA232">
        <v>0.3964401294498382</v>
      </c>
      <c r="AB232">
        <v>0.1663974151857835</v>
      </c>
      <c r="AC232">
        <v>0.09854604200323103</v>
      </c>
      <c r="AD232">
        <v>0.04684975767366721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79.81999999999999</v>
      </c>
      <c r="D233">
        <v>2767.19976</v>
      </c>
      <c r="E233" t="s">
        <v>667</v>
      </c>
      <c r="F233" t="s">
        <v>629</v>
      </c>
      <c r="G233" t="s">
        <v>673</v>
      </c>
      <c r="H233" t="s">
        <v>704</v>
      </c>
      <c r="I233" t="s">
        <v>939</v>
      </c>
      <c r="J233" t="s">
        <v>1321</v>
      </c>
      <c r="K233">
        <v>43699</v>
      </c>
      <c r="L233">
        <v>0.017100977198697</v>
      </c>
      <c r="M233">
        <v>-0.1082971431034301</v>
      </c>
      <c r="N233">
        <v>0.028</v>
      </c>
      <c r="O233">
        <v>-0.05792067610139995</v>
      </c>
      <c r="P233" t="s">
        <v>634</v>
      </c>
      <c r="Q233" t="s">
        <v>494</v>
      </c>
      <c r="R233">
        <v>43</v>
      </c>
      <c r="S233">
        <v>0.546</v>
      </c>
      <c r="T233">
        <v>45</v>
      </c>
      <c r="U233">
        <v>1.773777777777778</v>
      </c>
      <c r="V233">
        <v>2.4972</v>
      </c>
      <c r="W233">
        <v>2.5</v>
      </c>
      <c r="X233">
        <v>1.365</v>
      </c>
      <c r="Y233">
        <v>0.201204</v>
      </c>
      <c r="Z233">
        <v>0.2246998284734134</v>
      </c>
      <c r="AA233">
        <v>0.4530744336569579</v>
      </c>
      <c r="AB233">
        <v>0.1615508885298869</v>
      </c>
      <c r="AC233">
        <v>0.05815831987075928</v>
      </c>
      <c r="AD233">
        <v>0.02423263327948304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14.9</v>
      </c>
      <c r="D234">
        <v>1384.1057</v>
      </c>
      <c r="E234" t="s">
        <v>665</v>
      </c>
      <c r="F234" t="s">
        <v>630</v>
      </c>
      <c r="G234" t="s">
        <v>673</v>
      </c>
      <c r="H234" t="s">
        <v>703</v>
      </c>
      <c r="I234" t="s">
        <v>940</v>
      </c>
      <c r="J234" t="s">
        <v>1309</v>
      </c>
      <c r="K234">
        <v>43781</v>
      </c>
      <c r="L234">
        <v>0.09463087248322101</v>
      </c>
      <c r="M234">
        <v>0.1177827828386631</v>
      </c>
      <c r="N234">
        <v>0.04</v>
      </c>
      <c r="O234">
        <v>0.2175349682725718</v>
      </c>
      <c r="P234" t="s">
        <v>494</v>
      </c>
      <c r="Q234" t="s">
        <v>633</v>
      </c>
      <c r="R234">
        <v>26</v>
      </c>
      <c r="S234">
        <v>0.6266666666666667</v>
      </c>
      <c r="T234">
        <v>26</v>
      </c>
      <c r="U234">
        <v>0.573076923076923</v>
      </c>
      <c r="V234">
        <v>1.267</v>
      </c>
      <c r="W234">
        <v>2.25</v>
      </c>
      <c r="X234">
        <v>1.41</v>
      </c>
      <c r="Y234">
        <v>-0.272461</v>
      </c>
      <c r="Z234">
        <v>0.9433962264150944</v>
      </c>
      <c r="AA234">
        <v>0.03883495145631068</v>
      </c>
      <c r="AB234">
        <v>0.3182552504038772</v>
      </c>
      <c r="AC234">
        <v>0.9935379644588045</v>
      </c>
      <c r="AD234">
        <v>0.9935379644588045</v>
      </c>
    </row>
    <row r="235" spans="1:30">
      <c r="A235" s="1" t="s">
        <v>242</v>
      </c>
      <c r="B235">
        <f>HYPERLINK("https://www.suredividend.com/sure-analysis-GEL","Genesis Energy LP")</f>
        <v>0</v>
      </c>
      <c r="C235">
        <v>20.27</v>
      </c>
      <c r="D235">
        <v>2484.676269</v>
      </c>
      <c r="E235" t="s">
        <v>659</v>
      </c>
      <c r="F235" t="s">
        <v>631</v>
      </c>
      <c r="G235" t="s">
        <v>673</v>
      </c>
      <c r="H235" t="s">
        <v>703</v>
      </c>
      <c r="I235" t="s">
        <v>941</v>
      </c>
      <c r="J235" t="s">
        <v>1325</v>
      </c>
      <c r="K235">
        <v>43796</v>
      </c>
      <c r="L235">
        <v>0.10804144055254</v>
      </c>
      <c r="M235">
        <v>0.06674559097805544</v>
      </c>
      <c r="N235">
        <v>0.076</v>
      </c>
      <c r="O235">
        <v>0.2072386232930441</v>
      </c>
      <c r="P235" t="s">
        <v>494</v>
      </c>
      <c r="Q235" t="s">
        <v>633</v>
      </c>
      <c r="R235">
        <v>0</v>
      </c>
      <c r="S235">
        <v>0.3910714285714286</v>
      </c>
      <c r="T235">
        <v>28</v>
      </c>
      <c r="U235">
        <v>0.7239285714285714</v>
      </c>
      <c r="V235">
        <v>-0.2036</v>
      </c>
      <c r="W235">
        <v>5.6</v>
      </c>
      <c r="X235">
        <v>2.19</v>
      </c>
      <c r="Y235">
        <v>0.066842</v>
      </c>
      <c r="Z235">
        <v>0.9605488850771871</v>
      </c>
      <c r="AA235">
        <v>0.244336569579288</v>
      </c>
      <c r="AB235">
        <v>0.7722132471728593</v>
      </c>
      <c r="AC235">
        <v>0.9838449111470113</v>
      </c>
      <c r="AD235">
        <v>0.988691437802908</v>
      </c>
    </row>
    <row r="236" spans="1:30">
      <c r="A236" s="1" t="s">
        <v>243</v>
      </c>
      <c r="B236">
        <f>HYPERLINK("https://www.suredividend.com/sure-analysis-ET","Energy Transfer LP")</f>
        <v>0</v>
      </c>
      <c r="C236">
        <v>13.07</v>
      </c>
      <c r="D236">
        <v>35087.722</v>
      </c>
      <c r="E236" t="s">
        <v>667</v>
      </c>
      <c r="F236" t="s">
        <v>631</v>
      </c>
      <c r="G236" t="s">
        <v>673</v>
      </c>
      <c r="H236" t="s">
        <v>703</v>
      </c>
      <c r="I236" t="s">
        <v>942</v>
      </c>
      <c r="J236" t="s">
        <v>1325</v>
      </c>
      <c r="K236">
        <v>43786</v>
      </c>
      <c r="L236">
        <v>0.09334353481254701</v>
      </c>
      <c r="M236">
        <v>0.06610353527631307</v>
      </c>
      <c r="N236">
        <v>0.03</v>
      </c>
      <c r="O236">
        <v>0.1627952297622164</v>
      </c>
      <c r="P236" t="s">
        <v>494</v>
      </c>
      <c r="Q236" t="s">
        <v>633</v>
      </c>
      <c r="R236">
        <v>13</v>
      </c>
      <c r="S236">
        <v>0.5545454545454545</v>
      </c>
      <c r="T236">
        <v>18</v>
      </c>
      <c r="U236">
        <v>0.7261111111111112</v>
      </c>
      <c r="V236">
        <v>1.2513</v>
      </c>
      <c r="W236">
        <v>2.2</v>
      </c>
      <c r="X236">
        <v>1.22</v>
      </c>
      <c r="Y236">
        <v>0.06781000000000001</v>
      </c>
      <c r="Z236">
        <v>0.9416809605488851</v>
      </c>
      <c r="AA236">
        <v>0.2475728155339806</v>
      </c>
      <c r="AB236">
        <v>0.2003231017770598</v>
      </c>
      <c r="AC236">
        <v>0.9806138933764136</v>
      </c>
      <c r="AD236">
        <v>0.9789983844911148</v>
      </c>
    </row>
    <row r="237" spans="1:30">
      <c r="A237" s="1" t="s">
        <v>244</v>
      </c>
      <c r="B237">
        <f>HYPERLINK("https://www.suredividend.com/sure-analysis-ABBV","AbbVie, Inc.")</f>
        <v>0</v>
      </c>
      <c r="C237">
        <v>89.29000000000001</v>
      </c>
      <c r="D237">
        <v>132043.8378</v>
      </c>
      <c r="E237" t="s">
        <v>663</v>
      </c>
      <c r="F237" t="s">
        <v>629</v>
      </c>
      <c r="G237" t="s">
        <v>673</v>
      </c>
      <c r="H237" t="s">
        <v>703</v>
      </c>
      <c r="I237" t="s">
        <v>943</v>
      </c>
      <c r="J237" t="s">
        <v>1315</v>
      </c>
      <c r="K237">
        <v>43773</v>
      </c>
      <c r="L237">
        <v>0.047933699182439</v>
      </c>
      <c r="M237">
        <v>0.01878994623078767</v>
      </c>
      <c r="N237">
        <v>0.095</v>
      </c>
      <c r="O237">
        <v>0.1550435307580815</v>
      </c>
      <c r="P237" t="s">
        <v>494</v>
      </c>
      <c r="Q237" t="s">
        <v>634</v>
      </c>
      <c r="R237">
        <v>7</v>
      </c>
      <c r="S237">
        <v>0.4803591470258137</v>
      </c>
      <c r="T237">
        <v>98</v>
      </c>
      <c r="U237">
        <v>0.9111224489795919</v>
      </c>
      <c r="V237">
        <v>2.1806</v>
      </c>
      <c r="W237">
        <v>8.91</v>
      </c>
      <c r="X237">
        <v>4.28</v>
      </c>
      <c r="Y237">
        <v>0.05146000000000001</v>
      </c>
      <c r="Z237">
        <v>0.7512864493996569</v>
      </c>
      <c r="AA237">
        <v>0.2233009708737864</v>
      </c>
      <c r="AB237">
        <v>0.907108239095315</v>
      </c>
      <c r="AC237">
        <v>0.8497576736672052</v>
      </c>
      <c r="AD237">
        <v>0.9741518578352181</v>
      </c>
    </row>
    <row r="238" spans="1:30">
      <c r="A238" s="1" t="s">
        <v>245</v>
      </c>
      <c r="B238">
        <f>HYPERLINK("https://www.suredividend.com/sure-analysis-CHL","China Mobile Ltd.")</f>
        <v>0</v>
      </c>
      <c r="C238">
        <v>41.2</v>
      </c>
      <c r="D238">
        <v>168718.12</v>
      </c>
      <c r="E238" t="s">
        <v>661</v>
      </c>
      <c r="F238" t="s">
        <v>629</v>
      </c>
      <c r="G238" t="s">
        <v>686</v>
      </c>
      <c r="H238" t="s">
        <v>703</v>
      </c>
      <c r="J238" t="s">
        <v>1318</v>
      </c>
      <c r="K238">
        <v>43796</v>
      </c>
      <c r="L238">
        <v>0.040720266990291</v>
      </c>
      <c r="M238">
        <v>0.05166090787593225</v>
      </c>
      <c r="N238">
        <v>0.04</v>
      </c>
      <c r="O238">
        <v>0.1283460037337572</v>
      </c>
      <c r="P238" t="s">
        <v>494</v>
      </c>
      <c r="Q238" t="s">
        <v>634</v>
      </c>
      <c r="R238">
        <v>1</v>
      </c>
      <c r="S238">
        <v>0.3947470588235293</v>
      </c>
      <c r="T238">
        <v>53</v>
      </c>
      <c r="U238">
        <v>0.7773584905660378</v>
      </c>
      <c r="V238">
        <v>3.8733</v>
      </c>
      <c r="W238">
        <v>4.25</v>
      </c>
      <c r="X238">
        <v>1.677675</v>
      </c>
      <c r="Y238">
        <v>-0.1621</v>
      </c>
      <c r="Z238">
        <v>0.6620926243567753</v>
      </c>
      <c r="AA238">
        <v>0.05987055016181229</v>
      </c>
      <c r="AB238">
        <v>0.3182552504038772</v>
      </c>
      <c r="AC238">
        <v>0.9676898222940226</v>
      </c>
      <c r="AD238">
        <v>0.9402261712439419</v>
      </c>
    </row>
    <row r="239" spans="1:30">
      <c r="A239" s="1" t="s">
        <v>246</v>
      </c>
      <c r="B239">
        <f>HYPERLINK("https://www.suredividend.com/sure-analysis-SAN","Banco Santander SA")</f>
        <v>0</v>
      </c>
      <c r="C239">
        <v>4.15</v>
      </c>
      <c r="D239">
        <v>68914.27894400001</v>
      </c>
      <c r="E239" t="s">
        <v>661</v>
      </c>
      <c r="F239" t="s">
        <v>629</v>
      </c>
      <c r="G239" t="s">
        <v>681</v>
      </c>
      <c r="H239" t="s">
        <v>703</v>
      </c>
      <c r="I239" t="s">
        <v>944</v>
      </c>
      <c r="J239" t="s">
        <v>1309</v>
      </c>
      <c r="K239">
        <v>43784</v>
      </c>
      <c r="L239">
        <v>0.04622891566265001</v>
      </c>
      <c r="M239">
        <v>0.03796899633162476</v>
      </c>
      <c r="N239">
        <v>0.04</v>
      </c>
      <c r="O239">
        <v>0.1280353556853149</v>
      </c>
      <c r="P239" t="s">
        <v>494</v>
      </c>
      <c r="Q239" t="s">
        <v>634</v>
      </c>
      <c r="R239">
        <v>1</v>
      </c>
      <c r="S239">
        <v>0.3837</v>
      </c>
      <c r="T239">
        <v>5</v>
      </c>
      <c r="U239">
        <v>0.8300000000000001</v>
      </c>
      <c r="V239">
        <v>0.4722</v>
      </c>
      <c r="W239">
        <v>0.5</v>
      </c>
      <c r="X239">
        <v>0.19185</v>
      </c>
      <c r="Y239">
        <v>-0.09390000000000001</v>
      </c>
      <c r="Z239">
        <v>0.7324185248713551</v>
      </c>
      <c r="AA239">
        <v>0.08576051779935275</v>
      </c>
      <c r="AB239">
        <v>0.3182552504038772</v>
      </c>
      <c r="AC239">
        <v>0.9321486268174475</v>
      </c>
      <c r="AD239">
        <v>0.9369951534733442</v>
      </c>
    </row>
    <row r="240" spans="1:30">
      <c r="A240" s="1" t="s">
        <v>247</v>
      </c>
      <c r="B240">
        <f>HYPERLINK("https://www.suredividend.com/sure-analysis-EPD","Enterprise Products Partners LP")</f>
        <v>0</v>
      </c>
      <c r="C240">
        <v>28.13</v>
      </c>
      <c r="D240">
        <v>61581.3521</v>
      </c>
      <c r="E240" t="s">
        <v>667</v>
      </c>
      <c r="F240" t="s">
        <v>631</v>
      </c>
      <c r="G240" t="s">
        <v>673</v>
      </c>
      <c r="H240" t="s">
        <v>703</v>
      </c>
      <c r="I240" t="s">
        <v>945</v>
      </c>
      <c r="J240" t="s">
        <v>1325</v>
      </c>
      <c r="K240">
        <v>43800</v>
      </c>
      <c r="L240">
        <v>0.06203341628154901</v>
      </c>
      <c r="M240">
        <v>0.03863233003857891</v>
      </c>
      <c r="N240">
        <v>0.04</v>
      </c>
      <c r="O240">
        <v>0.1271446417634636</v>
      </c>
      <c r="P240" t="s">
        <v>494</v>
      </c>
      <c r="Q240" t="s">
        <v>633</v>
      </c>
      <c r="R240">
        <v>22</v>
      </c>
      <c r="S240">
        <v>0.5087463556851312</v>
      </c>
      <c r="T240">
        <v>34</v>
      </c>
      <c r="U240">
        <v>0.8273529411764705</v>
      </c>
      <c r="V240">
        <v>2.1723</v>
      </c>
      <c r="W240">
        <v>3.43</v>
      </c>
      <c r="X240">
        <v>1.745</v>
      </c>
      <c r="Y240">
        <v>0.155236</v>
      </c>
      <c r="Z240">
        <v>0.8456260720411664</v>
      </c>
      <c r="AA240">
        <v>0.372168284789644</v>
      </c>
      <c r="AB240">
        <v>0.3182552504038772</v>
      </c>
      <c r="AC240">
        <v>0.9353796445880452</v>
      </c>
      <c r="AD240">
        <v>0.9353796445880452</v>
      </c>
    </row>
    <row r="241" spans="1:30">
      <c r="A241" s="1" t="s">
        <v>248</v>
      </c>
      <c r="B241">
        <f>HYPERLINK("https://www.suredividend.com/sure-analysis-FTI","TechnipFMC Plc")</f>
        <v>0</v>
      </c>
      <c r="C241">
        <v>20.51</v>
      </c>
      <c r="D241">
        <v>9169.30315</v>
      </c>
      <c r="E241" t="s">
        <v>659</v>
      </c>
      <c r="F241" t="s">
        <v>629</v>
      </c>
      <c r="G241" t="s">
        <v>677</v>
      </c>
      <c r="H241" t="s">
        <v>703</v>
      </c>
      <c r="I241" t="s">
        <v>946</v>
      </c>
      <c r="J241" t="s">
        <v>1325</v>
      </c>
      <c r="K241">
        <v>43763</v>
      </c>
      <c r="L241">
        <v>0.025353486104339</v>
      </c>
      <c r="M241">
        <v>0.004733139211334114</v>
      </c>
      <c r="N241">
        <v>0.1</v>
      </c>
      <c r="O241">
        <v>0.1265355729933388</v>
      </c>
      <c r="P241" t="s">
        <v>494</v>
      </c>
      <c r="Q241" t="s">
        <v>405</v>
      </c>
      <c r="R241">
        <v>1</v>
      </c>
      <c r="S241">
        <v>0.4</v>
      </c>
      <c r="T241">
        <v>21</v>
      </c>
      <c r="U241">
        <v>0.9766666666666668</v>
      </c>
      <c r="V241">
        <v>-5.0018</v>
      </c>
      <c r="W241">
        <v>1.3</v>
      </c>
      <c r="X241">
        <v>0.52</v>
      </c>
      <c r="Y241">
        <v>0.06990099999999999</v>
      </c>
      <c r="Z241">
        <v>0.4133790737564322</v>
      </c>
      <c r="AA241">
        <v>0.2508090614886732</v>
      </c>
      <c r="AB241">
        <v>0.931340872374798</v>
      </c>
      <c r="AC241">
        <v>0.7512116316639741</v>
      </c>
      <c r="AD241">
        <v>0.9337641357027464</v>
      </c>
    </row>
    <row r="242" spans="1:30">
      <c r="A242" s="1" t="s">
        <v>249</v>
      </c>
      <c r="B242">
        <f>HYPERLINK("https://www.suredividend.com/sure-analysis-BNS","The Bank of Nova Scotia")</f>
        <v>0</v>
      </c>
      <c r="C242">
        <v>55.98</v>
      </c>
      <c r="D242">
        <v>68078.9574</v>
      </c>
      <c r="E242" t="s">
        <v>662</v>
      </c>
      <c r="F242" t="s">
        <v>629</v>
      </c>
      <c r="G242" t="s">
        <v>675</v>
      </c>
      <c r="H242" t="s">
        <v>703</v>
      </c>
      <c r="I242" t="s">
        <v>947</v>
      </c>
      <c r="J242" t="s">
        <v>1309</v>
      </c>
      <c r="K242">
        <v>43795</v>
      </c>
      <c r="L242">
        <v>0.04692026349680201</v>
      </c>
      <c r="M242">
        <v>0.02063805943864971</v>
      </c>
      <c r="N242">
        <v>0.06</v>
      </c>
      <c r="O242">
        <v>0.1198917004412043</v>
      </c>
      <c r="P242" t="s">
        <v>494</v>
      </c>
      <c r="Q242" t="s">
        <v>634</v>
      </c>
      <c r="R242">
        <v>8</v>
      </c>
      <c r="S242">
        <v>0.4828302114983474</v>
      </c>
      <c r="T242">
        <v>62</v>
      </c>
      <c r="U242">
        <v>0.9029032258064515</v>
      </c>
      <c r="V242">
        <v>5.0538</v>
      </c>
      <c r="W242">
        <v>5.44</v>
      </c>
      <c r="X242">
        <v>2.62659635055101</v>
      </c>
      <c r="Y242">
        <v>0.13274</v>
      </c>
      <c r="Z242">
        <v>0.7392795883361921</v>
      </c>
      <c r="AA242">
        <v>0.3268608414239482</v>
      </c>
      <c r="AB242">
        <v>0.6130856219709209</v>
      </c>
      <c r="AC242">
        <v>0.8675282714054927</v>
      </c>
      <c r="AD242">
        <v>0.91437802907916</v>
      </c>
    </row>
    <row r="243" spans="1:30">
      <c r="A243" s="1" t="s">
        <v>250</v>
      </c>
      <c r="B243">
        <f>HYPERLINK("https://www.suredividend.com/sure-analysis-SUN","Sunoco LP")</f>
        <v>0</v>
      </c>
      <c r="C243">
        <v>30.47</v>
      </c>
      <c r="D243">
        <v>3021.428967</v>
      </c>
      <c r="E243" t="s">
        <v>663</v>
      </c>
      <c r="F243" t="s">
        <v>631</v>
      </c>
      <c r="G243" t="s">
        <v>673</v>
      </c>
      <c r="H243" t="s">
        <v>703</v>
      </c>
      <c r="I243" t="s">
        <v>948</v>
      </c>
      <c r="J243" t="s">
        <v>1311</v>
      </c>
      <c r="K243">
        <v>43718</v>
      </c>
      <c r="L243">
        <v>0.108368887430259</v>
      </c>
      <c r="M243">
        <v>0.02216567404919112</v>
      </c>
      <c r="N243">
        <v>0.015</v>
      </c>
      <c r="O243">
        <v>0.1176083565441857</v>
      </c>
      <c r="P243" t="s">
        <v>494</v>
      </c>
      <c r="Q243" t="s">
        <v>633</v>
      </c>
      <c r="R243">
        <v>2</v>
      </c>
      <c r="S243">
        <v>0.4344736842105263</v>
      </c>
      <c r="T243">
        <v>34</v>
      </c>
      <c r="U243">
        <v>0.8961764705882352</v>
      </c>
      <c r="V243">
        <v>0.9767</v>
      </c>
      <c r="W243">
        <v>7.6</v>
      </c>
      <c r="X243">
        <v>3.302</v>
      </c>
      <c r="Y243">
        <v>0.206733</v>
      </c>
      <c r="Z243">
        <v>0.9639794168096054</v>
      </c>
      <c r="AA243">
        <v>0.4724919093851133</v>
      </c>
      <c r="AB243">
        <v>0.07592891760904685</v>
      </c>
      <c r="AC243">
        <v>0.8756058158319872</v>
      </c>
      <c r="AD243">
        <v>0.9079159935379644</v>
      </c>
    </row>
    <row r="244" spans="1:30">
      <c r="A244" s="1" t="s">
        <v>251</v>
      </c>
      <c r="B244">
        <f>HYPERLINK("https://www.suredividend.com/sure-analysis-BBT","BB&amp;T Corp.")</f>
        <v>0</v>
      </c>
      <c r="C244">
        <v>54.24</v>
      </c>
      <c r="D244">
        <v>41564.27472</v>
      </c>
      <c r="E244" t="s">
        <v>665</v>
      </c>
      <c r="F244" t="s">
        <v>629</v>
      </c>
      <c r="G244" t="s">
        <v>673</v>
      </c>
      <c r="H244" t="s">
        <v>703</v>
      </c>
      <c r="I244" t="s">
        <v>949</v>
      </c>
      <c r="J244" t="s">
        <v>1309</v>
      </c>
      <c r="K244">
        <v>43766</v>
      </c>
      <c r="L244">
        <v>0.030696902654867</v>
      </c>
      <c r="M244">
        <v>0.02376913194003305</v>
      </c>
      <c r="N244">
        <v>0.065</v>
      </c>
      <c r="O244">
        <v>0.1171409739381444</v>
      </c>
      <c r="P244" t="s">
        <v>494</v>
      </c>
      <c r="Q244" t="s">
        <v>634</v>
      </c>
      <c r="R244">
        <v>8</v>
      </c>
      <c r="S244">
        <v>0.392688679245283</v>
      </c>
      <c r="T244">
        <v>61</v>
      </c>
      <c r="U244">
        <v>0.8891803278688525</v>
      </c>
      <c r="V244">
        <v>4.0244</v>
      </c>
      <c r="W244">
        <v>4.24</v>
      </c>
      <c r="X244">
        <v>1.665</v>
      </c>
      <c r="Y244">
        <v>0.1267</v>
      </c>
      <c r="Z244">
        <v>0.5231560891938251</v>
      </c>
      <c r="AA244">
        <v>0.313915857605178</v>
      </c>
      <c r="AB244">
        <v>0.6825525040387723</v>
      </c>
      <c r="AC244">
        <v>0.8885298869143781</v>
      </c>
      <c r="AD244">
        <v>0.9046849757673666</v>
      </c>
    </row>
    <row r="245" spans="1:30">
      <c r="A245" s="1" t="s">
        <v>252</v>
      </c>
      <c r="B245">
        <f>HYPERLINK("https://www.suredividend.com/sure-analysis-PSO","Pearson Plc")</f>
        <v>0</v>
      </c>
      <c r="C245">
        <v>8.08</v>
      </c>
      <c r="D245">
        <v>6293.046067</v>
      </c>
      <c r="E245" t="s">
        <v>663</v>
      </c>
      <c r="F245" t="s">
        <v>629</v>
      </c>
      <c r="G245" t="s">
        <v>677</v>
      </c>
      <c r="H245" t="s">
        <v>703</v>
      </c>
      <c r="I245" t="s">
        <v>950</v>
      </c>
      <c r="J245" t="s">
        <v>1324</v>
      </c>
      <c r="K245">
        <v>43734</v>
      </c>
      <c r="L245">
        <v>0.03013650990099</v>
      </c>
      <c r="M245">
        <v>0.05177875863992543</v>
      </c>
      <c r="N245">
        <v>0.04</v>
      </c>
      <c r="O245">
        <v>0.1166469514647053</v>
      </c>
      <c r="P245" t="s">
        <v>494</v>
      </c>
      <c r="Q245" t="s">
        <v>494</v>
      </c>
      <c r="R245">
        <v>0</v>
      </c>
      <c r="S245">
        <v>0.3381986111111111</v>
      </c>
      <c r="T245">
        <v>10.4</v>
      </c>
      <c r="U245">
        <v>0.7769230769230769</v>
      </c>
      <c r="V245">
        <v>0.7442000000000001</v>
      </c>
      <c r="W245">
        <v>0.72</v>
      </c>
      <c r="X245">
        <v>0.243503</v>
      </c>
      <c r="Y245">
        <v>-0.3118</v>
      </c>
      <c r="Z245">
        <v>0.5077186963979416</v>
      </c>
      <c r="AA245">
        <v>0.02912621359223301</v>
      </c>
      <c r="AB245">
        <v>0.3182552504038772</v>
      </c>
      <c r="AC245">
        <v>0.9693053311793214</v>
      </c>
      <c r="AD245">
        <v>0.9030694668820678</v>
      </c>
    </row>
    <row r="246" spans="1:30">
      <c r="A246" s="1" t="s">
        <v>253</v>
      </c>
      <c r="B246">
        <f>HYPERLINK("https://www.suredividend.com/sure-analysis-GILD","Gilead Sciences, Inc.")</f>
        <v>0</v>
      </c>
      <c r="C246">
        <v>66.84999999999999</v>
      </c>
      <c r="D246">
        <v>84575.2775</v>
      </c>
      <c r="E246" t="s">
        <v>663</v>
      </c>
      <c r="F246" t="s">
        <v>629</v>
      </c>
      <c r="G246" t="s">
        <v>673</v>
      </c>
      <c r="H246" t="s">
        <v>704</v>
      </c>
      <c r="I246" t="s">
        <v>951</v>
      </c>
      <c r="J246" t="s">
        <v>1315</v>
      </c>
      <c r="K246">
        <v>43762</v>
      </c>
      <c r="L246">
        <v>0.03679880329094901</v>
      </c>
      <c r="M246">
        <v>0.02867423602326702</v>
      </c>
      <c r="N246">
        <v>0.05</v>
      </c>
      <c r="O246">
        <v>0.112201758526375</v>
      </c>
      <c r="P246" t="s">
        <v>494</v>
      </c>
      <c r="Q246" t="s">
        <v>634</v>
      </c>
      <c r="R246">
        <v>5</v>
      </c>
      <c r="S246">
        <v>0.3509272467902996</v>
      </c>
      <c r="T246">
        <v>77</v>
      </c>
      <c r="U246">
        <v>0.8681818181818181</v>
      </c>
      <c r="V246">
        <v>2.111</v>
      </c>
      <c r="W246">
        <v>7.01</v>
      </c>
      <c r="X246">
        <v>2.46</v>
      </c>
      <c r="Y246">
        <v>0.06755</v>
      </c>
      <c r="Z246">
        <v>0.6140651801029159</v>
      </c>
      <c r="AA246">
        <v>0.2459546925566343</v>
      </c>
      <c r="AB246">
        <v>0.4588045234248789</v>
      </c>
      <c r="AC246">
        <v>0.9063004846526656</v>
      </c>
      <c r="AD246">
        <v>0.8804523424878836</v>
      </c>
    </row>
    <row r="247" spans="1:30">
      <c r="A247" s="1" t="s">
        <v>254</v>
      </c>
      <c r="B247">
        <f>HYPERLINK("https://www.suredividend.com/sure-analysis-KSS","Kohl's Corp.")</f>
        <v>0</v>
      </c>
      <c r="C247">
        <v>50.57</v>
      </c>
      <c r="D247">
        <v>7917.64376</v>
      </c>
      <c r="E247" t="s">
        <v>661</v>
      </c>
      <c r="F247" t="s">
        <v>629</v>
      </c>
      <c r="G247" t="s">
        <v>673</v>
      </c>
      <c r="H247" t="s">
        <v>703</v>
      </c>
      <c r="I247" t="s">
        <v>952</v>
      </c>
      <c r="J247" t="s">
        <v>1310</v>
      </c>
      <c r="K247">
        <v>43709</v>
      </c>
      <c r="L247">
        <v>0.05180937314613401</v>
      </c>
      <c r="M247">
        <v>0.02779620075964995</v>
      </c>
      <c r="N247">
        <v>0.04</v>
      </c>
      <c r="O247">
        <v>0.1111622458472508</v>
      </c>
      <c r="P247" t="s">
        <v>494</v>
      </c>
      <c r="Q247" t="s">
        <v>634</v>
      </c>
      <c r="R247">
        <v>9</v>
      </c>
      <c r="S247">
        <v>0.4943396226415095</v>
      </c>
      <c r="T247">
        <v>58</v>
      </c>
      <c r="U247">
        <v>0.8718965517241379</v>
      </c>
      <c r="V247">
        <v>4.3683</v>
      </c>
      <c r="W247">
        <v>5.3</v>
      </c>
      <c r="X247">
        <v>2.62</v>
      </c>
      <c r="Y247">
        <v>-0.148653</v>
      </c>
      <c r="Z247">
        <v>0.7838765008576329</v>
      </c>
      <c r="AA247">
        <v>0.06472491909385114</v>
      </c>
      <c r="AB247">
        <v>0.3182552504038772</v>
      </c>
      <c r="AC247">
        <v>0.8998384491114702</v>
      </c>
      <c r="AD247">
        <v>0.8739903069466882</v>
      </c>
    </row>
    <row r="248" spans="1:30">
      <c r="A248" s="1" t="s">
        <v>255</v>
      </c>
      <c r="B248">
        <f>HYPERLINK("https://www.suredividend.com/sure-analysis-TAP","Molson Coors Brewing Co.")</f>
        <v>0</v>
      </c>
      <c r="C248">
        <v>53.86</v>
      </c>
      <c r="D248">
        <v>11650.4566</v>
      </c>
      <c r="E248" t="s">
        <v>658</v>
      </c>
      <c r="F248" t="s">
        <v>629</v>
      </c>
      <c r="G248" t="s">
        <v>673</v>
      </c>
      <c r="H248" t="s">
        <v>703</v>
      </c>
      <c r="I248" t="s">
        <v>953</v>
      </c>
      <c r="J248" t="s">
        <v>1322</v>
      </c>
      <c r="K248">
        <v>43768</v>
      </c>
      <c r="L248">
        <v>0.033419977720014</v>
      </c>
      <c r="M248">
        <v>0.02854919373640885</v>
      </c>
      <c r="N248">
        <v>0.05</v>
      </c>
      <c r="O248">
        <v>0.1103210781702586</v>
      </c>
      <c r="P248" t="s">
        <v>494</v>
      </c>
      <c r="Q248" t="s">
        <v>494</v>
      </c>
      <c r="R248">
        <v>0</v>
      </c>
      <c r="S248">
        <v>0.4090909090909091</v>
      </c>
      <c r="T248">
        <v>62</v>
      </c>
      <c r="U248">
        <v>0.8687096774193548</v>
      </c>
      <c r="V248">
        <v>0.7121000000000001</v>
      </c>
      <c r="W248">
        <v>4.4</v>
      </c>
      <c r="X248">
        <v>1.8</v>
      </c>
      <c r="Y248">
        <v>-0.02955</v>
      </c>
      <c r="Z248">
        <v>0.5711835334476844</v>
      </c>
      <c r="AA248">
        <v>0.1326860841423948</v>
      </c>
      <c r="AB248">
        <v>0.4588045234248789</v>
      </c>
      <c r="AC248">
        <v>0.9014539579967691</v>
      </c>
      <c r="AD248">
        <v>0.8707592891760905</v>
      </c>
    </row>
    <row r="249" spans="1:30">
      <c r="A249" s="1" t="s">
        <v>256</v>
      </c>
      <c r="B249">
        <f>HYPERLINK("https://www.suredividend.com/sure-analysis-TD","The Toronto-Dominion Bank")</f>
        <v>0</v>
      </c>
      <c r="C249">
        <v>56.14</v>
      </c>
      <c r="D249">
        <v>101753.1886</v>
      </c>
      <c r="E249" t="s">
        <v>662</v>
      </c>
      <c r="F249" t="s">
        <v>629</v>
      </c>
      <c r="G249" t="s">
        <v>675</v>
      </c>
      <c r="H249" t="s">
        <v>703</v>
      </c>
      <c r="I249" t="s">
        <v>954</v>
      </c>
      <c r="J249" t="s">
        <v>1309</v>
      </c>
      <c r="K249">
        <v>43707</v>
      </c>
      <c r="L249">
        <v>0.03874292375975</v>
      </c>
      <c r="M249">
        <v>0.003045166508490738</v>
      </c>
      <c r="N249">
        <v>0.07000000000000001</v>
      </c>
      <c r="O249">
        <v>0.1076350013873277</v>
      </c>
      <c r="P249" t="s">
        <v>494</v>
      </c>
      <c r="Q249" t="s">
        <v>634</v>
      </c>
      <c r="R249">
        <v>16</v>
      </c>
      <c r="S249">
        <v>0.4569386008135294</v>
      </c>
      <c r="T249">
        <v>57</v>
      </c>
      <c r="U249">
        <v>0.9849122807017544</v>
      </c>
      <c r="V249">
        <v>4.7105</v>
      </c>
      <c r="W249">
        <v>4.76</v>
      </c>
      <c r="X249">
        <v>2.1750277398724</v>
      </c>
      <c r="Y249">
        <v>0.151354</v>
      </c>
      <c r="Z249">
        <v>0.6363636363636364</v>
      </c>
      <c r="AA249">
        <v>0.3673139158576052</v>
      </c>
      <c r="AB249">
        <v>0.7245557350565428</v>
      </c>
      <c r="AC249">
        <v>0.7350565428109854</v>
      </c>
      <c r="AD249">
        <v>0.8610662358642972</v>
      </c>
    </row>
    <row r="250" spans="1:30">
      <c r="A250" s="1" t="s">
        <v>257</v>
      </c>
      <c r="B250">
        <f>HYPERLINK("https://www.suredividend.com/sure-analysis-CWCO","Consolidated Water Co. Ltd.")</f>
        <v>0</v>
      </c>
      <c r="C250">
        <v>16.61</v>
      </c>
      <c r="D250">
        <v>249.61508</v>
      </c>
      <c r="E250" t="s">
        <v>667</v>
      </c>
      <c r="F250" t="s">
        <v>629</v>
      </c>
      <c r="G250" t="s">
        <v>687</v>
      </c>
      <c r="H250" t="s">
        <v>704</v>
      </c>
      <c r="I250" t="s">
        <v>955</v>
      </c>
      <c r="J250" t="s">
        <v>1321</v>
      </c>
      <c r="K250">
        <v>43746</v>
      </c>
      <c r="L250">
        <v>0.020469596628537</v>
      </c>
      <c r="M250">
        <v>0.01620323830602</v>
      </c>
      <c r="N250">
        <v>0.07000000000000001</v>
      </c>
      <c r="O250">
        <v>0.1074126128531765</v>
      </c>
      <c r="P250" t="s">
        <v>494</v>
      </c>
      <c r="Q250" t="s">
        <v>405</v>
      </c>
      <c r="R250">
        <v>3</v>
      </c>
      <c r="S250">
        <v>0.425</v>
      </c>
      <c r="T250">
        <v>18</v>
      </c>
      <c r="U250">
        <v>0.9227777777777777</v>
      </c>
      <c r="V250">
        <v>0.6141</v>
      </c>
      <c r="W250">
        <v>0.8</v>
      </c>
      <c r="X250">
        <v>0.34</v>
      </c>
      <c r="Y250">
        <v>0.455741</v>
      </c>
      <c r="Z250">
        <v>0.3156089193825043</v>
      </c>
      <c r="AA250">
        <v>0.8268608414239482</v>
      </c>
      <c r="AB250">
        <v>0.7245557350565428</v>
      </c>
      <c r="AC250">
        <v>0.8303715670436188</v>
      </c>
      <c r="AD250">
        <v>0.8594507269789983</v>
      </c>
    </row>
    <row r="251" spans="1:30">
      <c r="A251" s="1" t="s">
        <v>258</v>
      </c>
      <c r="B251">
        <f>HYPERLINK("https://www.suredividend.com/sure-analysis-IVZ","Invesco Ltd.")</f>
        <v>0</v>
      </c>
      <c r="C251">
        <v>17.98</v>
      </c>
      <c r="D251">
        <v>8161.01412</v>
      </c>
      <c r="E251" t="s">
        <v>663</v>
      </c>
      <c r="F251" t="s">
        <v>629</v>
      </c>
      <c r="G251" t="s">
        <v>673</v>
      </c>
      <c r="H251" t="s">
        <v>703</v>
      </c>
      <c r="I251" t="s">
        <v>956</v>
      </c>
      <c r="J251" t="s">
        <v>1309</v>
      </c>
      <c r="K251">
        <v>43761</v>
      </c>
      <c r="L251">
        <v>0.06785317018909801</v>
      </c>
      <c r="M251">
        <v>0.02152279362383802</v>
      </c>
      <c r="N251">
        <v>0.03</v>
      </c>
      <c r="O251">
        <v>0.1074035522009662</v>
      </c>
      <c r="P251" t="s">
        <v>494</v>
      </c>
      <c r="Q251" t="s">
        <v>633</v>
      </c>
      <c r="R251">
        <v>10</v>
      </c>
      <c r="S251">
        <v>0.4979591836734694</v>
      </c>
      <c r="T251">
        <v>20</v>
      </c>
      <c r="U251">
        <v>0.899</v>
      </c>
      <c r="V251">
        <v>1.1664</v>
      </c>
      <c r="W251">
        <v>2.45</v>
      </c>
      <c r="X251">
        <v>1.22</v>
      </c>
      <c r="Y251">
        <v>0.12375</v>
      </c>
      <c r="Z251">
        <v>0.8816466552315609</v>
      </c>
      <c r="AA251">
        <v>0.3106796116504855</v>
      </c>
      <c r="AB251">
        <v>0.2003231017770598</v>
      </c>
      <c r="AC251">
        <v>0.8723747980613894</v>
      </c>
      <c r="AD251">
        <v>0.8578352180936996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14.62</v>
      </c>
      <c r="D252">
        <v>5288.01014</v>
      </c>
      <c r="E252" t="s">
        <v>659</v>
      </c>
      <c r="F252" t="s">
        <v>629</v>
      </c>
      <c r="G252" t="s">
        <v>673</v>
      </c>
      <c r="H252" t="s">
        <v>703</v>
      </c>
      <c r="I252" t="s">
        <v>957</v>
      </c>
      <c r="J252" t="s">
        <v>1322</v>
      </c>
      <c r="K252">
        <v>43775</v>
      </c>
      <c r="L252">
        <v>0.041039671682626</v>
      </c>
      <c r="M252">
        <v>0.0424735062667676</v>
      </c>
      <c r="N252">
        <v>0.03</v>
      </c>
      <c r="O252">
        <v>0.1056882110881614</v>
      </c>
      <c r="P252" t="s">
        <v>494</v>
      </c>
      <c r="Q252" t="s">
        <v>633</v>
      </c>
      <c r="R252">
        <v>4</v>
      </c>
      <c r="S252">
        <v>0.3370786516853933</v>
      </c>
      <c r="T252">
        <v>18</v>
      </c>
      <c r="U252">
        <v>0.8122222222222222</v>
      </c>
      <c r="V252">
        <v>1.5991</v>
      </c>
      <c r="W252">
        <v>1.78</v>
      </c>
      <c r="X252">
        <v>0.6000000000000001</v>
      </c>
      <c r="Y252">
        <v>0.229605</v>
      </c>
      <c r="Z252">
        <v>0.6706689536878215</v>
      </c>
      <c r="AA252">
        <v>0.522653721682848</v>
      </c>
      <c r="AB252">
        <v>0.2003231017770598</v>
      </c>
      <c r="AC252">
        <v>0.9491114701130856</v>
      </c>
      <c r="AD252">
        <v>0.8449111470113085</v>
      </c>
    </row>
    <row r="253" spans="1:30">
      <c r="A253" s="1" t="s">
        <v>260</v>
      </c>
      <c r="B253">
        <f>HYPERLINK("https://www.suredividend.com/sure-analysis-SLF","Sun Life Financial, Inc.")</f>
        <v>0</v>
      </c>
      <c r="C253">
        <v>45.66</v>
      </c>
      <c r="D253">
        <v>26831.96202</v>
      </c>
      <c r="E253" t="s">
        <v>663</v>
      </c>
      <c r="F253" t="s">
        <v>629</v>
      </c>
      <c r="G253" t="s">
        <v>675</v>
      </c>
      <c r="H253" t="s">
        <v>703</v>
      </c>
      <c r="I253" t="s">
        <v>958</v>
      </c>
      <c r="J253" t="s">
        <v>1309</v>
      </c>
      <c r="K253">
        <v>43714</v>
      </c>
      <c r="L253">
        <v>0.033829707033815</v>
      </c>
      <c r="M253">
        <v>-0.00290779441876643</v>
      </c>
      <c r="N253">
        <v>0.073</v>
      </c>
      <c r="O253">
        <v>0.1033962839255731</v>
      </c>
      <c r="P253" t="s">
        <v>494</v>
      </c>
      <c r="Q253" t="s">
        <v>634</v>
      </c>
      <c r="R253">
        <v>2</v>
      </c>
      <c r="S253">
        <v>0.3910542843453215</v>
      </c>
      <c r="T253">
        <v>45</v>
      </c>
      <c r="U253">
        <v>1.014666666666667</v>
      </c>
      <c r="V253">
        <v>3.1385</v>
      </c>
      <c r="W253">
        <v>3.95</v>
      </c>
      <c r="X253">
        <v>1.54466442316402</v>
      </c>
      <c r="Y253">
        <v>0.423317</v>
      </c>
      <c r="Z253">
        <v>0.5780445969125214</v>
      </c>
      <c r="AA253">
        <v>0.7993527508090615</v>
      </c>
      <c r="AB253">
        <v>0.7592891760904685</v>
      </c>
      <c r="AC253">
        <v>0.6865912762520193</v>
      </c>
      <c r="AD253">
        <v>0.8303715670436188</v>
      </c>
    </row>
    <row r="254" spans="1:30">
      <c r="A254" s="1" t="s">
        <v>261</v>
      </c>
      <c r="B254">
        <f>HYPERLINK("https://www.suredividend.com/sure-analysis-HNI","HNI Corp.")</f>
        <v>0</v>
      </c>
      <c r="C254">
        <v>38.03</v>
      </c>
      <c r="D254">
        <v>1628.59672</v>
      </c>
      <c r="E254" t="s">
        <v>661</v>
      </c>
      <c r="F254" t="s">
        <v>629</v>
      </c>
      <c r="G254" t="s">
        <v>673</v>
      </c>
      <c r="H254" t="s">
        <v>703</v>
      </c>
      <c r="I254" t="s">
        <v>959</v>
      </c>
      <c r="J254" t="s">
        <v>1316</v>
      </c>
      <c r="K254">
        <v>43670</v>
      </c>
      <c r="L254">
        <v>0.031554036287141</v>
      </c>
      <c r="M254">
        <v>0.02005735822457733</v>
      </c>
      <c r="N254">
        <v>0.055</v>
      </c>
      <c r="O254">
        <v>0.1020095411032362</v>
      </c>
      <c r="P254" t="s">
        <v>494</v>
      </c>
      <c r="Q254" t="s">
        <v>494</v>
      </c>
      <c r="R254">
        <v>6</v>
      </c>
      <c r="S254">
        <v>0.4615384615384615</v>
      </c>
      <c r="T254">
        <v>42</v>
      </c>
      <c r="U254">
        <v>0.9054761904761905</v>
      </c>
      <c r="V254">
        <v>2.2038</v>
      </c>
      <c r="W254">
        <v>2.6</v>
      </c>
      <c r="X254">
        <v>1.2</v>
      </c>
      <c r="Y254">
        <v>0.105845</v>
      </c>
      <c r="Z254">
        <v>0.5351629502572899</v>
      </c>
      <c r="AA254">
        <v>0.2896440129449838</v>
      </c>
      <c r="AB254">
        <v>0.5452342487883683</v>
      </c>
      <c r="AC254">
        <v>0.862681744749596</v>
      </c>
      <c r="AD254">
        <v>0.8206785137318255</v>
      </c>
    </row>
    <row r="255" spans="1:30">
      <c r="A255" s="1" t="s">
        <v>262</v>
      </c>
      <c r="B255">
        <f>HYPERLINK("https://www.suredividend.com/sure-analysis-CSCO","Cisco Systems, Inc.")</f>
        <v>0</v>
      </c>
      <c r="C255">
        <v>47.45</v>
      </c>
      <c r="D255">
        <v>201295.237</v>
      </c>
      <c r="E255" t="s">
        <v>660</v>
      </c>
      <c r="F255" t="s">
        <v>629</v>
      </c>
      <c r="G255" t="s">
        <v>673</v>
      </c>
      <c r="H255" t="s">
        <v>704</v>
      </c>
      <c r="I255" t="s">
        <v>960</v>
      </c>
      <c r="J255" t="s">
        <v>1308</v>
      </c>
      <c r="K255">
        <v>43783</v>
      </c>
      <c r="L255">
        <v>0.029083245521601</v>
      </c>
      <c r="M255">
        <v>0.01453443398243248</v>
      </c>
      <c r="N255">
        <v>0.06</v>
      </c>
      <c r="O255">
        <v>0.1005362842224691</v>
      </c>
      <c r="P255" t="s">
        <v>494</v>
      </c>
      <c r="Q255" t="s">
        <v>494</v>
      </c>
      <c r="R255">
        <v>9</v>
      </c>
      <c r="S255">
        <v>0.4046920821114369</v>
      </c>
      <c r="T255">
        <v>51</v>
      </c>
      <c r="U255">
        <v>0.9303921568627451</v>
      </c>
      <c r="V255">
        <v>2.54</v>
      </c>
      <c r="W255">
        <v>3.41</v>
      </c>
      <c r="X255">
        <v>1.38</v>
      </c>
      <c r="Y255">
        <v>0.133811</v>
      </c>
      <c r="Z255">
        <v>0.4905660377358491</v>
      </c>
      <c r="AA255">
        <v>0.3300970873786408</v>
      </c>
      <c r="AB255">
        <v>0.6130856219709209</v>
      </c>
      <c r="AC255">
        <v>0.8158319870759289</v>
      </c>
      <c r="AD255">
        <v>0.8109854604200324</v>
      </c>
    </row>
    <row r="256" spans="1:30">
      <c r="A256" s="1" t="s">
        <v>263</v>
      </c>
      <c r="B256">
        <f>HYPERLINK("https://www.suredividend.com/sure-analysis-KMI","Kinder Morgan, Inc.")</f>
        <v>0</v>
      </c>
      <c r="C256">
        <v>20.97</v>
      </c>
      <c r="D256">
        <v>47496.4209</v>
      </c>
      <c r="E256" t="s">
        <v>667</v>
      </c>
      <c r="F256" t="s">
        <v>629</v>
      </c>
      <c r="G256" t="s">
        <v>673</v>
      </c>
      <c r="H256" t="s">
        <v>703</v>
      </c>
      <c r="I256" t="s">
        <v>961</v>
      </c>
      <c r="J256" t="s">
        <v>1325</v>
      </c>
      <c r="K256">
        <v>43790</v>
      </c>
      <c r="L256">
        <v>0.04291845493562201</v>
      </c>
      <c r="M256">
        <v>0.009636052333063416</v>
      </c>
      <c r="N256">
        <v>0.04</v>
      </c>
      <c r="O256">
        <v>0.1005010646729749</v>
      </c>
      <c r="P256" t="s">
        <v>494</v>
      </c>
      <c r="Q256" t="s">
        <v>634</v>
      </c>
      <c r="R256">
        <v>2</v>
      </c>
      <c r="S256">
        <v>0.4090909090909091</v>
      </c>
      <c r="T256">
        <v>22</v>
      </c>
      <c r="U256">
        <v>0.9531818181818181</v>
      </c>
      <c r="V256">
        <v>0.9078000000000001</v>
      </c>
      <c r="W256">
        <v>2.2</v>
      </c>
      <c r="X256">
        <v>0.9</v>
      </c>
      <c r="Y256">
        <v>0.346821</v>
      </c>
      <c r="Z256">
        <v>0.692967409948542</v>
      </c>
      <c r="AA256">
        <v>0.6828478964401294</v>
      </c>
      <c r="AB256">
        <v>0.3182552504038772</v>
      </c>
      <c r="AC256">
        <v>0.7851373182552505</v>
      </c>
      <c r="AD256">
        <v>0.8093699515347335</v>
      </c>
    </row>
    <row r="257" spans="1:30">
      <c r="A257" s="1" t="s">
        <v>264</v>
      </c>
      <c r="B257">
        <f>HYPERLINK("https://www.suredividend.com/sure-analysis-MRVL","Marvell Technology Group Ltd.")</f>
        <v>0</v>
      </c>
      <c r="C257">
        <v>25.96</v>
      </c>
      <c r="D257">
        <v>17411.372</v>
      </c>
      <c r="E257" t="s">
        <v>666</v>
      </c>
      <c r="F257" t="s">
        <v>629</v>
      </c>
      <c r="G257" t="s">
        <v>684</v>
      </c>
      <c r="H257" t="s">
        <v>704</v>
      </c>
      <c r="I257" t="s">
        <v>962</v>
      </c>
      <c r="J257" t="s">
        <v>1308</v>
      </c>
      <c r="K257">
        <v>43747</v>
      </c>
      <c r="L257">
        <v>0.009244992295839001</v>
      </c>
      <c r="M257">
        <v>-0.1291813274558273</v>
      </c>
      <c r="N257">
        <v>0.25</v>
      </c>
      <c r="O257">
        <v>0.09851217716572358</v>
      </c>
      <c r="P257" t="s">
        <v>494</v>
      </c>
      <c r="Q257" t="s">
        <v>382</v>
      </c>
      <c r="R257">
        <v>0</v>
      </c>
      <c r="S257">
        <v>0.3428571428571429</v>
      </c>
      <c r="T257">
        <v>13</v>
      </c>
      <c r="U257">
        <v>1.996923076923077</v>
      </c>
      <c r="V257">
        <v>-0.6797000000000001</v>
      </c>
      <c r="W257">
        <v>0.7</v>
      </c>
      <c r="X257">
        <v>0.24</v>
      </c>
      <c r="Y257">
        <v>0.743452</v>
      </c>
      <c r="Z257">
        <v>0.05317324185248713</v>
      </c>
      <c r="AA257">
        <v>0.9611650485436892</v>
      </c>
      <c r="AB257">
        <v>0.994345718901454</v>
      </c>
      <c r="AC257">
        <v>0.03554119547657512</v>
      </c>
      <c r="AD257">
        <v>0.7996768982229402</v>
      </c>
    </row>
    <row r="258" spans="1:30">
      <c r="A258" s="1" t="s">
        <v>265</v>
      </c>
      <c r="B258">
        <f>HYPERLINK("https://www.suredividend.com/sure-analysis-MPC","Marathon Petroleum Corp.")</f>
        <v>0</v>
      </c>
      <c r="C258">
        <v>61.61</v>
      </c>
      <c r="D258">
        <v>40004.72842</v>
      </c>
      <c r="E258" t="s">
        <v>659</v>
      </c>
      <c r="F258" t="s">
        <v>629</v>
      </c>
      <c r="G258" t="s">
        <v>673</v>
      </c>
      <c r="H258" t="s">
        <v>703</v>
      </c>
      <c r="I258" t="s">
        <v>963</v>
      </c>
      <c r="J258" t="s">
        <v>1312</v>
      </c>
      <c r="K258">
        <v>43774</v>
      </c>
      <c r="L258">
        <v>0.033273819185197</v>
      </c>
      <c r="M258">
        <v>-0.04476775480696049</v>
      </c>
      <c r="N258">
        <v>0.117</v>
      </c>
      <c r="O258">
        <v>0.0979947809555699</v>
      </c>
      <c r="P258" t="s">
        <v>494</v>
      </c>
      <c r="Q258" t="s">
        <v>634</v>
      </c>
      <c r="R258">
        <v>9</v>
      </c>
      <c r="S258">
        <v>0.4456521739130435</v>
      </c>
      <c r="T258">
        <v>49</v>
      </c>
      <c r="U258">
        <v>1.25734693877551</v>
      </c>
      <c r="V258">
        <v>4.7138</v>
      </c>
      <c r="W258">
        <v>4.6</v>
      </c>
      <c r="X258">
        <v>2.05</v>
      </c>
      <c r="Y258">
        <v>0.08583</v>
      </c>
      <c r="Z258">
        <v>0.5660377358490566</v>
      </c>
      <c r="AA258">
        <v>0.2637540453074434</v>
      </c>
      <c r="AB258">
        <v>0.9515347334410339</v>
      </c>
      <c r="AC258">
        <v>0.3247172859450727</v>
      </c>
      <c r="AD258">
        <v>0.7964458804523424</v>
      </c>
    </row>
    <row r="259" spans="1:30">
      <c r="A259" s="1" t="s">
        <v>266</v>
      </c>
      <c r="B259">
        <f>HYPERLINK("https://www.suredividend.com/sure-analysis-EFSI","Eagle Financial Services, Inc.")</f>
        <v>0</v>
      </c>
      <c r="C259">
        <v>31.25</v>
      </c>
      <c r="D259">
        <v>107.28125</v>
      </c>
      <c r="E259" t="s">
        <v>663</v>
      </c>
      <c r="F259" t="s">
        <v>629</v>
      </c>
      <c r="G259" t="s">
        <v>673</v>
      </c>
      <c r="H259" t="s">
        <v>705</v>
      </c>
      <c r="I259" t="s">
        <v>964</v>
      </c>
      <c r="J259" t="s">
        <v>1309</v>
      </c>
      <c r="K259">
        <v>43766</v>
      </c>
      <c r="L259">
        <v>0.03136000000000001</v>
      </c>
      <c r="M259">
        <v>0.01701130159766784</v>
      </c>
      <c r="N259">
        <v>0.052</v>
      </c>
      <c r="O259">
        <v>0.09713741704244283</v>
      </c>
      <c r="P259" t="s">
        <v>494</v>
      </c>
      <c r="Q259" t="s">
        <v>494</v>
      </c>
      <c r="R259">
        <v>1</v>
      </c>
      <c r="S259">
        <v>0.35</v>
      </c>
      <c r="T259">
        <v>34</v>
      </c>
      <c r="U259">
        <v>0.9191176470588235</v>
      </c>
      <c r="V259">
        <v>2.6132</v>
      </c>
      <c r="W259">
        <v>2.8</v>
      </c>
      <c r="X259">
        <v>0.98</v>
      </c>
      <c r="Y259">
        <v>0.021242</v>
      </c>
      <c r="Z259">
        <v>0.5317324185248714</v>
      </c>
      <c r="AA259">
        <v>0.1909385113268608</v>
      </c>
      <c r="AB259">
        <v>0.5323101777059773</v>
      </c>
      <c r="AC259">
        <v>0.8352180936995154</v>
      </c>
      <c r="AD259">
        <v>0.791599353796446</v>
      </c>
    </row>
    <row r="260" spans="1:30">
      <c r="A260" s="1" t="s">
        <v>267</v>
      </c>
      <c r="B260">
        <f>HYPERLINK("https://www.suredividend.com/sure-analysis-CCL","Carnival Corp.")</f>
        <v>0</v>
      </c>
      <c r="C260">
        <v>50.21</v>
      </c>
      <c r="D260">
        <v>26453.18871</v>
      </c>
      <c r="E260" t="s">
        <v>661</v>
      </c>
      <c r="F260" t="s">
        <v>629</v>
      </c>
      <c r="G260" t="s">
        <v>673</v>
      </c>
      <c r="H260" t="s">
        <v>703</v>
      </c>
      <c r="I260" t="s">
        <v>965</v>
      </c>
      <c r="J260" t="s">
        <v>1324</v>
      </c>
      <c r="K260">
        <v>43743</v>
      </c>
      <c r="L260">
        <v>0.039832702648874</v>
      </c>
      <c r="M260">
        <v>0.01839086170979209</v>
      </c>
      <c r="N260">
        <v>0.04</v>
      </c>
      <c r="O260">
        <v>0.09696469629188265</v>
      </c>
      <c r="P260" t="s">
        <v>494</v>
      </c>
      <c r="Q260" t="s">
        <v>494</v>
      </c>
      <c r="R260">
        <v>4</v>
      </c>
      <c r="S260">
        <v>0.4705882352941176</v>
      </c>
      <c r="T260">
        <v>55</v>
      </c>
      <c r="U260">
        <v>0.9129090909090909</v>
      </c>
      <c r="V260">
        <v>4.3376</v>
      </c>
      <c r="W260">
        <v>4.25</v>
      </c>
      <c r="X260">
        <v>2</v>
      </c>
      <c r="Y260">
        <v>0.049102</v>
      </c>
      <c r="Z260">
        <v>0.6535162950257291</v>
      </c>
      <c r="AA260">
        <v>0.2216828478964401</v>
      </c>
      <c r="AB260">
        <v>0.3182552504038772</v>
      </c>
      <c r="AC260">
        <v>0.8465266558966075</v>
      </c>
      <c r="AD260">
        <v>0.7883683360258482</v>
      </c>
    </row>
    <row r="261" spans="1:30">
      <c r="A261" s="1" t="s">
        <v>268</v>
      </c>
      <c r="B261">
        <f>HYPERLINK("https://www.suredividend.com/sure-analysis-BMO","Bank of Montreal")</f>
        <v>0</v>
      </c>
      <c r="C261">
        <v>77.63</v>
      </c>
      <c r="D261">
        <v>49623.58016</v>
      </c>
      <c r="E261" t="s">
        <v>662</v>
      </c>
      <c r="F261" t="s">
        <v>629</v>
      </c>
      <c r="G261" t="s">
        <v>675</v>
      </c>
      <c r="H261" t="s">
        <v>703</v>
      </c>
      <c r="I261" t="s">
        <v>966</v>
      </c>
      <c r="J261" t="s">
        <v>1309</v>
      </c>
      <c r="K261">
        <v>43812</v>
      </c>
      <c r="L261">
        <v>0.03936036532322</v>
      </c>
      <c r="M261">
        <v>0.006032660494914799</v>
      </c>
      <c r="N261">
        <v>0.055</v>
      </c>
      <c r="O261">
        <v>0.09646332370288224</v>
      </c>
      <c r="P261" t="s">
        <v>494</v>
      </c>
      <c r="Q261" t="s">
        <v>634</v>
      </c>
      <c r="R261">
        <v>6</v>
      </c>
      <c r="S261">
        <v>0.4321846053807128</v>
      </c>
      <c r="T261">
        <v>80</v>
      </c>
      <c r="U261">
        <v>0.970375</v>
      </c>
      <c r="V261">
        <v>6.5326</v>
      </c>
      <c r="W261">
        <v>7.07</v>
      </c>
      <c r="X261">
        <v>3.05554516004164</v>
      </c>
      <c r="Y261">
        <v>0.210888</v>
      </c>
      <c r="Z261">
        <v>0.6432246998284734</v>
      </c>
      <c r="AA261">
        <v>0.4805825242718446</v>
      </c>
      <c r="AB261">
        <v>0.5452342487883683</v>
      </c>
      <c r="AC261">
        <v>0.7609046849757674</v>
      </c>
      <c r="AD261">
        <v>0.7851373182552505</v>
      </c>
    </row>
    <row r="262" spans="1:30">
      <c r="A262" s="1" t="s">
        <v>269</v>
      </c>
      <c r="B262">
        <f>HYPERLINK("https://www.suredividend.com/sure-analysis-UPS","United Parcel Service, Inc.")</f>
        <v>0</v>
      </c>
      <c r="C262">
        <v>117.4</v>
      </c>
      <c r="D262">
        <v>100700.437</v>
      </c>
      <c r="E262" t="s">
        <v>658</v>
      </c>
      <c r="F262" t="s">
        <v>629</v>
      </c>
      <c r="G262" t="s">
        <v>673</v>
      </c>
      <c r="H262" t="s">
        <v>703</v>
      </c>
      <c r="I262" t="s">
        <v>967</v>
      </c>
      <c r="J262" t="s">
        <v>1313</v>
      </c>
      <c r="K262">
        <v>43760</v>
      </c>
      <c r="L262">
        <v>0.03228279386712</v>
      </c>
      <c r="M262">
        <v>0.007716446970808866</v>
      </c>
      <c r="N262">
        <v>0.06</v>
      </c>
      <c r="O262">
        <v>0.09645279361103887</v>
      </c>
      <c r="P262" t="s">
        <v>494</v>
      </c>
      <c r="Q262" t="s">
        <v>494</v>
      </c>
      <c r="R262">
        <v>10</v>
      </c>
      <c r="S262">
        <v>0.4986842105263158</v>
      </c>
      <c r="T262">
        <v>122</v>
      </c>
      <c r="U262">
        <v>0.9622950819672131</v>
      </c>
      <c r="V262">
        <v>5.7755</v>
      </c>
      <c r="W262">
        <v>7.6</v>
      </c>
      <c r="X262">
        <v>3.79</v>
      </c>
      <c r="Y262">
        <v>0.255615</v>
      </c>
      <c r="Z262">
        <v>0.5420240137221269</v>
      </c>
      <c r="AA262">
        <v>0.5631067961165048</v>
      </c>
      <c r="AB262">
        <v>0.6130856219709209</v>
      </c>
      <c r="AC262">
        <v>0.7705977382875606</v>
      </c>
      <c r="AD262">
        <v>0.7835218093699515</v>
      </c>
    </row>
    <row r="263" spans="1:30">
      <c r="A263" s="1" t="s">
        <v>270</v>
      </c>
      <c r="B263">
        <f>HYPERLINK("https://www.suredividend.com/sure-analysis-CEO","CNOOC Ltd.")</f>
        <v>0</v>
      </c>
      <c r="C263">
        <v>159.87</v>
      </c>
      <c r="D263">
        <v>71377.95825</v>
      </c>
      <c r="E263" t="s">
        <v>659</v>
      </c>
      <c r="F263" t="s">
        <v>629</v>
      </c>
      <c r="G263" t="s">
        <v>686</v>
      </c>
      <c r="H263" t="s">
        <v>703</v>
      </c>
      <c r="I263" t="s">
        <v>968</v>
      </c>
      <c r="J263" t="s">
        <v>1312</v>
      </c>
      <c r="K263">
        <v>43711</v>
      </c>
      <c r="L263">
        <v>0.052227434790767</v>
      </c>
      <c r="M263">
        <v>0.002650576634419144</v>
      </c>
      <c r="N263">
        <v>0.05</v>
      </c>
      <c r="O263">
        <v>0.09644512536971983</v>
      </c>
      <c r="P263" t="s">
        <v>494</v>
      </c>
      <c r="Q263" t="s">
        <v>634</v>
      </c>
      <c r="R263">
        <v>3</v>
      </c>
      <c r="S263">
        <v>0.4638666666666667</v>
      </c>
      <c r="T263">
        <v>162</v>
      </c>
      <c r="U263">
        <v>0.9868518518518519</v>
      </c>
      <c r="V263">
        <v>18.8687</v>
      </c>
      <c r="W263">
        <v>18</v>
      </c>
      <c r="X263">
        <v>8.349600000000001</v>
      </c>
      <c r="Y263">
        <v>-0.0418</v>
      </c>
      <c r="Z263">
        <v>0.7890222984562607</v>
      </c>
      <c r="AA263">
        <v>0.1245954692556634</v>
      </c>
      <c r="AB263">
        <v>0.4588045234248789</v>
      </c>
      <c r="AC263">
        <v>0.7285945072697899</v>
      </c>
      <c r="AD263">
        <v>0.7819063004846527</v>
      </c>
    </row>
    <row r="264" spans="1:30">
      <c r="A264" s="1" t="s">
        <v>271</v>
      </c>
      <c r="B264">
        <f>HYPERLINK("https://www.suredividend.com/sure-analysis-ENB","Enbridge, Inc.")</f>
        <v>0</v>
      </c>
      <c r="C264">
        <v>39.42</v>
      </c>
      <c r="D264">
        <v>79783.32060000001</v>
      </c>
      <c r="E264" t="s">
        <v>663</v>
      </c>
      <c r="F264" t="s">
        <v>629</v>
      </c>
      <c r="G264" t="s">
        <v>675</v>
      </c>
      <c r="H264" t="s">
        <v>703</v>
      </c>
      <c r="I264" t="s">
        <v>969</v>
      </c>
      <c r="J264" t="s">
        <v>1325</v>
      </c>
      <c r="K264">
        <v>43714</v>
      </c>
      <c r="L264">
        <v>0.05514129555702001</v>
      </c>
      <c r="M264">
        <v>-0.01259113770822484</v>
      </c>
      <c r="N264">
        <v>0.055</v>
      </c>
      <c r="O264">
        <v>0.09582058320950915</v>
      </c>
      <c r="P264" t="s">
        <v>494</v>
      </c>
      <c r="Q264" t="s">
        <v>633</v>
      </c>
      <c r="R264">
        <v>23</v>
      </c>
      <c r="S264">
        <v>0.6393146678993382</v>
      </c>
      <c r="T264">
        <v>37</v>
      </c>
      <c r="U264">
        <v>1.065405405405405</v>
      </c>
      <c r="V264">
        <v>2.1125</v>
      </c>
      <c r="W264">
        <v>3.4</v>
      </c>
      <c r="X264">
        <v>2.17366987085775</v>
      </c>
      <c r="Y264">
        <v>0.281534</v>
      </c>
      <c r="Z264">
        <v>0.8096054888507719</v>
      </c>
      <c r="AA264">
        <v>0.6051779935275081</v>
      </c>
      <c r="AB264">
        <v>0.5452342487883683</v>
      </c>
      <c r="AC264">
        <v>0.6138933764135703</v>
      </c>
      <c r="AD264">
        <v>0.7802907915993538</v>
      </c>
    </row>
    <row r="265" spans="1:30">
      <c r="A265" s="1" t="s">
        <v>272</v>
      </c>
      <c r="B265">
        <f>HYPERLINK("https://www.suredividend.com/sure-analysis-LAZ","Lazard Ltd.")</f>
        <v>0</v>
      </c>
      <c r="C265">
        <v>38.91</v>
      </c>
      <c r="D265">
        <v>4086.75621</v>
      </c>
      <c r="E265" t="s">
        <v>657</v>
      </c>
      <c r="F265" t="s">
        <v>629</v>
      </c>
      <c r="G265" t="s">
        <v>673</v>
      </c>
      <c r="H265" t="s">
        <v>703</v>
      </c>
      <c r="I265" t="s">
        <v>970</v>
      </c>
      <c r="J265" t="s">
        <v>1309</v>
      </c>
      <c r="K265">
        <v>43773</v>
      </c>
      <c r="L265">
        <v>0.046774608069904</v>
      </c>
      <c r="M265">
        <v>0.000462178598268137</v>
      </c>
      <c r="N265">
        <v>0.05</v>
      </c>
      <c r="O265">
        <v>0.0935215847807902</v>
      </c>
      <c r="P265" t="s">
        <v>494</v>
      </c>
      <c r="Q265" t="s">
        <v>634</v>
      </c>
      <c r="R265">
        <v>12</v>
      </c>
      <c r="S265">
        <v>0.5617283950617283</v>
      </c>
      <c r="T265">
        <v>39</v>
      </c>
      <c r="U265">
        <v>0.9976923076923077</v>
      </c>
      <c r="V265">
        <v>2.8564</v>
      </c>
      <c r="W265">
        <v>3.24</v>
      </c>
      <c r="X265">
        <v>1.82</v>
      </c>
      <c r="Y265">
        <v>0.118103</v>
      </c>
      <c r="Z265">
        <v>0.7375643224699828</v>
      </c>
      <c r="AA265">
        <v>0.3058252427184466</v>
      </c>
      <c r="AB265">
        <v>0.4588045234248789</v>
      </c>
      <c r="AC265">
        <v>0.7124394184168013</v>
      </c>
      <c r="AD265">
        <v>0.7625201938610663</v>
      </c>
    </row>
    <row r="266" spans="1:30">
      <c r="A266" s="1" t="s">
        <v>273</v>
      </c>
      <c r="B266">
        <f>HYPERLINK("https://www.suredividend.com/sure-analysis-AVGO","Broadcom, Inc.")</f>
        <v>0</v>
      </c>
      <c r="C266">
        <v>319</v>
      </c>
      <c r="D266">
        <v>126538.049</v>
      </c>
      <c r="E266" t="s">
        <v>663</v>
      </c>
      <c r="F266" t="s">
        <v>629</v>
      </c>
      <c r="G266" t="s">
        <v>673</v>
      </c>
      <c r="H266" t="s">
        <v>704</v>
      </c>
      <c r="I266" t="s">
        <v>971</v>
      </c>
      <c r="J266" t="s">
        <v>1308</v>
      </c>
      <c r="K266">
        <v>43733</v>
      </c>
      <c r="L266">
        <v>0.03322884012539101</v>
      </c>
      <c r="M266">
        <v>-0.02783984475062173</v>
      </c>
      <c r="N266">
        <v>0.09</v>
      </c>
      <c r="O266">
        <v>0.09281609442075078</v>
      </c>
      <c r="P266" t="s">
        <v>494</v>
      </c>
      <c r="Q266" t="s">
        <v>494</v>
      </c>
      <c r="R266">
        <v>9</v>
      </c>
      <c r="S266">
        <v>0.4971857410881801</v>
      </c>
      <c r="T266">
        <v>277</v>
      </c>
      <c r="U266">
        <v>1.151624548736462</v>
      </c>
      <c r="V266">
        <v>6.772</v>
      </c>
      <c r="W266">
        <v>21.32</v>
      </c>
      <c r="X266">
        <v>10.6</v>
      </c>
      <c r="Y266">
        <v>0.302519</v>
      </c>
      <c r="Z266">
        <v>0.5643224699828473</v>
      </c>
      <c r="AA266">
        <v>0.6326860841423948</v>
      </c>
      <c r="AB266">
        <v>0.8877221324717286</v>
      </c>
      <c r="AC266">
        <v>0.4878836833602584</v>
      </c>
      <c r="AD266">
        <v>0.7560581583198708</v>
      </c>
    </row>
    <row r="267" spans="1:30">
      <c r="A267" s="1" t="s">
        <v>274</v>
      </c>
      <c r="B267">
        <f>HYPERLINK("https://www.suredividend.com/sure-analysis-BNPQF","BNP Paribas SA")</f>
        <v>0</v>
      </c>
      <c r="C267">
        <v>59.4</v>
      </c>
      <c r="D267">
        <v>74137.74974100001</v>
      </c>
      <c r="E267" t="s">
        <v>664</v>
      </c>
      <c r="F267" t="s">
        <v>629</v>
      </c>
      <c r="G267" t="s">
        <v>688</v>
      </c>
      <c r="H267" t="s">
        <v>705</v>
      </c>
      <c r="I267" t="s">
        <v>972</v>
      </c>
      <c r="J267" t="s">
        <v>1309</v>
      </c>
      <c r="K267">
        <v>43710</v>
      </c>
      <c r="L267">
        <v>0.05084175084175</v>
      </c>
      <c r="M267">
        <v>0.01502959671953263</v>
      </c>
      <c r="N267">
        <v>0.03</v>
      </c>
      <c r="O267">
        <v>0.0922753092488704</v>
      </c>
      <c r="P267" t="s">
        <v>494</v>
      </c>
      <c r="Q267" t="s">
        <v>634</v>
      </c>
      <c r="R267">
        <v>3</v>
      </c>
      <c r="S267">
        <v>0.4428152492668622</v>
      </c>
      <c r="T267">
        <v>64</v>
      </c>
      <c r="U267">
        <v>0.928125</v>
      </c>
      <c r="V267">
        <v>6.909</v>
      </c>
      <c r="W267">
        <v>6.82</v>
      </c>
      <c r="X267">
        <v>3.02</v>
      </c>
      <c r="Y267">
        <v>0.333633</v>
      </c>
      <c r="Z267">
        <v>0.7770154373927959</v>
      </c>
      <c r="AA267">
        <v>0.6682847896440129</v>
      </c>
      <c r="AB267">
        <v>0.2003231017770598</v>
      </c>
      <c r="AC267">
        <v>0.8190630048465266</v>
      </c>
      <c r="AD267">
        <v>0.7512116316639741</v>
      </c>
    </row>
    <row r="268" spans="1:30">
      <c r="A268" s="1" t="s">
        <v>275</v>
      </c>
      <c r="B268">
        <f>HYPERLINK("https://www.suredividend.com/sure-analysis-SJM","The J. M. Smucker Co.")</f>
        <v>0</v>
      </c>
      <c r="C268">
        <v>103.71</v>
      </c>
      <c r="D268">
        <v>11828.74776</v>
      </c>
      <c r="E268" t="s">
        <v>658</v>
      </c>
      <c r="F268" t="s">
        <v>629</v>
      </c>
      <c r="G268" t="s">
        <v>673</v>
      </c>
      <c r="H268" t="s">
        <v>703</v>
      </c>
      <c r="I268" t="s">
        <v>973</v>
      </c>
      <c r="J268" t="s">
        <v>1322</v>
      </c>
      <c r="K268">
        <v>43791</v>
      </c>
      <c r="L268">
        <v>0.03336226014849</v>
      </c>
      <c r="M268">
        <v>0.01184597901992901</v>
      </c>
      <c r="N268">
        <v>0.05</v>
      </c>
      <c r="O268">
        <v>0.0913380161747448</v>
      </c>
      <c r="P268" t="s">
        <v>494</v>
      </c>
      <c r="Q268" t="s">
        <v>634</v>
      </c>
      <c r="R268">
        <v>21</v>
      </c>
      <c r="S268">
        <v>0.5014492753623188</v>
      </c>
      <c r="T268">
        <v>110</v>
      </c>
      <c r="U268">
        <v>0.9428181818181818</v>
      </c>
      <c r="V268">
        <v>4.903</v>
      </c>
      <c r="W268">
        <v>6.9</v>
      </c>
      <c r="X268">
        <v>3.46</v>
      </c>
      <c r="Y268">
        <v>0.07918799999999999</v>
      </c>
      <c r="Z268">
        <v>0.5677530017152659</v>
      </c>
      <c r="AA268">
        <v>0.2556634304207119</v>
      </c>
      <c r="AB268">
        <v>0.4588045234248789</v>
      </c>
      <c r="AC268">
        <v>0.8012924071082391</v>
      </c>
      <c r="AD268">
        <v>0.7463651050080776</v>
      </c>
    </row>
    <row r="269" spans="1:30">
      <c r="A269" s="1" t="s">
        <v>276</v>
      </c>
      <c r="B269">
        <f>HYPERLINK("https://www.suredividend.com/sure-analysis-JACK","Jack in the Box, Inc.")</f>
        <v>0</v>
      </c>
      <c r="C269">
        <v>77.58</v>
      </c>
      <c r="D269">
        <v>1834.92216</v>
      </c>
      <c r="E269" t="s">
        <v>659</v>
      </c>
      <c r="F269" t="s">
        <v>629</v>
      </c>
      <c r="G269" t="s">
        <v>673</v>
      </c>
      <c r="H269" t="s">
        <v>704</v>
      </c>
      <c r="I269" t="s">
        <v>974</v>
      </c>
      <c r="J269" t="s">
        <v>1324</v>
      </c>
      <c r="K269">
        <v>43791</v>
      </c>
      <c r="L269">
        <v>0.020623872131992</v>
      </c>
      <c r="M269">
        <v>0.003634225933794255</v>
      </c>
      <c r="N269">
        <v>0.07000000000000001</v>
      </c>
      <c r="O269">
        <v>0.09109262123987616</v>
      </c>
      <c r="P269" t="s">
        <v>494</v>
      </c>
      <c r="Q269" t="s">
        <v>405</v>
      </c>
      <c r="R269">
        <v>3</v>
      </c>
      <c r="S269">
        <v>0.3686635944700461</v>
      </c>
      <c r="T269">
        <v>79</v>
      </c>
      <c r="U269">
        <v>0.9820253164556961</v>
      </c>
      <c r="V269">
        <v>3.6612</v>
      </c>
      <c r="W269">
        <v>4.34</v>
      </c>
      <c r="X269">
        <v>1.6</v>
      </c>
      <c r="Y269">
        <v>0.006748</v>
      </c>
      <c r="Z269">
        <v>0.3190394511149228</v>
      </c>
      <c r="AA269">
        <v>0.1763754045307443</v>
      </c>
      <c r="AB269">
        <v>0.7245557350565428</v>
      </c>
      <c r="AC269">
        <v>0.7431340872374799</v>
      </c>
      <c r="AD269">
        <v>0.7447495961227787</v>
      </c>
    </row>
    <row r="270" spans="1:30">
      <c r="A270" s="1" t="s">
        <v>277</v>
      </c>
      <c r="B270">
        <f>HYPERLINK("https://www.suredividend.com/sure-analysis-VZ","Verizon Communications, Inc.")</f>
        <v>0</v>
      </c>
      <c r="C270">
        <v>62.07</v>
      </c>
      <c r="D270">
        <v>256707.8646</v>
      </c>
      <c r="E270" t="s">
        <v>660</v>
      </c>
      <c r="F270" t="s">
        <v>629</v>
      </c>
      <c r="G270" t="s">
        <v>673</v>
      </c>
      <c r="H270" t="s">
        <v>703</v>
      </c>
      <c r="I270" t="s">
        <v>975</v>
      </c>
      <c r="J270" t="s">
        <v>1318</v>
      </c>
      <c r="K270">
        <v>43763</v>
      </c>
      <c r="L270">
        <v>0.039028516191396</v>
      </c>
      <c r="M270">
        <v>0.01540339576923588</v>
      </c>
      <c r="N270">
        <v>0.04</v>
      </c>
      <c r="O270">
        <v>0.08904587594166191</v>
      </c>
      <c r="P270" t="s">
        <v>494</v>
      </c>
      <c r="Q270" t="s">
        <v>634</v>
      </c>
      <c r="R270">
        <v>14</v>
      </c>
      <c r="S270">
        <v>0.5046875</v>
      </c>
      <c r="T270">
        <v>67</v>
      </c>
      <c r="U270">
        <v>0.9264179104477612</v>
      </c>
      <c r="V270">
        <v>3.8944</v>
      </c>
      <c r="W270">
        <v>4.8</v>
      </c>
      <c r="X270">
        <v>2.4225</v>
      </c>
      <c r="Y270">
        <v>0.130189</v>
      </c>
      <c r="Z270">
        <v>0.6380789022298456</v>
      </c>
      <c r="AA270">
        <v>0.3203883495145631</v>
      </c>
      <c r="AB270">
        <v>0.3182552504038772</v>
      </c>
      <c r="AC270">
        <v>0.8255250403877221</v>
      </c>
      <c r="AD270">
        <v>0.7366720516962844</v>
      </c>
    </row>
    <row r="271" spans="1:30">
      <c r="A271" s="1" t="s">
        <v>278</v>
      </c>
      <c r="B271">
        <f>HYPERLINK("https://www.suredividend.com/sure-analysis-WFC","Wells Fargo &amp; Co.")</f>
        <v>0</v>
      </c>
      <c r="C271">
        <v>53.33</v>
      </c>
      <c r="D271">
        <v>225551.7688</v>
      </c>
      <c r="E271" t="s">
        <v>661</v>
      </c>
      <c r="F271" t="s">
        <v>629</v>
      </c>
      <c r="G271" t="s">
        <v>673</v>
      </c>
      <c r="H271" t="s">
        <v>703</v>
      </c>
      <c r="I271" t="s">
        <v>976</v>
      </c>
      <c r="J271" t="s">
        <v>1309</v>
      </c>
      <c r="K271">
        <v>43756</v>
      </c>
      <c r="L271">
        <v>0.034502156384774</v>
      </c>
      <c r="M271">
        <v>-0.001240651966289863</v>
      </c>
      <c r="N271">
        <v>0.06</v>
      </c>
      <c r="O271">
        <v>0.08894107253541228</v>
      </c>
      <c r="P271" t="s">
        <v>494</v>
      </c>
      <c r="Q271" t="s">
        <v>634</v>
      </c>
      <c r="R271">
        <v>9</v>
      </c>
      <c r="S271">
        <v>0.3833333333333333</v>
      </c>
      <c r="T271">
        <v>53</v>
      </c>
      <c r="U271">
        <v>1.00622641509434</v>
      </c>
      <c r="V271">
        <v>4.6646</v>
      </c>
      <c r="W271">
        <v>4.8</v>
      </c>
      <c r="X271">
        <v>1.84</v>
      </c>
      <c r="Y271">
        <v>0.181959</v>
      </c>
      <c r="Z271">
        <v>0.5831903945111493</v>
      </c>
      <c r="AA271">
        <v>0.4239482200647249</v>
      </c>
      <c r="AB271">
        <v>0.6130856219709209</v>
      </c>
      <c r="AC271">
        <v>0.6978998384491115</v>
      </c>
      <c r="AD271">
        <v>0.7350565428109854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53.75</v>
      </c>
      <c r="D272">
        <v>2864.445</v>
      </c>
      <c r="E272" t="s">
        <v>658</v>
      </c>
      <c r="F272" t="s">
        <v>629</v>
      </c>
      <c r="G272" t="s">
        <v>673</v>
      </c>
      <c r="H272" t="s">
        <v>703</v>
      </c>
      <c r="I272" t="s">
        <v>977</v>
      </c>
      <c r="J272" t="s">
        <v>1309</v>
      </c>
      <c r="K272">
        <v>43767</v>
      </c>
      <c r="L272">
        <v>0.04055813953488301</v>
      </c>
      <c r="M272">
        <v>0.02224396749591118</v>
      </c>
      <c r="N272">
        <v>0.03</v>
      </c>
      <c r="O272">
        <v>0.087580159230217</v>
      </c>
      <c r="P272" t="s">
        <v>494</v>
      </c>
      <c r="Q272" t="s">
        <v>634</v>
      </c>
      <c r="R272">
        <v>14</v>
      </c>
      <c r="S272">
        <v>0.4360000000000001</v>
      </c>
      <c r="T272">
        <v>60</v>
      </c>
      <c r="U272">
        <v>0.8958333333333334</v>
      </c>
      <c r="V272">
        <v>2.5831</v>
      </c>
      <c r="W272">
        <v>5</v>
      </c>
      <c r="X272">
        <v>2.18</v>
      </c>
      <c r="Y272">
        <v>0.166703</v>
      </c>
      <c r="Z272">
        <v>0.660377358490566</v>
      </c>
      <c r="AA272">
        <v>0.3883495145631068</v>
      </c>
      <c r="AB272">
        <v>0.2003231017770598</v>
      </c>
      <c r="AC272">
        <v>0.877221324717286</v>
      </c>
      <c r="AD272">
        <v>0.7302100161550888</v>
      </c>
    </row>
    <row r="273" spans="1:30">
      <c r="A273" s="1" t="s">
        <v>280</v>
      </c>
      <c r="B273">
        <f>HYPERLINK("https://www.suredividend.com/sure-analysis-KEY","KeyCorp")</f>
        <v>0</v>
      </c>
      <c r="C273">
        <v>20.4</v>
      </c>
      <c r="D273">
        <v>20093.1432</v>
      </c>
      <c r="E273" t="s">
        <v>658</v>
      </c>
      <c r="F273" t="s">
        <v>629</v>
      </c>
      <c r="G273" t="s">
        <v>673</v>
      </c>
      <c r="H273" t="s">
        <v>703</v>
      </c>
      <c r="I273" t="s">
        <v>978</v>
      </c>
      <c r="J273" t="s">
        <v>1309</v>
      </c>
      <c r="K273">
        <v>43755</v>
      </c>
      <c r="L273">
        <v>0.03406862745098</v>
      </c>
      <c r="M273">
        <v>0.005814345444414393</v>
      </c>
      <c r="N273">
        <v>0.05</v>
      </c>
      <c r="O273">
        <v>0.08701276015779702</v>
      </c>
      <c r="P273" t="s">
        <v>494</v>
      </c>
      <c r="Q273" t="s">
        <v>634</v>
      </c>
      <c r="R273">
        <v>8</v>
      </c>
      <c r="S273">
        <v>0.3971428571428572</v>
      </c>
      <c r="T273">
        <v>21</v>
      </c>
      <c r="U273">
        <v>0.9714285714285713</v>
      </c>
      <c r="V273">
        <v>1.6253</v>
      </c>
      <c r="W273">
        <v>1.75</v>
      </c>
      <c r="X273">
        <v>0.6950000000000001</v>
      </c>
      <c r="Y273">
        <v>0.426573</v>
      </c>
      <c r="Z273">
        <v>0.5797598627787307</v>
      </c>
      <c r="AA273">
        <v>0.8025889967637541</v>
      </c>
      <c r="AB273">
        <v>0.4588045234248789</v>
      </c>
      <c r="AC273">
        <v>0.7576736672051696</v>
      </c>
      <c r="AD273">
        <v>0.7285945072697899</v>
      </c>
    </row>
    <row r="274" spans="1:30">
      <c r="A274" s="1" t="s">
        <v>281</v>
      </c>
      <c r="B274">
        <f>HYPERLINK("https://www.suredividend.com/sure-analysis-GLW","Corning, Inc.")</f>
        <v>0</v>
      </c>
      <c r="C274">
        <v>29.01</v>
      </c>
      <c r="D274">
        <v>22311.8811</v>
      </c>
      <c r="E274" t="s">
        <v>658</v>
      </c>
      <c r="F274" t="s">
        <v>629</v>
      </c>
      <c r="G274" t="s">
        <v>673</v>
      </c>
      <c r="H274" t="s">
        <v>703</v>
      </c>
      <c r="I274" t="s">
        <v>979</v>
      </c>
      <c r="J274" t="s">
        <v>1308</v>
      </c>
      <c r="K274">
        <v>43767</v>
      </c>
      <c r="L274">
        <v>0.02688728024819</v>
      </c>
      <c r="M274">
        <v>-6.895125212091902e-05</v>
      </c>
      <c r="N274">
        <v>0.06</v>
      </c>
      <c r="O274">
        <v>0.08660094370403426</v>
      </c>
      <c r="P274" t="s">
        <v>494</v>
      </c>
      <c r="Q274" t="s">
        <v>494</v>
      </c>
      <c r="R274">
        <v>9</v>
      </c>
      <c r="S274">
        <v>0.4105263157894737</v>
      </c>
      <c r="T274">
        <v>29</v>
      </c>
      <c r="U274">
        <v>1.000344827586207</v>
      </c>
      <c r="V274">
        <v>1.4368</v>
      </c>
      <c r="W274">
        <v>1.9</v>
      </c>
      <c r="X274">
        <v>0.78</v>
      </c>
      <c r="Y274">
        <v>0.007991999999999999</v>
      </c>
      <c r="Z274">
        <v>0.4493996569468268</v>
      </c>
      <c r="AA274">
        <v>0.1796116504854369</v>
      </c>
      <c r="AB274">
        <v>0.6130856219709209</v>
      </c>
      <c r="AC274">
        <v>0.7092084006462035</v>
      </c>
      <c r="AD274">
        <v>0.7237479806138934</v>
      </c>
    </row>
    <row r="275" spans="1:30">
      <c r="A275" s="1" t="s">
        <v>282</v>
      </c>
      <c r="B275">
        <f>HYPERLINK("https://www.suredividend.com/sure-analysis-WRK","WestRock Co.")</f>
        <v>0</v>
      </c>
      <c r="C275">
        <v>42.48</v>
      </c>
      <c r="D275">
        <v>10969.52544</v>
      </c>
      <c r="E275" t="s">
        <v>659</v>
      </c>
      <c r="F275" t="s">
        <v>629</v>
      </c>
      <c r="G275" t="s">
        <v>673</v>
      </c>
      <c r="H275" t="s">
        <v>703</v>
      </c>
      <c r="I275" t="s">
        <v>980</v>
      </c>
      <c r="J275" t="s">
        <v>1314</v>
      </c>
      <c r="K275">
        <v>43781</v>
      </c>
      <c r="L275">
        <v>0.042843691148775</v>
      </c>
      <c r="M275">
        <v>0.02896905574288655</v>
      </c>
      <c r="N275">
        <v>0.02</v>
      </c>
      <c r="O275">
        <v>0.08647655756728501</v>
      </c>
      <c r="P275" t="s">
        <v>494</v>
      </c>
      <c r="Q275" t="s">
        <v>634</v>
      </c>
      <c r="R275">
        <v>10</v>
      </c>
      <c r="S275">
        <v>0.4607594936708861</v>
      </c>
      <c r="T275">
        <v>49</v>
      </c>
      <c r="U275">
        <v>0.866938775510204</v>
      </c>
      <c r="V275">
        <v>3.358</v>
      </c>
      <c r="W275">
        <v>3.95</v>
      </c>
      <c r="X275">
        <v>1.82</v>
      </c>
      <c r="Y275">
        <v>0.149973</v>
      </c>
      <c r="Z275">
        <v>0.6912521440823327</v>
      </c>
      <c r="AA275">
        <v>0.3624595469255664</v>
      </c>
      <c r="AB275">
        <v>0.1219709208400646</v>
      </c>
      <c r="AC275">
        <v>0.9095315024232633</v>
      </c>
      <c r="AD275">
        <v>0.7221324717285945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119.68</v>
      </c>
      <c r="D276">
        <v>226299.3216</v>
      </c>
      <c r="E276" t="s">
        <v>659</v>
      </c>
      <c r="F276" t="s">
        <v>629</v>
      </c>
      <c r="G276" t="s">
        <v>673</v>
      </c>
      <c r="H276" t="s">
        <v>703</v>
      </c>
      <c r="I276" t="s">
        <v>981</v>
      </c>
      <c r="J276" t="s">
        <v>1312</v>
      </c>
      <c r="K276">
        <v>43774</v>
      </c>
      <c r="L276">
        <v>0.039187834224598</v>
      </c>
      <c r="M276">
        <v>-0.0276953746124744</v>
      </c>
      <c r="N276">
        <v>0.08</v>
      </c>
      <c r="O276">
        <v>0.08531064404772737</v>
      </c>
      <c r="P276" t="s">
        <v>494</v>
      </c>
      <c r="Q276" t="s">
        <v>634</v>
      </c>
      <c r="R276">
        <v>32</v>
      </c>
      <c r="S276">
        <v>0.7106060606060607</v>
      </c>
      <c r="T276">
        <v>104</v>
      </c>
      <c r="U276">
        <v>1.150769230769231</v>
      </c>
      <c r="V276">
        <v>7.0236</v>
      </c>
      <c r="W276">
        <v>6.6</v>
      </c>
      <c r="X276">
        <v>4.69</v>
      </c>
      <c r="Y276">
        <v>0.14845</v>
      </c>
      <c r="Z276">
        <v>0.6397941680960549</v>
      </c>
      <c r="AA276">
        <v>0.3559870550161812</v>
      </c>
      <c r="AB276">
        <v>0.8182552504038771</v>
      </c>
      <c r="AC276">
        <v>0.4911147011308563</v>
      </c>
      <c r="AD276">
        <v>0.7140549273021002</v>
      </c>
    </row>
    <row r="277" spans="1:30">
      <c r="A277" s="1" t="s">
        <v>284</v>
      </c>
      <c r="B277">
        <f>HYPERLINK("https://www.suredividend.com/sure-analysis-MSM","MSC Industrial Direct Co., Inc.")</f>
        <v>0</v>
      </c>
      <c r="C277">
        <v>78.77</v>
      </c>
      <c r="D277">
        <v>4351.124672</v>
      </c>
      <c r="E277" t="s">
        <v>665</v>
      </c>
      <c r="F277" t="s">
        <v>629</v>
      </c>
      <c r="G277" t="s">
        <v>673</v>
      </c>
      <c r="H277" t="s">
        <v>703</v>
      </c>
      <c r="I277" t="s">
        <v>982</v>
      </c>
      <c r="J277" t="s">
        <v>1311</v>
      </c>
      <c r="K277">
        <v>43770</v>
      </c>
      <c r="L277">
        <v>0.03351529770217</v>
      </c>
      <c r="M277">
        <v>-0.001962748689783078</v>
      </c>
      <c r="N277">
        <v>0.055</v>
      </c>
      <c r="O277">
        <v>0.08409338395888621</v>
      </c>
      <c r="P277" t="s">
        <v>494</v>
      </c>
      <c r="Q277" t="s">
        <v>634</v>
      </c>
      <c r="R277">
        <v>16</v>
      </c>
      <c r="S277">
        <v>0.5076923076923077</v>
      </c>
      <c r="T277">
        <v>78</v>
      </c>
      <c r="U277">
        <v>1.009871794871795</v>
      </c>
      <c r="V277">
        <v>5.2264</v>
      </c>
      <c r="W277">
        <v>5.2</v>
      </c>
      <c r="X277">
        <v>2.64</v>
      </c>
      <c r="Y277">
        <v>0.044834</v>
      </c>
      <c r="Z277">
        <v>0.5763293310463122</v>
      </c>
      <c r="AA277">
        <v>0.215210355987055</v>
      </c>
      <c r="AB277">
        <v>0.5452342487883683</v>
      </c>
      <c r="AC277">
        <v>0.6946688206785138</v>
      </c>
      <c r="AD277">
        <v>0.7059773828756059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15.15</v>
      </c>
      <c r="D278">
        <v>15646.314</v>
      </c>
      <c r="E278" t="s">
        <v>658</v>
      </c>
      <c r="F278" t="s">
        <v>629</v>
      </c>
      <c r="G278" t="s">
        <v>673</v>
      </c>
      <c r="H278" t="s">
        <v>704</v>
      </c>
      <c r="I278" t="s">
        <v>983</v>
      </c>
      <c r="J278" t="s">
        <v>1309</v>
      </c>
      <c r="K278">
        <v>43762</v>
      </c>
      <c r="L278">
        <v>0.037623762376237</v>
      </c>
      <c r="M278">
        <v>-0.00198808730186284</v>
      </c>
      <c r="N278">
        <v>0.05</v>
      </c>
      <c r="O278">
        <v>0.08185476619252574</v>
      </c>
      <c r="P278" t="s">
        <v>494</v>
      </c>
      <c r="Q278" t="s">
        <v>634</v>
      </c>
      <c r="R278">
        <v>8</v>
      </c>
      <c r="S278">
        <v>0.4560000000000001</v>
      </c>
      <c r="T278">
        <v>15</v>
      </c>
      <c r="U278">
        <v>1.01</v>
      </c>
      <c r="V278">
        <v>1.2957</v>
      </c>
      <c r="W278">
        <v>1.25</v>
      </c>
      <c r="X278">
        <v>0.5700000000000001</v>
      </c>
      <c r="Y278">
        <v>0.307161</v>
      </c>
      <c r="Z278">
        <v>0.6226415094339622</v>
      </c>
      <c r="AA278">
        <v>0.6391585760517799</v>
      </c>
      <c r="AB278">
        <v>0.4588045234248789</v>
      </c>
      <c r="AC278">
        <v>0.6930533117932148</v>
      </c>
      <c r="AD278">
        <v>0.6849757673667205</v>
      </c>
    </row>
    <row r="279" spans="1:30">
      <c r="A279" s="1" t="s">
        <v>286</v>
      </c>
      <c r="B279">
        <f>HYPERLINK("https://www.suredividend.com/sure-analysis-NTAP","NetApp, Inc.")</f>
        <v>0</v>
      </c>
      <c r="C279">
        <v>62.07</v>
      </c>
      <c r="D279">
        <v>14165.98782</v>
      </c>
      <c r="E279" t="s">
        <v>658</v>
      </c>
      <c r="F279" t="s">
        <v>629</v>
      </c>
      <c r="G279" t="s">
        <v>673</v>
      </c>
      <c r="H279" t="s">
        <v>704</v>
      </c>
      <c r="I279" t="s">
        <v>984</v>
      </c>
      <c r="J279" t="s">
        <v>1308</v>
      </c>
      <c r="K279">
        <v>43783</v>
      </c>
      <c r="L279">
        <v>0.028355082970839</v>
      </c>
      <c r="M279">
        <v>-0.006760686670137961</v>
      </c>
      <c r="N279">
        <v>0.06</v>
      </c>
      <c r="O279">
        <v>0.08021196892561355</v>
      </c>
      <c r="P279" t="s">
        <v>494</v>
      </c>
      <c r="Q279" t="s">
        <v>494</v>
      </c>
      <c r="R279">
        <v>5</v>
      </c>
      <c r="S279">
        <v>0.44</v>
      </c>
      <c r="T279">
        <v>60</v>
      </c>
      <c r="U279">
        <v>1.0345</v>
      </c>
      <c r="V279">
        <v>4.0773</v>
      </c>
      <c r="W279">
        <v>4</v>
      </c>
      <c r="X279">
        <v>1.76</v>
      </c>
      <c r="Y279">
        <v>0.09374399999999999</v>
      </c>
      <c r="Z279">
        <v>0.4768439108061749</v>
      </c>
      <c r="AA279">
        <v>0.2734627831715211</v>
      </c>
      <c r="AB279">
        <v>0.6130856219709209</v>
      </c>
      <c r="AC279">
        <v>0.6526655896607432</v>
      </c>
      <c r="AD279">
        <v>0.6704361873990307</v>
      </c>
    </row>
    <row r="280" spans="1:30">
      <c r="A280" s="1" t="s">
        <v>287</v>
      </c>
      <c r="B280">
        <f>HYPERLINK("https://www.suredividend.com/sure-analysis-KTB","Kontoor Brands, Inc.")</f>
        <v>0</v>
      </c>
      <c r="C280">
        <v>40.76</v>
      </c>
      <c r="D280">
        <v>2321.0782</v>
      </c>
      <c r="E280" t="s">
        <v>663</v>
      </c>
      <c r="F280" t="s">
        <v>629</v>
      </c>
      <c r="G280" t="s">
        <v>673</v>
      </c>
      <c r="H280" t="s">
        <v>703</v>
      </c>
      <c r="I280" t="s">
        <v>985</v>
      </c>
      <c r="J280" t="s">
        <v>1322</v>
      </c>
      <c r="K280">
        <v>43736</v>
      </c>
      <c r="L280">
        <v>0.027477919528949</v>
      </c>
      <c r="M280">
        <v>-0.003757274561456914</v>
      </c>
      <c r="N280">
        <v>0.04</v>
      </c>
      <c r="O280">
        <v>0.07991452278844213</v>
      </c>
      <c r="P280" t="s">
        <v>494</v>
      </c>
      <c r="Q280" t="s">
        <v>494</v>
      </c>
      <c r="R280">
        <v>0</v>
      </c>
      <c r="S280">
        <v>0.3612903225806452</v>
      </c>
      <c r="T280">
        <v>40</v>
      </c>
      <c r="U280">
        <v>1.019</v>
      </c>
      <c r="W280">
        <v>3.1</v>
      </c>
      <c r="X280">
        <v>1.12</v>
      </c>
      <c r="Y280">
        <v>0.05595899999999999</v>
      </c>
      <c r="Z280">
        <v>0.4596912521440823</v>
      </c>
      <c r="AA280">
        <v>0.2313915857605178</v>
      </c>
      <c r="AB280">
        <v>0.3182552504038772</v>
      </c>
      <c r="AC280">
        <v>0.6768982229402262</v>
      </c>
      <c r="AD280">
        <v>0.6623586429725364</v>
      </c>
    </row>
    <row r="281" spans="1:30">
      <c r="A281" s="1" t="s">
        <v>288</v>
      </c>
      <c r="B281">
        <f>HYPERLINK("https://www.suredividend.com/sure-analysis-LYB","LyondellBasell Industries NV")</f>
        <v>0</v>
      </c>
      <c r="C281">
        <v>93.94</v>
      </c>
      <c r="D281">
        <v>31320.62934</v>
      </c>
      <c r="E281" t="s">
        <v>658</v>
      </c>
      <c r="F281" t="s">
        <v>629</v>
      </c>
      <c r="G281" t="s">
        <v>677</v>
      </c>
      <c r="H281" t="s">
        <v>703</v>
      </c>
      <c r="I281" t="s">
        <v>986</v>
      </c>
      <c r="J281" t="s">
        <v>1314</v>
      </c>
      <c r="K281">
        <v>43770</v>
      </c>
      <c r="L281">
        <v>0.04364487971045301</v>
      </c>
      <c r="M281">
        <v>-0.008532710068090865</v>
      </c>
      <c r="N281">
        <v>0.05</v>
      </c>
      <c r="O281">
        <v>0.0793805682024824</v>
      </c>
      <c r="P281" t="s">
        <v>494</v>
      </c>
      <c r="Q281" t="s">
        <v>633</v>
      </c>
      <c r="R281">
        <v>8</v>
      </c>
      <c r="S281">
        <v>0.41</v>
      </c>
      <c r="T281">
        <v>90</v>
      </c>
      <c r="U281">
        <v>1.043777777777778</v>
      </c>
      <c r="V281">
        <v>9.5525</v>
      </c>
      <c r="W281">
        <v>10</v>
      </c>
      <c r="X281">
        <v>4.1</v>
      </c>
      <c r="Y281">
        <v>0.188963</v>
      </c>
      <c r="Z281">
        <v>0.7084048027444254</v>
      </c>
      <c r="AA281">
        <v>0.4352750809061489</v>
      </c>
      <c r="AB281">
        <v>0.4588045234248789</v>
      </c>
      <c r="AC281">
        <v>0.6348949919224556</v>
      </c>
      <c r="AD281">
        <v>0.6558966074313409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499.59</v>
      </c>
      <c r="D282">
        <v>77522.87907</v>
      </c>
      <c r="E282" t="s">
        <v>662</v>
      </c>
      <c r="F282" t="s">
        <v>629</v>
      </c>
      <c r="G282" t="s">
        <v>673</v>
      </c>
      <c r="H282" t="s">
        <v>703</v>
      </c>
      <c r="I282" t="s">
        <v>987</v>
      </c>
      <c r="J282" t="s">
        <v>1309</v>
      </c>
      <c r="K282">
        <v>43759</v>
      </c>
      <c r="L282">
        <v>0.026081386737124</v>
      </c>
      <c r="M282">
        <v>-0.02686173363117961</v>
      </c>
      <c r="N282">
        <v>0.08</v>
      </c>
      <c r="O282">
        <v>0.07710464143194873</v>
      </c>
      <c r="P282" t="s">
        <v>494</v>
      </c>
      <c r="Q282" t="s">
        <v>494</v>
      </c>
      <c r="R282">
        <v>10</v>
      </c>
      <c r="S282">
        <v>0.4480742778541953</v>
      </c>
      <c r="T282">
        <v>436</v>
      </c>
      <c r="U282">
        <v>1.145848623853211</v>
      </c>
      <c r="V282">
        <v>26.1596</v>
      </c>
      <c r="W282">
        <v>29.08</v>
      </c>
      <c r="X282">
        <v>13.03</v>
      </c>
      <c r="Y282">
        <v>0.353316</v>
      </c>
      <c r="Z282">
        <v>0.4339622641509434</v>
      </c>
      <c r="AA282">
        <v>0.6909385113268608</v>
      </c>
      <c r="AB282">
        <v>0.8182552504038771</v>
      </c>
      <c r="AC282">
        <v>0.5040387722132472</v>
      </c>
      <c r="AD282">
        <v>0.6381260096930533</v>
      </c>
    </row>
    <row r="283" spans="1:30">
      <c r="A283" s="1" t="s">
        <v>290</v>
      </c>
      <c r="B283">
        <f>HYPERLINK("https://www.suredividend.com/sure-analysis-HOG","Harley-Davidson, Inc.")</f>
        <v>0</v>
      </c>
      <c r="C283">
        <v>37.43</v>
      </c>
      <c r="D283">
        <v>5775.14956</v>
      </c>
      <c r="E283" t="s">
        <v>667</v>
      </c>
      <c r="F283" t="s">
        <v>629</v>
      </c>
      <c r="G283" t="s">
        <v>673</v>
      </c>
      <c r="H283" t="s">
        <v>703</v>
      </c>
      <c r="I283" t="s">
        <v>988</v>
      </c>
      <c r="J283" t="s">
        <v>1317</v>
      </c>
      <c r="K283">
        <v>43733</v>
      </c>
      <c r="L283">
        <v>0.039941223617419</v>
      </c>
      <c r="M283">
        <v>-0.007760447715437824</v>
      </c>
      <c r="N283">
        <v>0.051</v>
      </c>
      <c r="O283">
        <v>0.07695610223648508</v>
      </c>
      <c r="P283" t="s">
        <v>494</v>
      </c>
      <c r="Q283" t="s">
        <v>634</v>
      </c>
      <c r="R283">
        <v>9</v>
      </c>
      <c r="S283">
        <v>0.4917763157894737</v>
      </c>
      <c r="T283">
        <v>36</v>
      </c>
      <c r="U283">
        <v>1.039722222222222</v>
      </c>
      <c r="V283">
        <v>2.592</v>
      </c>
      <c r="W283">
        <v>3.04</v>
      </c>
      <c r="X283">
        <v>1.495</v>
      </c>
      <c r="Y283">
        <v>0.16134</v>
      </c>
      <c r="Z283">
        <v>0.6552315608919382</v>
      </c>
      <c r="AA283">
        <v>0.3786407766990291</v>
      </c>
      <c r="AB283">
        <v>0.5282714054927302</v>
      </c>
      <c r="AC283">
        <v>0.6462035541195477</v>
      </c>
      <c r="AD283">
        <v>0.6348949919224556</v>
      </c>
    </row>
    <row r="284" spans="1:30">
      <c r="A284" s="1" t="s">
        <v>291</v>
      </c>
      <c r="B284">
        <f>HYPERLINK("https://www.suredividend.com/sure-analysis-PSX","Phillips 66")</f>
        <v>0</v>
      </c>
      <c r="C284">
        <v>113.35</v>
      </c>
      <c r="D284">
        <v>50367.9793</v>
      </c>
      <c r="E284" t="s">
        <v>659</v>
      </c>
      <c r="F284" t="s">
        <v>629</v>
      </c>
      <c r="G284" t="s">
        <v>673</v>
      </c>
      <c r="H284" t="s">
        <v>703</v>
      </c>
      <c r="I284" t="s">
        <v>989</v>
      </c>
      <c r="J284" t="s">
        <v>1312</v>
      </c>
      <c r="K284">
        <v>43767</v>
      </c>
      <c r="L284">
        <v>0.029995588883987</v>
      </c>
      <c r="M284">
        <v>-0.02088043357950065</v>
      </c>
      <c r="N284">
        <v>0.07000000000000001</v>
      </c>
      <c r="O284">
        <v>0.07596444393240165</v>
      </c>
      <c r="P284" t="s">
        <v>494</v>
      </c>
      <c r="Q284" t="s">
        <v>494</v>
      </c>
      <c r="R284">
        <v>8</v>
      </c>
      <c r="S284">
        <v>0.4</v>
      </c>
      <c r="T284">
        <v>102</v>
      </c>
      <c r="U284">
        <v>1.111274509803922</v>
      </c>
      <c r="V284">
        <v>10.0071</v>
      </c>
      <c r="W284">
        <v>8.5</v>
      </c>
      <c r="X284">
        <v>3.4</v>
      </c>
      <c r="Y284">
        <v>0.375941</v>
      </c>
      <c r="Z284">
        <v>0.5060034305317324</v>
      </c>
      <c r="AA284">
        <v>0.7233009708737864</v>
      </c>
      <c r="AB284">
        <v>0.7245557350565428</v>
      </c>
      <c r="AC284">
        <v>0.5525040387722132</v>
      </c>
      <c r="AD284">
        <v>0.630048465266559</v>
      </c>
    </row>
    <row r="285" spans="1:30">
      <c r="A285" s="1" t="s">
        <v>292</v>
      </c>
      <c r="B285">
        <f>HYPERLINK("https://www.suredividend.com/sure-analysis-HRB","H&amp;R Block, Inc.")</f>
        <v>0</v>
      </c>
      <c r="C285">
        <v>23.63</v>
      </c>
      <c r="D285">
        <v>4613.66298</v>
      </c>
      <c r="E285" t="s">
        <v>667</v>
      </c>
      <c r="F285" t="s">
        <v>629</v>
      </c>
      <c r="G285" t="s">
        <v>673</v>
      </c>
      <c r="H285" t="s">
        <v>703</v>
      </c>
      <c r="I285" t="s">
        <v>990</v>
      </c>
      <c r="J285" t="s">
        <v>1324</v>
      </c>
      <c r="K285">
        <v>43733</v>
      </c>
      <c r="L285">
        <v>0.04316546762589901</v>
      </c>
      <c r="M285">
        <v>0.01133551222871731</v>
      </c>
      <c r="N285">
        <v>0.026</v>
      </c>
      <c r="O285">
        <v>0.07580895922832109</v>
      </c>
      <c r="P285" t="s">
        <v>494</v>
      </c>
      <c r="Q285" t="s">
        <v>634</v>
      </c>
      <c r="R285">
        <v>5</v>
      </c>
      <c r="S285">
        <v>0.425</v>
      </c>
      <c r="T285">
        <v>25</v>
      </c>
      <c r="U285">
        <v>0.9451999999999999</v>
      </c>
      <c r="V285">
        <v>2.0184</v>
      </c>
      <c r="W285">
        <v>2.4</v>
      </c>
      <c r="X285">
        <v>1.02</v>
      </c>
      <c r="Y285">
        <v>-0.012949</v>
      </c>
      <c r="Z285">
        <v>0.6963979416809606</v>
      </c>
      <c r="AA285">
        <v>0.1537216828478964</v>
      </c>
      <c r="AB285">
        <v>0.1534733441033926</v>
      </c>
      <c r="AC285">
        <v>0.7980613893376414</v>
      </c>
      <c r="AD285">
        <v>0.6219709208400647</v>
      </c>
    </row>
    <row r="286" spans="1:30">
      <c r="A286" s="1" t="s">
        <v>293</v>
      </c>
      <c r="B286">
        <f>HYPERLINK("https://www.suredividend.com/sure-analysis-TYCB","Calvin B. Taylor Bankshares, Inc.")</f>
        <v>0</v>
      </c>
      <c r="C286">
        <v>35.5</v>
      </c>
      <c r="D286">
        <v>99.9325</v>
      </c>
      <c r="E286" t="s">
        <v>663</v>
      </c>
      <c r="F286" t="s">
        <v>629</v>
      </c>
      <c r="G286" t="s">
        <v>673</v>
      </c>
      <c r="H286" t="s">
        <v>705</v>
      </c>
      <c r="I286" t="s">
        <v>991</v>
      </c>
      <c r="J286" t="s">
        <v>1309</v>
      </c>
      <c r="K286">
        <v>43713</v>
      </c>
      <c r="L286">
        <v>0.04901408450704201</v>
      </c>
      <c r="M286">
        <v>0.01370373979231099</v>
      </c>
      <c r="N286">
        <v>0.061</v>
      </c>
      <c r="O286">
        <v>0.07553966791964184</v>
      </c>
      <c r="P286" t="s">
        <v>494</v>
      </c>
      <c r="Q286" t="s">
        <v>633</v>
      </c>
      <c r="R286">
        <v>29</v>
      </c>
      <c r="S286">
        <v>0.6</v>
      </c>
      <c r="T286">
        <v>38</v>
      </c>
      <c r="U286">
        <v>0.9342105263157895</v>
      </c>
      <c r="V286">
        <v>3.0522</v>
      </c>
      <c r="W286">
        <v>2.9</v>
      </c>
      <c r="X286">
        <v>1.74</v>
      </c>
      <c r="Y286">
        <v>0</v>
      </c>
      <c r="Z286">
        <v>0.7632933104631218</v>
      </c>
      <c r="AA286">
        <v>0.1682847896440129</v>
      </c>
      <c r="AB286">
        <v>0.6680129240710824</v>
      </c>
      <c r="AC286">
        <v>0.8109854604200324</v>
      </c>
      <c r="AD286">
        <v>0.6187399030694669</v>
      </c>
    </row>
    <row r="287" spans="1:30">
      <c r="A287" s="1" t="s">
        <v>294</v>
      </c>
      <c r="B287">
        <f>HYPERLINK("https://www.suredividend.com/sure-analysis-PB","Prosperity Bancshares, Inc.")</f>
        <v>0</v>
      </c>
      <c r="C287">
        <v>72.34</v>
      </c>
      <c r="D287">
        <v>6829.18536</v>
      </c>
      <c r="E287" t="s">
        <v>659</v>
      </c>
      <c r="F287" t="s">
        <v>629</v>
      </c>
      <c r="G287" t="s">
        <v>673</v>
      </c>
      <c r="H287" t="s">
        <v>703</v>
      </c>
      <c r="I287" t="s">
        <v>992</v>
      </c>
      <c r="J287" t="s">
        <v>1309</v>
      </c>
      <c r="K287">
        <v>43710</v>
      </c>
      <c r="L287">
        <v>0.022670721592479</v>
      </c>
      <c r="M287">
        <v>-0.006554819722785377</v>
      </c>
      <c r="N287">
        <v>0.06</v>
      </c>
      <c r="O287">
        <v>0.07453449463231943</v>
      </c>
      <c r="P287" t="s">
        <v>494</v>
      </c>
      <c r="Q287" t="s">
        <v>494</v>
      </c>
      <c r="R287">
        <v>5</v>
      </c>
      <c r="S287">
        <v>0.3452631578947369</v>
      </c>
      <c r="T287">
        <v>70</v>
      </c>
      <c r="U287">
        <v>1.033428571428572</v>
      </c>
      <c r="V287">
        <v>4.7375</v>
      </c>
      <c r="W287">
        <v>4.75</v>
      </c>
      <c r="X287">
        <v>1.64</v>
      </c>
      <c r="Y287">
        <v>0.245738</v>
      </c>
      <c r="Z287">
        <v>0.3533447684391081</v>
      </c>
      <c r="AA287">
        <v>0.5485436893203883</v>
      </c>
      <c r="AB287">
        <v>0.6130856219709209</v>
      </c>
      <c r="AC287">
        <v>0.654281098546042</v>
      </c>
      <c r="AD287">
        <v>0.6042003231017771</v>
      </c>
    </row>
    <row r="288" spans="1:30">
      <c r="A288" s="1" t="s">
        <v>295</v>
      </c>
      <c r="B288">
        <f>HYPERLINK("https://www.suredividend.com/sure-analysis-OMC","Omnicom Group, Inc.")</f>
        <v>0</v>
      </c>
      <c r="C288">
        <v>80.83</v>
      </c>
      <c r="D288">
        <v>17599.27756</v>
      </c>
      <c r="E288" t="s">
        <v>663</v>
      </c>
      <c r="F288" t="s">
        <v>629</v>
      </c>
      <c r="G288" t="s">
        <v>673</v>
      </c>
      <c r="H288" t="s">
        <v>703</v>
      </c>
      <c r="I288" t="s">
        <v>993</v>
      </c>
      <c r="J288" t="s">
        <v>1319</v>
      </c>
      <c r="K288">
        <v>43757</v>
      </c>
      <c r="L288">
        <v>0.031547692688358</v>
      </c>
      <c r="M288">
        <v>0.007723395755585338</v>
      </c>
      <c r="N288">
        <v>0.035</v>
      </c>
      <c r="O288">
        <v>0.07424634642218009</v>
      </c>
      <c r="P288" t="s">
        <v>494</v>
      </c>
      <c r="Q288" t="s">
        <v>634</v>
      </c>
      <c r="R288">
        <v>10</v>
      </c>
      <c r="S288">
        <v>0.425</v>
      </c>
      <c r="T288">
        <v>84</v>
      </c>
      <c r="U288">
        <v>0.9622619047619048</v>
      </c>
      <c r="V288">
        <v>5.9746</v>
      </c>
      <c r="W288">
        <v>6</v>
      </c>
      <c r="X288">
        <v>2.55</v>
      </c>
      <c r="Y288">
        <v>0.150933</v>
      </c>
      <c r="Z288">
        <v>0.5334476843910806</v>
      </c>
      <c r="AA288">
        <v>0.3656957928802589</v>
      </c>
      <c r="AB288">
        <v>0.2520193861066236</v>
      </c>
      <c r="AC288">
        <v>0.7722132471728593</v>
      </c>
      <c r="AD288">
        <v>0.5977382875605816</v>
      </c>
    </row>
    <row r="289" spans="1:30">
      <c r="A289" s="1" t="s">
        <v>296</v>
      </c>
      <c r="B289">
        <f>HYPERLINK("https://www.suredividend.com/sure-analysis-STI","SunTrust Banks, Inc.")</f>
        <v>0</v>
      </c>
      <c r="C289">
        <v>70.13</v>
      </c>
      <c r="D289">
        <v>31140.03429</v>
      </c>
      <c r="E289" t="s">
        <v>665</v>
      </c>
      <c r="F289" t="s">
        <v>629</v>
      </c>
      <c r="G289" t="s">
        <v>673</v>
      </c>
      <c r="H289" t="s">
        <v>703</v>
      </c>
      <c r="J289" t="s">
        <v>1309</v>
      </c>
      <c r="K289">
        <v>43766</v>
      </c>
      <c r="L289">
        <v>0.029374019677741</v>
      </c>
      <c r="M289">
        <v>-0.01206580144446012</v>
      </c>
      <c r="N289">
        <v>0.06</v>
      </c>
      <c r="O289">
        <v>0.07403173360198156</v>
      </c>
      <c r="P289" t="s">
        <v>494</v>
      </c>
      <c r="Q289" t="s">
        <v>634</v>
      </c>
      <c r="R289">
        <v>9</v>
      </c>
      <c r="S289">
        <v>0.3765996343692871</v>
      </c>
      <c r="T289">
        <v>66</v>
      </c>
      <c r="U289">
        <v>1.062575757575758</v>
      </c>
      <c r="V289">
        <v>5.4976</v>
      </c>
      <c r="W289">
        <v>5.47</v>
      </c>
      <c r="X289">
        <v>2.06</v>
      </c>
      <c r="Y289">
        <v>0</v>
      </c>
      <c r="Z289">
        <v>0.4957118353344769</v>
      </c>
      <c r="AA289">
        <v>0.1682847896440129</v>
      </c>
      <c r="AB289">
        <v>0.6130856219709209</v>
      </c>
      <c r="AC289">
        <v>0.617124394184168</v>
      </c>
      <c r="AD289">
        <v>0.5961227786752827</v>
      </c>
    </row>
    <row r="290" spans="1:30">
      <c r="A290" s="1" t="s">
        <v>297</v>
      </c>
      <c r="B290">
        <f>HYPERLINK("https://www.suredividend.com/sure-analysis-BUD","Anheuser-Busch InBev SA/NV")</f>
        <v>0</v>
      </c>
      <c r="C290">
        <v>81.98999999999999</v>
      </c>
      <c r="D290">
        <v>133920.612452</v>
      </c>
      <c r="E290" t="s">
        <v>657</v>
      </c>
      <c r="F290" t="s">
        <v>629</v>
      </c>
      <c r="G290" t="s">
        <v>689</v>
      </c>
      <c r="H290" t="s">
        <v>703</v>
      </c>
      <c r="I290" t="s">
        <v>994</v>
      </c>
      <c r="J290" t="s">
        <v>1322</v>
      </c>
      <c r="K290">
        <v>43766</v>
      </c>
      <c r="L290">
        <v>0.024482253933406</v>
      </c>
      <c r="M290">
        <v>0.02330568810828559</v>
      </c>
      <c r="N290">
        <v>0.03</v>
      </c>
      <c r="O290">
        <v>0.07352735066807181</v>
      </c>
      <c r="P290" t="s">
        <v>494</v>
      </c>
      <c r="Q290" t="s">
        <v>405</v>
      </c>
      <c r="R290">
        <v>8</v>
      </c>
      <c r="S290">
        <v>0.4354229934924078</v>
      </c>
      <c r="T290">
        <v>92</v>
      </c>
      <c r="U290">
        <v>0.8911956521739129</v>
      </c>
      <c r="V290">
        <v>3.782</v>
      </c>
      <c r="W290">
        <v>4.61</v>
      </c>
      <c r="X290">
        <v>2.0073</v>
      </c>
      <c r="Y290">
        <v>0.1499</v>
      </c>
      <c r="Z290">
        <v>0.3945111492281304</v>
      </c>
      <c r="AA290">
        <v>0.3608414239482201</v>
      </c>
      <c r="AB290">
        <v>0.2003231017770598</v>
      </c>
      <c r="AC290">
        <v>0.8852988691437802</v>
      </c>
      <c r="AD290">
        <v>0.5896607431340872</v>
      </c>
    </row>
    <row r="291" spans="1:30">
      <c r="A291" s="1" t="s">
        <v>298</v>
      </c>
      <c r="B291">
        <f>HYPERLINK("https://www.suredividend.com/sure-analysis-MET","MetLife, Inc.")</f>
        <v>0</v>
      </c>
      <c r="C291">
        <v>51.36</v>
      </c>
      <c r="D291">
        <v>47232.24816</v>
      </c>
      <c r="E291" t="s">
        <v>658</v>
      </c>
      <c r="F291" t="s">
        <v>629</v>
      </c>
      <c r="G291" t="s">
        <v>673</v>
      </c>
      <c r="H291" t="s">
        <v>703</v>
      </c>
      <c r="I291" t="s">
        <v>995</v>
      </c>
      <c r="J291" t="s">
        <v>1309</v>
      </c>
      <c r="K291">
        <v>43769</v>
      </c>
      <c r="L291">
        <v>0.033489096573208</v>
      </c>
      <c r="M291">
        <v>0.002479881672332152</v>
      </c>
      <c r="N291">
        <v>0.04</v>
      </c>
      <c r="O291">
        <v>0.07332502181225542</v>
      </c>
      <c r="P291" t="s">
        <v>494</v>
      </c>
      <c r="Q291" t="s">
        <v>634</v>
      </c>
      <c r="R291">
        <v>1</v>
      </c>
      <c r="S291">
        <v>0.2991304347826087</v>
      </c>
      <c r="T291">
        <v>52</v>
      </c>
      <c r="U291">
        <v>0.9876923076923076</v>
      </c>
      <c r="V291">
        <v>7.555</v>
      </c>
      <c r="W291">
        <v>5.75</v>
      </c>
      <c r="X291">
        <v>1.72</v>
      </c>
      <c r="Y291">
        <v>0.329537</v>
      </c>
      <c r="Z291">
        <v>0.5728987993138936</v>
      </c>
      <c r="AA291">
        <v>0.6618122977346279</v>
      </c>
      <c r="AB291">
        <v>0.3182552504038772</v>
      </c>
      <c r="AC291">
        <v>0.7269789983844912</v>
      </c>
      <c r="AD291">
        <v>0.5880452342487884</v>
      </c>
    </row>
    <row r="292" spans="1:30">
      <c r="A292" s="1" t="s">
        <v>299</v>
      </c>
      <c r="B292">
        <f>HYPERLINK("https://www.suredividend.com/sure-analysis-GEF","Greif, Inc.")</f>
        <v>0</v>
      </c>
      <c r="C292">
        <v>44.77</v>
      </c>
      <c r="D292">
        <v>2161.00313</v>
      </c>
      <c r="E292" t="s">
        <v>658</v>
      </c>
      <c r="F292" t="s">
        <v>629</v>
      </c>
      <c r="G292" t="s">
        <v>673</v>
      </c>
      <c r="H292" t="s">
        <v>703</v>
      </c>
      <c r="I292" t="s">
        <v>996</v>
      </c>
      <c r="J292" t="s">
        <v>1314</v>
      </c>
      <c r="K292">
        <v>43711</v>
      </c>
      <c r="L292">
        <v>0.03931203931203901</v>
      </c>
      <c r="M292">
        <v>0.01822040766683863</v>
      </c>
      <c r="N292">
        <v>0.02</v>
      </c>
      <c r="O292">
        <v>0.07217471812691167</v>
      </c>
      <c r="P292" t="s">
        <v>494</v>
      </c>
      <c r="Q292" t="s">
        <v>494</v>
      </c>
      <c r="R292">
        <v>2</v>
      </c>
      <c r="S292">
        <v>0.4631578947368421</v>
      </c>
      <c r="T292">
        <v>49</v>
      </c>
      <c r="U292">
        <v>0.9136734693877552</v>
      </c>
      <c r="V292">
        <v>2.8908</v>
      </c>
      <c r="W292">
        <v>3.8</v>
      </c>
      <c r="X292">
        <v>1.76</v>
      </c>
      <c r="Y292">
        <v>0.330065</v>
      </c>
      <c r="Z292">
        <v>0.6415094339622641</v>
      </c>
      <c r="AA292">
        <v>0.6666666666666667</v>
      </c>
      <c r="AB292">
        <v>0.1219709208400646</v>
      </c>
      <c r="AC292">
        <v>0.8449111470113085</v>
      </c>
      <c r="AD292">
        <v>0.5799676898222941</v>
      </c>
    </row>
    <row r="293" spans="1:30">
      <c r="A293" s="1" t="s">
        <v>300</v>
      </c>
      <c r="B293">
        <f>HYPERLINK("https://www.suredividend.com/sure-analysis-NTIOF","National Bank of Canada")</f>
        <v>0</v>
      </c>
      <c r="C293">
        <v>55.34</v>
      </c>
      <c r="D293">
        <v>18494.68334</v>
      </c>
      <c r="E293" t="s">
        <v>662</v>
      </c>
      <c r="F293" t="s">
        <v>629</v>
      </c>
      <c r="G293" t="s">
        <v>675</v>
      </c>
      <c r="H293" t="s">
        <v>705</v>
      </c>
      <c r="I293" t="s">
        <v>997</v>
      </c>
      <c r="J293" t="s">
        <v>1309</v>
      </c>
      <c r="K293">
        <v>43711</v>
      </c>
      <c r="L293">
        <v>0.036175302514727</v>
      </c>
      <c r="M293">
        <v>-0.02404142317719049</v>
      </c>
      <c r="N293">
        <v>0.06</v>
      </c>
      <c r="O293">
        <v>0.07121159485875372</v>
      </c>
      <c r="P293" t="s">
        <v>494</v>
      </c>
      <c r="Q293" t="s">
        <v>634</v>
      </c>
      <c r="R293">
        <v>8</v>
      </c>
      <c r="S293">
        <v>0.423243391366816</v>
      </c>
      <c r="T293">
        <v>49</v>
      </c>
      <c r="U293">
        <v>1.129387755102041</v>
      </c>
      <c r="V293">
        <v>4.8068</v>
      </c>
      <c r="W293">
        <v>4.73</v>
      </c>
      <c r="X293">
        <v>2.00194124116504</v>
      </c>
      <c r="Y293">
        <v>0.350085</v>
      </c>
      <c r="Z293">
        <v>0.6003430531732419</v>
      </c>
      <c r="AA293">
        <v>0.6893203883495146</v>
      </c>
      <c r="AB293">
        <v>0.6130856219709209</v>
      </c>
      <c r="AC293">
        <v>0.5266558966074314</v>
      </c>
      <c r="AD293">
        <v>0.5735056542810986</v>
      </c>
    </row>
    <row r="294" spans="1:30">
      <c r="A294" s="1" t="s">
        <v>301</v>
      </c>
      <c r="B294">
        <f>HYPERLINK("https://www.suredividend.com/sure-analysis-MDLZ","Mondelez International, Inc.")</f>
        <v>0</v>
      </c>
      <c r="C294">
        <v>55.4</v>
      </c>
      <c r="D294">
        <v>79766.02800000001</v>
      </c>
      <c r="E294" t="s">
        <v>662</v>
      </c>
      <c r="F294" t="s">
        <v>629</v>
      </c>
      <c r="G294" t="s">
        <v>673</v>
      </c>
      <c r="H294" t="s">
        <v>704</v>
      </c>
      <c r="I294" t="s">
        <v>998</v>
      </c>
      <c r="J294" t="s">
        <v>1322</v>
      </c>
      <c r="K294">
        <v>43772</v>
      </c>
      <c r="L294">
        <v>0.019223826714801</v>
      </c>
      <c r="M294">
        <v>-0.01641458035113907</v>
      </c>
      <c r="N294">
        <v>0.07000000000000001</v>
      </c>
      <c r="O294">
        <v>0.07093899642008661</v>
      </c>
      <c r="P294" t="s">
        <v>494</v>
      </c>
      <c r="Q294" t="s">
        <v>405</v>
      </c>
      <c r="R294">
        <v>7</v>
      </c>
      <c r="S294">
        <v>0.4209486166007905</v>
      </c>
      <c r="T294">
        <v>51</v>
      </c>
      <c r="U294">
        <v>1.086274509803921</v>
      </c>
      <c r="V294">
        <v>2.7389</v>
      </c>
      <c r="W294">
        <v>2.53</v>
      </c>
      <c r="X294">
        <v>1.065</v>
      </c>
      <c r="Y294">
        <v>0.361849</v>
      </c>
      <c r="Z294">
        <v>0.2864493996569468</v>
      </c>
      <c r="AA294">
        <v>0.7022653721682848</v>
      </c>
      <c r="AB294">
        <v>0.7245557350565428</v>
      </c>
      <c r="AC294">
        <v>0.5864297253634895</v>
      </c>
      <c r="AD294">
        <v>0.568659127625202</v>
      </c>
    </row>
    <row r="295" spans="1:30">
      <c r="A295" s="1" t="s">
        <v>302</v>
      </c>
      <c r="B295">
        <f>HYPERLINK("https://www.suredividend.com/sure-analysis-HD","The Home Depot, Inc.")</f>
        <v>0</v>
      </c>
      <c r="C295">
        <v>221.19</v>
      </c>
      <c r="D295">
        <v>241280.6877</v>
      </c>
      <c r="E295" t="s">
        <v>665</v>
      </c>
      <c r="F295" t="s">
        <v>629</v>
      </c>
      <c r="G295" t="s">
        <v>673</v>
      </c>
      <c r="H295" t="s">
        <v>703</v>
      </c>
      <c r="I295" t="s">
        <v>999</v>
      </c>
      <c r="J295" t="s">
        <v>1310</v>
      </c>
      <c r="K295">
        <v>43795</v>
      </c>
      <c r="L295">
        <v>0.023102310231023</v>
      </c>
      <c r="M295">
        <v>-0.02892320623807032</v>
      </c>
      <c r="N295">
        <v>0.075</v>
      </c>
      <c r="O295">
        <v>0.06893618672558866</v>
      </c>
      <c r="P295" t="s">
        <v>494</v>
      </c>
      <c r="Q295" t="s">
        <v>405</v>
      </c>
      <c r="R295">
        <v>10</v>
      </c>
      <c r="S295">
        <v>0.5104895104895105</v>
      </c>
      <c r="T295">
        <v>191</v>
      </c>
      <c r="U295">
        <v>1.158062827225131</v>
      </c>
      <c r="V295">
        <v>10.1027</v>
      </c>
      <c r="W295">
        <v>10.01</v>
      </c>
      <c r="X295">
        <v>5.11</v>
      </c>
      <c r="Y295">
        <v>0.378303</v>
      </c>
      <c r="Z295">
        <v>0.3636363636363636</v>
      </c>
      <c r="AA295">
        <v>0.7313915857605179</v>
      </c>
      <c r="AB295">
        <v>0.7649434571890146</v>
      </c>
      <c r="AC295">
        <v>0.4733441033925686</v>
      </c>
      <c r="AD295">
        <v>0.5525040387722132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9.85</v>
      </c>
      <c r="D296">
        <v>1722.4892</v>
      </c>
      <c r="E296" t="s">
        <v>669</v>
      </c>
      <c r="F296" t="s">
        <v>629</v>
      </c>
      <c r="G296" t="s">
        <v>675</v>
      </c>
      <c r="H296" t="s">
        <v>705</v>
      </c>
      <c r="I296" t="s">
        <v>1000</v>
      </c>
      <c r="J296" t="s">
        <v>1311</v>
      </c>
      <c r="K296">
        <v>43710</v>
      </c>
      <c r="L296">
        <v>0.05507992985042701</v>
      </c>
      <c r="M296">
        <v>0.022330437127287</v>
      </c>
      <c r="N296">
        <v>0</v>
      </c>
      <c r="O296">
        <v>0.06821056092525146</v>
      </c>
      <c r="P296" t="s">
        <v>494</v>
      </c>
      <c r="Q296" t="s">
        <v>633</v>
      </c>
      <c r="R296">
        <v>0</v>
      </c>
      <c r="S296">
        <v>0.3308154323333574</v>
      </c>
      <c r="T296">
        <v>11</v>
      </c>
      <c r="U296">
        <v>0.8954545454545454</v>
      </c>
      <c r="V296">
        <v>0.0915</v>
      </c>
      <c r="W296">
        <v>1.64</v>
      </c>
      <c r="X296">
        <v>0.542537309026706</v>
      </c>
      <c r="Y296">
        <v>0.407143</v>
      </c>
      <c r="Z296">
        <v>0.8078902229845626</v>
      </c>
      <c r="AA296">
        <v>0.7686084142394821</v>
      </c>
      <c r="AB296">
        <v>0.02988691437802908</v>
      </c>
      <c r="AC296">
        <v>0.8788368336025849</v>
      </c>
      <c r="AD296">
        <v>0.5428109854604201</v>
      </c>
    </row>
    <row r="297" spans="1:30">
      <c r="A297" s="1" t="s">
        <v>304</v>
      </c>
      <c r="B297">
        <f>HYPERLINK("https://www.suredividend.com/sure-analysis-BAYRY","Bayer AG")</f>
        <v>0</v>
      </c>
      <c r="C297">
        <v>19.76</v>
      </c>
      <c r="D297">
        <v>73712.07167999999</v>
      </c>
      <c r="E297" t="s">
        <v>663</v>
      </c>
      <c r="F297" t="s">
        <v>629</v>
      </c>
      <c r="G297" t="s">
        <v>682</v>
      </c>
      <c r="H297" t="s">
        <v>705</v>
      </c>
      <c r="I297" t="s">
        <v>1001</v>
      </c>
      <c r="J297" t="s">
        <v>1315</v>
      </c>
      <c r="K297">
        <v>43772</v>
      </c>
      <c r="L297">
        <v>0.039590080971659</v>
      </c>
      <c r="M297">
        <v>-0.007813457628780496</v>
      </c>
      <c r="N297">
        <v>0.035</v>
      </c>
      <c r="O297">
        <v>0.06742174998167871</v>
      </c>
      <c r="P297" t="s">
        <v>494</v>
      </c>
      <c r="Q297" t="s">
        <v>634</v>
      </c>
      <c r="R297">
        <v>3</v>
      </c>
      <c r="S297">
        <v>0.4470285714285714</v>
      </c>
      <c r="T297">
        <v>19</v>
      </c>
      <c r="U297">
        <v>1.04</v>
      </c>
      <c r="V297">
        <v>-0.4383</v>
      </c>
      <c r="W297">
        <v>1.75</v>
      </c>
      <c r="X297">
        <v>0.7823</v>
      </c>
      <c r="Y297">
        <v>0.08450000000000001</v>
      </c>
      <c r="Z297">
        <v>0.6483704974271012</v>
      </c>
      <c r="AA297">
        <v>0.2621359223300971</v>
      </c>
      <c r="AB297">
        <v>0.2520193861066236</v>
      </c>
      <c r="AC297">
        <v>0.6429725363489499</v>
      </c>
      <c r="AD297">
        <v>0.5347334410339257</v>
      </c>
    </row>
    <row r="298" spans="1:30">
      <c r="A298" s="1" t="s">
        <v>305</v>
      </c>
      <c r="B298">
        <f>HYPERLINK("https://www.suredividend.com/sure-analysis-LM","Legg Mason, Inc.")</f>
        <v>0</v>
      </c>
      <c r="C298">
        <v>36.79</v>
      </c>
      <c r="D298">
        <v>3193.48237</v>
      </c>
      <c r="E298" t="s">
        <v>658</v>
      </c>
      <c r="F298" t="s">
        <v>629</v>
      </c>
      <c r="G298" t="s">
        <v>673</v>
      </c>
      <c r="H298" t="s">
        <v>703</v>
      </c>
      <c r="I298" t="s">
        <v>1002</v>
      </c>
      <c r="J298" t="s">
        <v>1309</v>
      </c>
      <c r="K298">
        <v>43769</v>
      </c>
      <c r="L298">
        <v>0.040228322913835</v>
      </c>
      <c r="M298">
        <v>-0.01564936488148805</v>
      </c>
      <c r="N298">
        <v>0.04</v>
      </c>
      <c r="O298">
        <v>0.06552785396857863</v>
      </c>
      <c r="P298" t="s">
        <v>494</v>
      </c>
      <c r="Q298" t="s">
        <v>634</v>
      </c>
      <c r="R298">
        <v>9</v>
      </c>
      <c r="S298">
        <v>0.4352941176470588</v>
      </c>
      <c r="T298">
        <v>34</v>
      </c>
      <c r="U298">
        <v>1.082058823529412</v>
      </c>
      <c r="V298">
        <v>-0.7341000000000001</v>
      </c>
      <c r="W298">
        <v>3.4</v>
      </c>
      <c r="X298">
        <v>1.48</v>
      </c>
      <c r="Y298">
        <v>0.536117</v>
      </c>
      <c r="Z298">
        <v>0.6569468267581474</v>
      </c>
      <c r="AA298">
        <v>0.889967637540453</v>
      </c>
      <c r="AB298">
        <v>0.3182552504038772</v>
      </c>
      <c r="AC298">
        <v>0.5945072697899838</v>
      </c>
      <c r="AD298">
        <v>0.5234248788368336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134.41</v>
      </c>
      <c r="D299">
        <v>160431.776</v>
      </c>
      <c r="E299" t="s">
        <v>663</v>
      </c>
      <c r="F299" t="s">
        <v>629</v>
      </c>
      <c r="G299" t="s">
        <v>682</v>
      </c>
      <c r="H299" t="s">
        <v>703</v>
      </c>
      <c r="I299" t="s">
        <v>1003</v>
      </c>
      <c r="J299" t="s">
        <v>1320</v>
      </c>
      <c r="K299">
        <v>43699</v>
      </c>
      <c r="L299">
        <v>0.01245666245071</v>
      </c>
      <c r="M299">
        <v>-0.03754977241197399</v>
      </c>
      <c r="N299">
        <v>0.09</v>
      </c>
      <c r="O299">
        <v>0.0632101851932636</v>
      </c>
      <c r="P299" t="s">
        <v>494</v>
      </c>
      <c r="Q299" t="s">
        <v>382</v>
      </c>
      <c r="R299">
        <v>1</v>
      </c>
      <c r="S299">
        <v>0.3022202166064982</v>
      </c>
      <c r="T299">
        <v>111</v>
      </c>
      <c r="U299">
        <v>1.210900900900901</v>
      </c>
      <c r="V299">
        <v>3.1997</v>
      </c>
      <c r="W299">
        <v>5.54</v>
      </c>
      <c r="X299">
        <v>1.6743</v>
      </c>
      <c r="Y299">
        <v>0.2991</v>
      </c>
      <c r="Z299">
        <v>0.1166380789022299</v>
      </c>
      <c r="AA299">
        <v>0.6245954692556634</v>
      </c>
      <c r="AB299">
        <v>0.8877221324717286</v>
      </c>
      <c r="AC299">
        <v>0.3844911147011309</v>
      </c>
      <c r="AD299">
        <v>0.5024232633279483</v>
      </c>
    </row>
    <row r="300" spans="1:30">
      <c r="A300" s="1" t="s">
        <v>307</v>
      </c>
      <c r="B300">
        <f>HYPERLINK("https://www.suredividend.com/sure-analysis-CBRL","Cracker Barrel Old Country Store, Inc.")</f>
        <v>0</v>
      </c>
      <c r="C300">
        <v>156.91</v>
      </c>
      <c r="D300">
        <v>3775.2546</v>
      </c>
      <c r="E300" t="s">
        <v>667</v>
      </c>
      <c r="F300" t="s">
        <v>629</v>
      </c>
      <c r="G300" t="s">
        <v>673</v>
      </c>
      <c r="H300" t="s">
        <v>704</v>
      </c>
      <c r="I300" t="s">
        <v>1004</v>
      </c>
      <c r="J300" t="s">
        <v>1324</v>
      </c>
      <c r="K300">
        <v>43732</v>
      </c>
      <c r="L300">
        <v>0.032502708559046</v>
      </c>
      <c r="M300">
        <v>-0.02115551548997696</v>
      </c>
      <c r="N300">
        <v>0.05</v>
      </c>
      <c r="O300">
        <v>0.06166807870336233</v>
      </c>
      <c r="P300" t="s">
        <v>494</v>
      </c>
      <c r="Q300" t="s">
        <v>494</v>
      </c>
      <c r="R300">
        <v>16</v>
      </c>
      <c r="S300">
        <v>0.5437100213219616</v>
      </c>
      <c r="T300">
        <v>141</v>
      </c>
      <c r="U300">
        <v>1.112836879432624</v>
      </c>
      <c r="V300">
        <v>9.1266</v>
      </c>
      <c r="W300">
        <v>9.380000000000001</v>
      </c>
      <c r="X300">
        <v>5.1</v>
      </c>
      <c r="Y300">
        <v>-0.029443</v>
      </c>
      <c r="Z300">
        <v>0.5506003430531732</v>
      </c>
      <c r="AA300">
        <v>0.1343042071197411</v>
      </c>
      <c r="AB300">
        <v>0.4588045234248789</v>
      </c>
      <c r="AC300">
        <v>0.5508885298869144</v>
      </c>
      <c r="AD300">
        <v>0.4878836833602584</v>
      </c>
    </row>
    <row r="301" spans="1:30">
      <c r="A301" s="1" t="s">
        <v>308</v>
      </c>
      <c r="B301">
        <f>HYPERLINK("https://www.suredividend.com/sure-analysis-IFF","International Flavors &amp; Fragrances, Inc.")</f>
        <v>0</v>
      </c>
      <c r="C301">
        <v>122.8</v>
      </c>
      <c r="D301">
        <v>13112.7068</v>
      </c>
      <c r="E301" t="s">
        <v>657</v>
      </c>
      <c r="F301" t="s">
        <v>629</v>
      </c>
      <c r="G301" t="s">
        <v>673</v>
      </c>
      <c r="H301" t="s">
        <v>703</v>
      </c>
      <c r="I301" t="s">
        <v>1005</v>
      </c>
      <c r="J301" t="s">
        <v>1322</v>
      </c>
      <c r="K301">
        <v>43809</v>
      </c>
      <c r="L301">
        <v>0.023941368078175</v>
      </c>
      <c r="M301">
        <v>-0.01649626096893209</v>
      </c>
      <c r="N301">
        <v>0.05</v>
      </c>
      <c r="O301">
        <v>0.05753120937740452</v>
      </c>
      <c r="P301" t="s">
        <v>494</v>
      </c>
      <c r="Q301" t="s">
        <v>494</v>
      </c>
      <c r="R301">
        <v>16</v>
      </c>
      <c r="S301">
        <v>0.4704</v>
      </c>
      <c r="T301">
        <v>113</v>
      </c>
      <c r="U301">
        <v>1.086725663716814</v>
      </c>
      <c r="V301">
        <v>3.4235</v>
      </c>
      <c r="W301">
        <v>6.25</v>
      </c>
      <c r="X301">
        <v>2.94</v>
      </c>
      <c r="Y301">
        <v>-0.042196</v>
      </c>
      <c r="Z301">
        <v>0.3807890222984562</v>
      </c>
      <c r="AA301">
        <v>0.1229773462783172</v>
      </c>
      <c r="AB301">
        <v>0.4588045234248789</v>
      </c>
      <c r="AC301">
        <v>0.5848142164781907</v>
      </c>
      <c r="AD301">
        <v>0.4620355411954765</v>
      </c>
    </row>
    <row r="302" spans="1:30">
      <c r="A302" s="1" t="s">
        <v>309</v>
      </c>
      <c r="B302">
        <f>HYPERLINK("https://www.suredividend.com/sure-analysis-DNKN","Dunkin' Brands Group, Inc.")</f>
        <v>0</v>
      </c>
      <c r="C302">
        <v>74.98</v>
      </c>
      <c r="D302">
        <v>6211.56814</v>
      </c>
      <c r="E302" t="s">
        <v>657</v>
      </c>
      <c r="F302" t="s">
        <v>629</v>
      </c>
      <c r="G302" t="s">
        <v>673</v>
      </c>
      <c r="H302" t="s">
        <v>704</v>
      </c>
      <c r="I302" t="s">
        <v>1006</v>
      </c>
      <c r="J302" t="s">
        <v>1324</v>
      </c>
      <c r="K302">
        <v>43794</v>
      </c>
      <c r="L302">
        <v>0.019638570285409</v>
      </c>
      <c r="M302">
        <v>-0.0404295181953046</v>
      </c>
      <c r="N302">
        <v>0.08</v>
      </c>
      <c r="O302">
        <v>0.0574717910335043</v>
      </c>
      <c r="P302" t="s">
        <v>494</v>
      </c>
      <c r="Q302" t="s">
        <v>382</v>
      </c>
      <c r="R302">
        <v>8</v>
      </c>
      <c r="S302">
        <v>0.4843750000000001</v>
      </c>
      <c r="T302">
        <v>61</v>
      </c>
      <c r="U302">
        <v>1.229180327868852</v>
      </c>
      <c r="V302">
        <v>2.8708</v>
      </c>
      <c r="W302">
        <v>3.04</v>
      </c>
      <c r="X302">
        <v>1.4725</v>
      </c>
      <c r="Y302">
        <v>0.166278</v>
      </c>
      <c r="Z302">
        <v>0.2950257289879932</v>
      </c>
      <c r="AA302">
        <v>0.3867313915857605</v>
      </c>
      <c r="AB302">
        <v>0.8182552504038771</v>
      </c>
      <c r="AC302">
        <v>0.3699515347334411</v>
      </c>
      <c r="AD302">
        <v>0.4588045234248789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8.800000000000001</v>
      </c>
      <c r="D303">
        <v>26816.482026</v>
      </c>
      <c r="E303" t="s">
        <v>659</v>
      </c>
      <c r="F303" t="s">
        <v>629</v>
      </c>
      <c r="G303" t="s">
        <v>690</v>
      </c>
      <c r="H303" t="s">
        <v>704</v>
      </c>
      <c r="I303" t="s">
        <v>1007</v>
      </c>
      <c r="J303" t="s">
        <v>1308</v>
      </c>
      <c r="K303">
        <v>43761</v>
      </c>
      <c r="L303">
        <v>0.012261363636363</v>
      </c>
      <c r="M303">
        <v>-0.03406075899181726</v>
      </c>
      <c r="N303">
        <v>0.08</v>
      </c>
      <c r="O303">
        <v>0.05715685222544686</v>
      </c>
      <c r="P303" t="s">
        <v>494</v>
      </c>
      <c r="Q303" t="s">
        <v>382</v>
      </c>
      <c r="R303">
        <v>0</v>
      </c>
      <c r="S303">
        <v>0.2997222222222223</v>
      </c>
      <c r="T303">
        <v>7.4</v>
      </c>
      <c r="U303">
        <v>1.189189189189189</v>
      </c>
      <c r="V303">
        <v>-0.285</v>
      </c>
      <c r="W303">
        <v>0.36</v>
      </c>
      <c r="X303">
        <v>0.1079</v>
      </c>
      <c r="Y303">
        <v>-0.0435</v>
      </c>
      <c r="Z303">
        <v>0.1097770154373928</v>
      </c>
      <c r="AA303">
        <v>0.1197411003236246</v>
      </c>
      <c r="AB303">
        <v>0.8182552504038771</v>
      </c>
      <c r="AC303">
        <v>0.4119547657512116</v>
      </c>
      <c r="AD303">
        <v>0.4555735056542811</v>
      </c>
    </row>
    <row r="304" spans="1:30">
      <c r="A304" s="1" t="s">
        <v>311</v>
      </c>
      <c r="B304">
        <f>HYPERLINK("https://www.suredividend.com/sure-analysis-STZ","Constellation Brands, Inc.")</f>
        <v>0</v>
      </c>
      <c r="C304">
        <v>188.9</v>
      </c>
      <c r="D304">
        <v>36199.922715</v>
      </c>
      <c r="E304" t="s">
        <v>658</v>
      </c>
      <c r="F304" t="s">
        <v>629</v>
      </c>
      <c r="G304" t="s">
        <v>673</v>
      </c>
      <c r="H304" t="s">
        <v>703</v>
      </c>
      <c r="I304" t="s">
        <v>1008</v>
      </c>
      <c r="J304" t="s">
        <v>1322</v>
      </c>
      <c r="K304">
        <v>43741</v>
      </c>
      <c r="L304">
        <v>0.01577554261514</v>
      </c>
      <c r="M304">
        <v>-0.02787440444651268</v>
      </c>
      <c r="N304">
        <v>0.07000000000000001</v>
      </c>
      <c r="O304">
        <v>0.05586930954316838</v>
      </c>
      <c r="P304" t="s">
        <v>494</v>
      </c>
      <c r="Q304" t="s">
        <v>405</v>
      </c>
      <c r="R304">
        <v>4</v>
      </c>
      <c r="S304">
        <v>0.3274725274725275</v>
      </c>
      <c r="T304">
        <v>164</v>
      </c>
      <c r="U304">
        <v>1.151829268292683</v>
      </c>
      <c r="V304">
        <v>4.1256</v>
      </c>
      <c r="W304">
        <v>9.1</v>
      </c>
      <c r="X304">
        <v>2.98</v>
      </c>
      <c r="Y304">
        <v>0.164755</v>
      </c>
      <c r="Z304">
        <v>0.1869639794168096</v>
      </c>
      <c r="AA304">
        <v>0.383495145631068</v>
      </c>
      <c r="AB304">
        <v>0.7245557350565428</v>
      </c>
      <c r="AC304">
        <v>0.4862681744749596</v>
      </c>
      <c r="AD304">
        <v>0.4491114701130857</v>
      </c>
    </row>
    <row r="305" spans="1:30">
      <c r="A305" s="1" t="s">
        <v>312</v>
      </c>
      <c r="B305">
        <f>HYPERLINK("https://www.suredividend.com/sure-analysis-SBUX","Starbucks Corp.")</f>
        <v>0</v>
      </c>
      <c r="C305">
        <v>88.45999999999999</v>
      </c>
      <c r="D305">
        <v>104471.26</v>
      </c>
      <c r="E305" t="s">
        <v>658</v>
      </c>
      <c r="F305" t="s">
        <v>629</v>
      </c>
      <c r="G305" t="s">
        <v>673</v>
      </c>
      <c r="H305" t="s">
        <v>704</v>
      </c>
      <c r="I305" t="s">
        <v>1009</v>
      </c>
      <c r="J305" t="s">
        <v>1324</v>
      </c>
      <c r="K305">
        <v>43769</v>
      </c>
      <c r="L305">
        <v>0.016278543974677</v>
      </c>
      <c r="M305">
        <v>-0.05689640550939234</v>
      </c>
      <c r="N305">
        <v>0.1</v>
      </c>
      <c r="O305">
        <v>0.05542737720807778</v>
      </c>
      <c r="P305" t="s">
        <v>494</v>
      </c>
      <c r="Q305" t="s">
        <v>382</v>
      </c>
      <c r="R305">
        <v>9</v>
      </c>
      <c r="S305">
        <v>0.48</v>
      </c>
      <c r="T305">
        <v>66</v>
      </c>
      <c r="U305">
        <v>1.34030303030303</v>
      </c>
      <c r="V305">
        <v>2.9578</v>
      </c>
      <c r="W305">
        <v>3</v>
      </c>
      <c r="X305">
        <v>1.44</v>
      </c>
      <c r="Y305">
        <v>0.440951</v>
      </c>
      <c r="Z305">
        <v>0.2075471698113208</v>
      </c>
      <c r="AA305">
        <v>0.8155339805825242</v>
      </c>
      <c r="AB305">
        <v>0.931340872374798</v>
      </c>
      <c r="AC305">
        <v>0.2358642972536349</v>
      </c>
      <c r="AD305">
        <v>0.4426494345718901</v>
      </c>
    </row>
    <row r="306" spans="1:30">
      <c r="A306" s="1" t="s">
        <v>313</v>
      </c>
      <c r="B306">
        <f>HYPERLINK("https://www.suredividend.com/sure-analysis-AMGN","Amgen, Inc.")</f>
        <v>0</v>
      </c>
      <c r="C306">
        <v>243.06</v>
      </c>
      <c r="D306">
        <v>144422.36304</v>
      </c>
      <c r="E306" t="s">
        <v>660</v>
      </c>
      <c r="F306" t="s">
        <v>629</v>
      </c>
      <c r="G306" t="s">
        <v>673</v>
      </c>
      <c r="H306" t="s">
        <v>704</v>
      </c>
      <c r="I306" t="s">
        <v>1010</v>
      </c>
      <c r="J306" t="s">
        <v>1315</v>
      </c>
      <c r="K306">
        <v>43679</v>
      </c>
      <c r="L306">
        <v>0.023327573438657</v>
      </c>
      <c r="M306">
        <v>-0.05725765150867002</v>
      </c>
      <c r="N306">
        <v>0.09</v>
      </c>
      <c r="O306">
        <v>0.0540989649282837</v>
      </c>
      <c r="P306" t="s">
        <v>494</v>
      </c>
      <c r="Q306" t="s">
        <v>405</v>
      </c>
      <c r="R306">
        <v>9</v>
      </c>
      <c r="S306">
        <v>0.4041339985744833</v>
      </c>
      <c r="T306">
        <v>181</v>
      </c>
      <c r="U306">
        <v>1.342872928176795</v>
      </c>
      <c r="V306">
        <v>13.1141</v>
      </c>
      <c r="W306">
        <v>14.03</v>
      </c>
      <c r="X306">
        <v>5.67</v>
      </c>
      <c r="Y306">
        <v>0.34876</v>
      </c>
      <c r="Z306">
        <v>0.3687821612349914</v>
      </c>
      <c r="AA306">
        <v>0.6877022653721683</v>
      </c>
      <c r="AB306">
        <v>0.8877221324717286</v>
      </c>
      <c r="AC306">
        <v>0.234248788368336</v>
      </c>
      <c r="AD306">
        <v>0.4345718901453958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58</v>
      </c>
      <c r="D307">
        <v>104780.48</v>
      </c>
      <c r="E307" t="s">
        <v>657</v>
      </c>
      <c r="F307" t="s">
        <v>629</v>
      </c>
      <c r="G307" t="s">
        <v>691</v>
      </c>
      <c r="H307" t="s">
        <v>703</v>
      </c>
      <c r="I307" t="s">
        <v>1011</v>
      </c>
      <c r="J307" t="s">
        <v>1315</v>
      </c>
      <c r="K307">
        <v>43808</v>
      </c>
      <c r="L307">
        <v>0.015038655172413</v>
      </c>
      <c r="M307">
        <v>-0.02924775819909686</v>
      </c>
      <c r="N307">
        <v>0.06</v>
      </c>
      <c r="O307">
        <v>0.05283721247851858</v>
      </c>
      <c r="P307" t="s">
        <v>494</v>
      </c>
      <c r="Q307" t="s">
        <v>382</v>
      </c>
      <c r="R307">
        <v>0</v>
      </c>
      <c r="S307">
        <v>0.3291479245283019</v>
      </c>
      <c r="T307">
        <v>50</v>
      </c>
      <c r="U307">
        <v>1.16</v>
      </c>
      <c r="V307">
        <v>2.4537</v>
      </c>
      <c r="W307">
        <v>2.65</v>
      </c>
      <c r="X307">
        <v>0.872242</v>
      </c>
      <c r="Y307">
        <v>0.2401</v>
      </c>
      <c r="Z307">
        <v>0.1749571183533448</v>
      </c>
      <c r="AA307">
        <v>0.5388349514563107</v>
      </c>
      <c r="AB307">
        <v>0.6130856219709209</v>
      </c>
      <c r="AC307">
        <v>0.4668820678513732</v>
      </c>
      <c r="AD307">
        <v>0.4264943457189015</v>
      </c>
    </row>
    <row r="308" spans="1:30">
      <c r="A308" s="1" t="s">
        <v>315</v>
      </c>
      <c r="B308">
        <f>HYPERLINK("https://www.suredividend.com/sure-analysis-YUM","Yum! Brands, Inc.")</f>
        <v>0</v>
      </c>
      <c r="C308">
        <v>100.59</v>
      </c>
      <c r="D308">
        <v>30424.65258</v>
      </c>
      <c r="E308" t="s">
        <v>659</v>
      </c>
      <c r="F308" t="s">
        <v>629</v>
      </c>
      <c r="G308" t="s">
        <v>673</v>
      </c>
      <c r="H308" t="s">
        <v>703</v>
      </c>
      <c r="I308" t="s">
        <v>1012</v>
      </c>
      <c r="J308" t="s">
        <v>1324</v>
      </c>
      <c r="K308">
        <v>43773</v>
      </c>
      <c r="L308">
        <v>0.016104980614375</v>
      </c>
      <c r="M308">
        <v>-0.04477201848736789</v>
      </c>
      <c r="N308">
        <v>0.08</v>
      </c>
      <c r="O308">
        <v>0.04847278204827887</v>
      </c>
      <c r="P308" t="s">
        <v>494</v>
      </c>
      <c r="Q308" t="s">
        <v>382</v>
      </c>
      <c r="R308">
        <v>1</v>
      </c>
      <c r="S308">
        <v>0.4354838709677419</v>
      </c>
      <c r="T308">
        <v>80</v>
      </c>
      <c r="U308">
        <v>1.257375</v>
      </c>
      <c r="V308">
        <v>3.6933</v>
      </c>
      <c r="W308">
        <v>3.72</v>
      </c>
      <c r="X308">
        <v>1.62</v>
      </c>
      <c r="Y308">
        <v>0.141253</v>
      </c>
      <c r="Z308">
        <v>0.1989708404802744</v>
      </c>
      <c r="AA308">
        <v>0.3414239482200647</v>
      </c>
      <c r="AB308">
        <v>0.8182552504038771</v>
      </c>
      <c r="AC308">
        <v>0.3231017770597738</v>
      </c>
      <c r="AD308">
        <v>0.3909531502423264</v>
      </c>
    </row>
    <row r="309" spans="1:30">
      <c r="A309" s="1" t="s">
        <v>316</v>
      </c>
      <c r="B309">
        <f>HYPERLINK("https://www.suredividend.com/sure-analysis-AJG","Arthur J. Gallagher &amp; Co.")</f>
        <v>0</v>
      </c>
      <c r="C309">
        <v>95.42</v>
      </c>
      <c r="D309">
        <v>17798.02466</v>
      </c>
      <c r="E309" t="s">
        <v>661</v>
      </c>
      <c r="F309" t="s">
        <v>629</v>
      </c>
      <c r="G309" t="s">
        <v>673</v>
      </c>
      <c r="H309" t="s">
        <v>703</v>
      </c>
      <c r="I309" t="s">
        <v>1013</v>
      </c>
      <c r="J309" t="s">
        <v>1309</v>
      </c>
      <c r="K309">
        <v>43766</v>
      </c>
      <c r="L309">
        <v>0.017815971494445</v>
      </c>
      <c r="M309">
        <v>-0.05476756258494941</v>
      </c>
      <c r="N309">
        <v>0.09</v>
      </c>
      <c r="O309">
        <v>0.04786119075963602</v>
      </c>
      <c r="P309" t="s">
        <v>494</v>
      </c>
      <c r="Q309" t="s">
        <v>382</v>
      </c>
      <c r="R309">
        <v>9</v>
      </c>
      <c r="S309">
        <v>0.4722222222222223</v>
      </c>
      <c r="T309">
        <v>72</v>
      </c>
      <c r="U309">
        <v>1.325277777777778</v>
      </c>
      <c r="V309">
        <v>3.7169</v>
      </c>
      <c r="W309">
        <v>3.6</v>
      </c>
      <c r="X309">
        <v>1.7</v>
      </c>
      <c r="Y309">
        <v>0.342809</v>
      </c>
      <c r="Z309">
        <v>0.2435677530017153</v>
      </c>
      <c r="AA309">
        <v>0.6812297734627832</v>
      </c>
      <c r="AB309">
        <v>0.8877221324717286</v>
      </c>
      <c r="AC309">
        <v>0.2504038772213247</v>
      </c>
      <c r="AD309">
        <v>0.3844911147011309</v>
      </c>
    </row>
    <row r="310" spans="1:30">
      <c r="A310" s="1" t="s">
        <v>317</v>
      </c>
      <c r="B310">
        <f>HYPERLINK("https://www.suredividend.com/sure-analysis-K","Kellogg Co.")</f>
        <v>0</v>
      </c>
      <c r="C310">
        <v>68.64</v>
      </c>
      <c r="D310">
        <v>23412.69216</v>
      </c>
      <c r="E310" t="s">
        <v>661</v>
      </c>
      <c r="F310" t="s">
        <v>629</v>
      </c>
      <c r="G310" t="s">
        <v>673</v>
      </c>
      <c r="H310" t="s">
        <v>703</v>
      </c>
      <c r="I310" t="s">
        <v>1014</v>
      </c>
      <c r="J310" t="s">
        <v>1322</v>
      </c>
      <c r="K310">
        <v>43779</v>
      </c>
      <c r="L310">
        <v>0.03277972027972</v>
      </c>
      <c r="M310">
        <v>-0.03312541698588101</v>
      </c>
      <c r="N310">
        <v>0.05</v>
      </c>
      <c r="O310">
        <v>0.0475096031754616</v>
      </c>
      <c r="P310" t="s">
        <v>494</v>
      </c>
      <c r="Q310" t="s">
        <v>494</v>
      </c>
      <c r="R310">
        <v>15</v>
      </c>
      <c r="S310">
        <v>0.5844155844155844</v>
      </c>
      <c r="T310">
        <v>58</v>
      </c>
      <c r="U310">
        <v>1.183448275862069</v>
      </c>
      <c r="V310">
        <v>2.1443</v>
      </c>
      <c r="W310">
        <v>3.85</v>
      </c>
      <c r="X310">
        <v>2.25</v>
      </c>
      <c r="Y310">
        <v>0.19084</v>
      </c>
      <c r="Z310">
        <v>0.5557461406518009</v>
      </c>
      <c r="AA310">
        <v>0.441747572815534</v>
      </c>
      <c r="AB310">
        <v>0.4588045234248789</v>
      </c>
      <c r="AC310">
        <v>0.4248788368336026</v>
      </c>
      <c r="AD310">
        <v>0.3812600969305331</v>
      </c>
    </row>
    <row r="311" spans="1:30">
      <c r="A311" s="1" t="s">
        <v>318</v>
      </c>
      <c r="B311">
        <f>HYPERLINK("https://www.suredividend.com/sure-analysis-AXS","AXIS Capital Holdings Ltd.")</f>
        <v>0</v>
      </c>
      <c r="C311">
        <v>60.92</v>
      </c>
      <c r="D311">
        <v>5114.72136</v>
      </c>
      <c r="E311" t="s">
        <v>661</v>
      </c>
      <c r="F311" t="s">
        <v>629</v>
      </c>
      <c r="G311" t="s">
        <v>684</v>
      </c>
      <c r="H311" t="s">
        <v>703</v>
      </c>
      <c r="I311" t="s">
        <v>1015</v>
      </c>
      <c r="J311" t="s">
        <v>1309</v>
      </c>
      <c r="K311">
        <v>43774</v>
      </c>
      <c r="L311">
        <v>0.026263952724885</v>
      </c>
      <c r="M311">
        <v>-0.03116752057687067</v>
      </c>
      <c r="N311">
        <v>0.05</v>
      </c>
      <c r="O311">
        <v>0.04471055656019884</v>
      </c>
      <c r="P311" t="s">
        <v>494</v>
      </c>
      <c r="Q311" t="s">
        <v>494</v>
      </c>
      <c r="R311">
        <v>17</v>
      </c>
      <c r="S311">
        <v>0.4923076923076923</v>
      </c>
      <c r="T311">
        <v>52</v>
      </c>
      <c r="U311">
        <v>1.171538461538462</v>
      </c>
      <c r="V311">
        <v>1.1104</v>
      </c>
      <c r="W311">
        <v>3.25</v>
      </c>
      <c r="X311">
        <v>1.6</v>
      </c>
      <c r="Y311">
        <v>0.204667</v>
      </c>
      <c r="Z311">
        <v>0.4391080617495712</v>
      </c>
      <c r="AA311">
        <v>0.4627831715210356</v>
      </c>
      <c r="AB311">
        <v>0.4588045234248789</v>
      </c>
      <c r="AC311">
        <v>0.4507269789983845</v>
      </c>
      <c r="AD311">
        <v>0.3554119547657512</v>
      </c>
    </row>
    <row r="312" spans="1:30">
      <c r="A312" s="1" t="s">
        <v>319</v>
      </c>
      <c r="B312">
        <f>HYPERLINK("https://www.suredividend.com/sure-analysis-ESS","Essex Property Trust, Inc.")</f>
        <v>0</v>
      </c>
      <c r="C312">
        <v>297.35</v>
      </c>
      <c r="D312">
        <v>19649.4827</v>
      </c>
      <c r="E312" t="s">
        <v>666</v>
      </c>
      <c r="F312" t="s">
        <v>630</v>
      </c>
      <c r="G312" t="s">
        <v>673</v>
      </c>
      <c r="H312" t="s">
        <v>703</v>
      </c>
      <c r="I312" t="s">
        <v>1016</v>
      </c>
      <c r="J312" t="s">
        <v>1309</v>
      </c>
      <c r="K312">
        <v>43730</v>
      </c>
      <c r="L312">
        <v>0.025929039852026</v>
      </c>
      <c r="M312">
        <v>-0.02057007242285203</v>
      </c>
      <c r="N312">
        <v>0.04</v>
      </c>
      <c r="O312">
        <v>0.04428454041073038</v>
      </c>
      <c r="P312" t="s">
        <v>494</v>
      </c>
      <c r="Q312" t="s">
        <v>494</v>
      </c>
      <c r="R312">
        <v>24</v>
      </c>
      <c r="S312">
        <v>0.5753731343283582</v>
      </c>
      <c r="T312">
        <v>268</v>
      </c>
      <c r="U312">
        <v>1.109514925373134</v>
      </c>
      <c r="V312">
        <v>6.5016</v>
      </c>
      <c r="W312">
        <v>13.4</v>
      </c>
      <c r="X312">
        <v>7.71</v>
      </c>
      <c r="Y312">
        <v>0.181132</v>
      </c>
      <c r="Z312">
        <v>0.4322469982847341</v>
      </c>
      <c r="AA312">
        <v>0.4207119741100323</v>
      </c>
      <c r="AB312">
        <v>0.3182552504038772</v>
      </c>
      <c r="AC312">
        <v>0.5605815831987075</v>
      </c>
      <c r="AD312">
        <v>0.3473344103392569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166.31</v>
      </c>
      <c r="D313">
        <v>97477.61719999999</v>
      </c>
      <c r="E313" t="s">
        <v>660</v>
      </c>
      <c r="F313" t="s">
        <v>629</v>
      </c>
      <c r="G313" t="s">
        <v>677</v>
      </c>
      <c r="H313" t="s">
        <v>703</v>
      </c>
      <c r="I313" t="s">
        <v>1017</v>
      </c>
      <c r="J313" t="s">
        <v>1322</v>
      </c>
      <c r="K313">
        <v>43674</v>
      </c>
      <c r="L313">
        <v>0.020640731164692</v>
      </c>
      <c r="M313">
        <v>-0.05400152496577004</v>
      </c>
      <c r="N313">
        <v>0.08</v>
      </c>
      <c r="O313">
        <v>0.0434599876513555</v>
      </c>
      <c r="P313" t="s">
        <v>494</v>
      </c>
      <c r="Q313" t="s">
        <v>382</v>
      </c>
      <c r="R313">
        <v>7</v>
      </c>
      <c r="S313">
        <v>0.4975014492753623</v>
      </c>
      <c r="T313">
        <v>126</v>
      </c>
      <c r="U313">
        <v>1.319920634920635</v>
      </c>
      <c r="V313">
        <v>6.7661</v>
      </c>
      <c r="W313">
        <v>6.9</v>
      </c>
      <c r="X313">
        <v>3.43276</v>
      </c>
      <c r="Y313">
        <v>0.1553</v>
      </c>
      <c r="Z313">
        <v>0.3207547169811321</v>
      </c>
      <c r="AA313">
        <v>0.3737864077669903</v>
      </c>
      <c r="AB313">
        <v>0.8182552504038771</v>
      </c>
      <c r="AC313">
        <v>0.2600969305331179</v>
      </c>
      <c r="AD313">
        <v>0.3424878836833603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46.14</v>
      </c>
      <c r="D314">
        <v>18092.23224</v>
      </c>
      <c r="E314" t="s">
        <v>659</v>
      </c>
      <c r="F314" t="s">
        <v>629</v>
      </c>
      <c r="G314" t="s">
        <v>673</v>
      </c>
      <c r="H314" t="s">
        <v>703</v>
      </c>
      <c r="I314" t="s">
        <v>1018</v>
      </c>
      <c r="J314" t="s">
        <v>1314</v>
      </c>
      <c r="K314">
        <v>43776</v>
      </c>
      <c r="L314">
        <v>0.04334633723450301</v>
      </c>
      <c r="M314">
        <v>-0.004991055677454503</v>
      </c>
      <c r="N314">
        <v>0</v>
      </c>
      <c r="O314">
        <v>0.04142083262929863</v>
      </c>
      <c r="P314" t="s">
        <v>494</v>
      </c>
      <c r="Q314" t="s">
        <v>634</v>
      </c>
      <c r="R314">
        <v>9</v>
      </c>
      <c r="S314">
        <v>0.4444444444444444</v>
      </c>
      <c r="T314">
        <v>45</v>
      </c>
      <c r="U314">
        <v>1.025333333333333</v>
      </c>
      <c r="V314">
        <v>3.47</v>
      </c>
      <c r="W314">
        <v>4.5</v>
      </c>
      <c r="X314">
        <v>2</v>
      </c>
      <c r="Y314">
        <v>0.179448</v>
      </c>
      <c r="Z314">
        <v>0.7032590051457975</v>
      </c>
      <c r="AA314">
        <v>0.4174757281553398</v>
      </c>
      <c r="AB314">
        <v>0.02988691437802908</v>
      </c>
      <c r="AC314">
        <v>0.6704361873990307</v>
      </c>
      <c r="AD314">
        <v>0.3263327948303716</v>
      </c>
    </row>
    <row r="315" spans="1:30">
      <c r="A315" s="1" t="s">
        <v>322</v>
      </c>
      <c r="B315">
        <f>HYPERLINK("https://www.suredividend.com/sure-analysis-LOGI","Logitech International SA")</f>
        <v>0</v>
      </c>
      <c r="C315">
        <v>46.34</v>
      </c>
      <c r="D315">
        <v>7734.33136</v>
      </c>
      <c r="E315" t="s">
        <v>660</v>
      </c>
      <c r="F315" t="s">
        <v>629</v>
      </c>
      <c r="G315" t="s">
        <v>678</v>
      </c>
      <c r="H315" t="s">
        <v>704</v>
      </c>
      <c r="I315" t="s">
        <v>1019</v>
      </c>
      <c r="J315" t="s">
        <v>1308</v>
      </c>
      <c r="K315">
        <v>43760</v>
      </c>
      <c r="L315">
        <v>0.01575312904618</v>
      </c>
      <c r="M315">
        <v>-0.04401926831206937</v>
      </c>
      <c r="N315">
        <v>0.07000000000000001</v>
      </c>
      <c r="O315">
        <v>0.0403474349868187</v>
      </c>
      <c r="P315" t="s">
        <v>494</v>
      </c>
      <c r="Q315" t="s">
        <v>382</v>
      </c>
      <c r="R315">
        <v>5</v>
      </c>
      <c r="S315">
        <v>0.3509615384615384</v>
      </c>
      <c r="T315">
        <v>37</v>
      </c>
      <c r="U315">
        <v>1.252432432432433</v>
      </c>
      <c r="V315">
        <v>1.6451</v>
      </c>
      <c r="W315">
        <v>2.08</v>
      </c>
      <c r="X315">
        <v>0.73</v>
      </c>
      <c r="Y315">
        <v>0.551909</v>
      </c>
      <c r="Z315">
        <v>0.1852487135506004</v>
      </c>
      <c r="AA315">
        <v>0.9061488673139158</v>
      </c>
      <c r="AB315">
        <v>0.7245557350565428</v>
      </c>
      <c r="AC315">
        <v>0.3360258481421648</v>
      </c>
      <c r="AD315">
        <v>0.3198707592891761</v>
      </c>
    </row>
    <row r="316" spans="1:30">
      <c r="A316" s="1" t="s">
        <v>323</v>
      </c>
      <c r="B316">
        <f>HYPERLINK("https://www.suredividend.com/sure-analysis-OGZPY","Gazprom PJSC")</f>
        <v>0</v>
      </c>
      <c r="C316">
        <v>8.210000000000001</v>
      </c>
      <c r="D316">
        <v>97179.7175</v>
      </c>
      <c r="E316" t="s">
        <v>659</v>
      </c>
      <c r="F316" t="s">
        <v>629</v>
      </c>
      <c r="G316" t="s">
        <v>692</v>
      </c>
      <c r="H316" t="s">
        <v>705</v>
      </c>
      <c r="I316" t="s">
        <v>1020</v>
      </c>
      <c r="J316" t="s">
        <v>1312</v>
      </c>
      <c r="K316">
        <v>43719</v>
      </c>
      <c r="L316">
        <v>0.06140073081607701</v>
      </c>
      <c r="M316">
        <v>-0.04563601943960349</v>
      </c>
      <c r="N316">
        <v>0.02</v>
      </c>
      <c r="O316">
        <v>0.03959396298747042</v>
      </c>
      <c r="P316" t="s">
        <v>494</v>
      </c>
      <c r="Q316" t="s">
        <v>633</v>
      </c>
      <c r="R316">
        <v>0</v>
      </c>
      <c r="S316">
        <v>0.3877692307692308</v>
      </c>
      <c r="T316">
        <v>6.5</v>
      </c>
      <c r="U316">
        <v>1.263076923076923</v>
      </c>
      <c r="V316">
        <v>1.9519</v>
      </c>
      <c r="W316">
        <v>1.3</v>
      </c>
      <c r="X316">
        <v>0.5041</v>
      </c>
      <c r="Y316">
        <v>0.7431</v>
      </c>
      <c r="Z316">
        <v>0.8421955403087479</v>
      </c>
      <c r="AA316">
        <v>0.959546925566343</v>
      </c>
      <c r="AB316">
        <v>0.1219709208400646</v>
      </c>
      <c r="AC316">
        <v>0.3134087237479806</v>
      </c>
      <c r="AD316">
        <v>0.3101777059773829</v>
      </c>
    </row>
    <row r="317" spans="1:30">
      <c r="A317" s="1" t="s">
        <v>324</v>
      </c>
      <c r="B317">
        <f>HYPERLINK("https://www.suredividend.com/sure-analysis-JW.A","John Wiley &amp; Sons, Inc.")</f>
        <v>0</v>
      </c>
      <c r="C317">
        <v>48.37</v>
      </c>
      <c r="D317">
        <v>2716.31409</v>
      </c>
      <c r="E317" t="s">
        <v>663</v>
      </c>
      <c r="F317" t="s">
        <v>629</v>
      </c>
      <c r="G317" t="s">
        <v>673</v>
      </c>
      <c r="H317" t="s">
        <v>703</v>
      </c>
      <c r="I317" t="s">
        <v>1021</v>
      </c>
      <c r="J317" t="s">
        <v>1324</v>
      </c>
      <c r="K317">
        <v>43743</v>
      </c>
      <c r="L317">
        <v>0.027703121769691</v>
      </c>
      <c r="M317">
        <v>-0.03252098479702892</v>
      </c>
      <c r="N317">
        <v>0.045</v>
      </c>
      <c r="O317">
        <v>0.03940843138785333</v>
      </c>
      <c r="P317" t="s">
        <v>494</v>
      </c>
      <c r="Q317" t="s">
        <v>494</v>
      </c>
      <c r="R317">
        <v>25</v>
      </c>
      <c r="S317">
        <v>0.5583333333333333</v>
      </c>
      <c r="T317">
        <v>41</v>
      </c>
      <c r="U317">
        <v>1.179756097560976</v>
      </c>
      <c r="V317">
        <v>2.579</v>
      </c>
      <c r="W317">
        <v>2.4</v>
      </c>
      <c r="X317">
        <v>1.34</v>
      </c>
      <c r="Y317">
        <v>0.043356</v>
      </c>
      <c r="Z317">
        <v>0.4614065180102916</v>
      </c>
      <c r="AA317">
        <v>0.2087378640776699</v>
      </c>
      <c r="AB317">
        <v>0.3820678513731826</v>
      </c>
      <c r="AC317">
        <v>0.431340872374798</v>
      </c>
      <c r="AD317">
        <v>0.308562197092084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37.12</v>
      </c>
      <c r="D318">
        <v>21289.32224</v>
      </c>
      <c r="E318" t="s">
        <v>658</v>
      </c>
      <c r="F318" t="s">
        <v>629</v>
      </c>
      <c r="G318" t="s">
        <v>673</v>
      </c>
      <c r="H318" t="s">
        <v>704</v>
      </c>
      <c r="I318" t="s">
        <v>1022</v>
      </c>
      <c r="J318" t="s">
        <v>1311</v>
      </c>
      <c r="K318">
        <v>43753</v>
      </c>
      <c r="L318">
        <v>0.022898706896551</v>
      </c>
      <c r="M318">
        <v>-0.05482981669469666</v>
      </c>
      <c r="N318">
        <v>0.07000000000000001</v>
      </c>
      <c r="O318">
        <v>0.03498247806521748</v>
      </c>
      <c r="P318" t="s">
        <v>494</v>
      </c>
      <c r="Q318" t="s">
        <v>405</v>
      </c>
      <c r="R318">
        <v>20</v>
      </c>
      <c r="S318">
        <v>0.6071428571428572</v>
      </c>
      <c r="T318">
        <v>28</v>
      </c>
      <c r="U318">
        <v>1.325714285714286</v>
      </c>
      <c r="V318">
        <v>1.3635</v>
      </c>
      <c r="W318">
        <v>1.4</v>
      </c>
      <c r="X318">
        <v>0.85</v>
      </c>
      <c r="Y318">
        <v>0.4721400000000001</v>
      </c>
      <c r="Z318">
        <v>0.3602058319039451</v>
      </c>
      <c r="AA318">
        <v>0.8495145631067962</v>
      </c>
      <c r="AB318">
        <v>0.7245557350565428</v>
      </c>
      <c r="AC318">
        <v>0.2487883683360258</v>
      </c>
      <c r="AD318">
        <v>0.2762520193861066</v>
      </c>
    </row>
    <row r="319" spans="1:30">
      <c r="A319" s="1" t="s">
        <v>326</v>
      </c>
      <c r="B319">
        <f>HYPERLINK("https://www.suredividend.com/sure-analysis-GM","General Motors Co.")</f>
        <v>0</v>
      </c>
      <c r="C319">
        <v>37.25</v>
      </c>
      <c r="D319">
        <v>53222.055</v>
      </c>
      <c r="E319" t="s">
        <v>664</v>
      </c>
      <c r="F319" t="s">
        <v>629</v>
      </c>
      <c r="G319" t="s">
        <v>673</v>
      </c>
      <c r="H319" t="s">
        <v>703</v>
      </c>
      <c r="I319" t="s">
        <v>1023</v>
      </c>
      <c r="J319" t="s">
        <v>1317</v>
      </c>
      <c r="K319">
        <v>43771</v>
      </c>
      <c r="L319">
        <v>0.04080536912751601</v>
      </c>
      <c r="M319">
        <v>-0.02393771369689945</v>
      </c>
      <c r="N319">
        <v>0.019</v>
      </c>
      <c r="O319">
        <v>0.0331927981099478</v>
      </c>
      <c r="P319" t="s">
        <v>494</v>
      </c>
      <c r="Q319" t="s">
        <v>634</v>
      </c>
      <c r="R319">
        <v>0</v>
      </c>
      <c r="S319">
        <v>0.3268817204301075</v>
      </c>
      <c r="T319">
        <v>33</v>
      </c>
      <c r="U319">
        <v>1.128787878787879</v>
      </c>
      <c r="V319">
        <v>6.2126</v>
      </c>
      <c r="W319">
        <v>4.65</v>
      </c>
      <c r="X319">
        <v>1.52</v>
      </c>
      <c r="Y319">
        <v>0.129472</v>
      </c>
      <c r="Z319">
        <v>0.6638078902229846</v>
      </c>
      <c r="AA319">
        <v>0.3187702265372168</v>
      </c>
      <c r="AB319">
        <v>0.09854604200323103</v>
      </c>
      <c r="AC319">
        <v>0.5282714054927302</v>
      </c>
      <c r="AD319">
        <v>0.2617124394184168</v>
      </c>
    </row>
    <row r="320" spans="1:30">
      <c r="A320" s="1" t="s">
        <v>327</v>
      </c>
      <c r="B320">
        <f>HYPERLINK("https://www.suredividend.com/sure-analysis-ETN","Eaton Corp. Plc")</f>
        <v>0</v>
      </c>
      <c r="C320">
        <v>94.40000000000001</v>
      </c>
      <c r="D320">
        <v>39024.96</v>
      </c>
      <c r="E320" t="s">
        <v>660</v>
      </c>
      <c r="F320" t="s">
        <v>629</v>
      </c>
      <c r="G320" t="s">
        <v>676</v>
      </c>
      <c r="H320" t="s">
        <v>703</v>
      </c>
      <c r="I320" t="s">
        <v>1024</v>
      </c>
      <c r="J320" t="s">
        <v>1316</v>
      </c>
      <c r="K320">
        <v>43767</v>
      </c>
      <c r="L320">
        <v>0.029555084745762</v>
      </c>
      <c r="M320">
        <v>-0.0277714468509439</v>
      </c>
      <c r="N320">
        <v>0.03</v>
      </c>
      <c r="O320">
        <v>0.03215297147524643</v>
      </c>
      <c r="P320" t="s">
        <v>494</v>
      </c>
      <c r="Q320" t="s">
        <v>494</v>
      </c>
      <c r="R320">
        <v>10</v>
      </c>
      <c r="S320">
        <v>0.4877622377622378</v>
      </c>
      <c r="T320">
        <v>82</v>
      </c>
      <c r="U320">
        <v>1.151219512195122</v>
      </c>
      <c r="V320">
        <v>5.6504</v>
      </c>
      <c r="W320">
        <v>5.72</v>
      </c>
      <c r="X320">
        <v>2.79</v>
      </c>
      <c r="Y320">
        <v>0.422329</v>
      </c>
      <c r="Z320">
        <v>0.5008576329331046</v>
      </c>
      <c r="AA320">
        <v>0.7977346278317152</v>
      </c>
      <c r="AB320">
        <v>0.2003231017770598</v>
      </c>
      <c r="AC320">
        <v>0.4894991922455574</v>
      </c>
      <c r="AD320">
        <v>0.2568659127625202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37.29</v>
      </c>
      <c r="D321">
        <v>346.23765</v>
      </c>
      <c r="E321" t="s">
        <v>666</v>
      </c>
      <c r="F321" t="s">
        <v>629</v>
      </c>
      <c r="G321" t="s">
        <v>673</v>
      </c>
      <c r="H321" t="s">
        <v>704</v>
      </c>
      <c r="I321" t="s">
        <v>1025</v>
      </c>
      <c r="J321" t="s">
        <v>1321</v>
      </c>
      <c r="K321">
        <v>43743</v>
      </c>
      <c r="L321">
        <v>0.026183963529096</v>
      </c>
      <c r="M321">
        <v>-0.03013448194645751</v>
      </c>
      <c r="N321">
        <v>0.035</v>
      </c>
      <c r="O321">
        <v>0.03097264594999927</v>
      </c>
      <c r="P321" t="s">
        <v>494</v>
      </c>
      <c r="Q321" t="s">
        <v>405</v>
      </c>
      <c r="R321">
        <v>21</v>
      </c>
      <c r="S321">
        <v>0.6140880503144655</v>
      </c>
      <c r="T321">
        <v>32</v>
      </c>
      <c r="U321">
        <v>1.1653125</v>
      </c>
      <c r="V321">
        <v>1.5937</v>
      </c>
      <c r="W321">
        <v>1.59</v>
      </c>
      <c r="X321">
        <v>0.9764</v>
      </c>
      <c r="Y321">
        <v>0.09579799999999999</v>
      </c>
      <c r="Z321">
        <v>0.4373927958833619</v>
      </c>
      <c r="AA321">
        <v>0.2783171521035599</v>
      </c>
      <c r="AB321">
        <v>0.2520193861066236</v>
      </c>
      <c r="AC321">
        <v>0.4604200323101778</v>
      </c>
      <c r="AD321">
        <v>0.2520193861066236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88.84999999999999</v>
      </c>
      <c r="D322">
        <v>101452.484</v>
      </c>
      <c r="E322" t="s">
        <v>660</v>
      </c>
      <c r="F322" t="s">
        <v>629</v>
      </c>
      <c r="G322" t="s">
        <v>673</v>
      </c>
      <c r="H322" t="s">
        <v>704</v>
      </c>
      <c r="I322" t="s">
        <v>1026</v>
      </c>
      <c r="J322" t="s">
        <v>1308</v>
      </c>
      <c r="K322">
        <v>43776</v>
      </c>
      <c r="L322">
        <v>0.027912211592571</v>
      </c>
      <c r="M322">
        <v>-0.06350705851456528</v>
      </c>
      <c r="N322">
        <v>0.066</v>
      </c>
      <c r="O322">
        <v>0.03033623740396241</v>
      </c>
      <c r="P322" t="s">
        <v>494</v>
      </c>
      <c r="Q322" t="s">
        <v>405</v>
      </c>
      <c r="R322">
        <v>16</v>
      </c>
      <c r="S322">
        <v>0.6004842615012107</v>
      </c>
      <c r="T322">
        <v>64</v>
      </c>
      <c r="U322">
        <v>1.38828125</v>
      </c>
      <c r="V322">
        <v>3.6227</v>
      </c>
      <c r="W322">
        <v>4.13</v>
      </c>
      <c r="X322">
        <v>2.48</v>
      </c>
      <c r="Y322">
        <v>0.619872</v>
      </c>
      <c r="Z322">
        <v>0.4631217838765009</v>
      </c>
      <c r="AA322">
        <v>0.9352750809061489</v>
      </c>
      <c r="AB322">
        <v>0.6898222940226171</v>
      </c>
      <c r="AC322">
        <v>0.1841680129240711</v>
      </c>
      <c r="AD322">
        <v>0.2504038772213247</v>
      </c>
    </row>
    <row r="323" spans="1:30">
      <c r="A323" s="1" t="s">
        <v>330</v>
      </c>
      <c r="B323">
        <f>HYPERLINK("https://www.suredividend.com/sure-analysis-HON","Honeywell International, Inc.")</f>
        <v>0</v>
      </c>
      <c r="C323">
        <v>176.41</v>
      </c>
      <c r="D323">
        <v>126050.76653</v>
      </c>
      <c r="E323" t="s">
        <v>660</v>
      </c>
      <c r="F323" t="s">
        <v>629</v>
      </c>
      <c r="G323" t="s">
        <v>673</v>
      </c>
      <c r="H323" t="s">
        <v>703</v>
      </c>
      <c r="I323" t="s">
        <v>1027</v>
      </c>
      <c r="J323" t="s">
        <v>1316</v>
      </c>
      <c r="K323">
        <v>43757</v>
      </c>
      <c r="L323">
        <v>0.018593050280596</v>
      </c>
      <c r="M323">
        <v>-0.05922876389255105</v>
      </c>
      <c r="N323">
        <v>0.07000000000000001</v>
      </c>
      <c r="O323">
        <v>0.02798353010920174</v>
      </c>
      <c r="P323" t="s">
        <v>494</v>
      </c>
      <c r="Q323" t="s">
        <v>405</v>
      </c>
      <c r="R323">
        <v>8</v>
      </c>
      <c r="S323">
        <v>0.4034440344403444</v>
      </c>
      <c r="T323">
        <v>130</v>
      </c>
      <c r="U323">
        <v>1.357</v>
      </c>
      <c r="V323">
        <v>8.6731</v>
      </c>
      <c r="W323">
        <v>8.130000000000001</v>
      </c>
      <c r="X323">
        <v>3.28</v>
      </c>
      <c r="Y323">
        <v>0.362871</v>
      </c>
      <c r="Z323">
        <v>0.2624356775300172</v>
      </c>
      <c r="AA323">
        <v>0.703883495145631</v>
      </c>
      <c r="AB323">
        <v>0.7245557350565428</v>
      </c>
      <c r="AC323">
        <v>0.2132471728594507</v>
      </c>
      <c r="AD323">
        <v>0.2439418416801292</v>
      </c>
    </row>
    <row r="324" spans="1:30">
      <c r="A324" s="1" t="s">
        <v>331</v>
      </c>
      <c r="B324">
        <f>HYPERLINK("https://www.suredividend.com/sure-analysis-UVV","Universal Corp.")</f>
        <v>0</v>
      </c>
      <c r="C324">
        <v>56.49</v>
      </c>
      <c r="D324">
        <v>1401.17796</v>
      </c>
      <c r="E324" t="s">
        <v>663</v>
      </c>
      <c r="F324" t="s">
        <v>629</v>
      </c>
      <c r="G324" t="s">
        <v>673</v>
      </c>
      <c r="H324" t="s">
        <v>703</v>
      </c>
      <c r="I324" t="s">
        <v>1028</v>
      </c>
      <c r="J324" t="s">
        <v>1322</v>
      </c>
      <c r="K324">
        <v>43713</v>
      </c>
      <c r="L324">
        <v>0.053460789520269</v>
      </c>
      <c r="M324">
        <v>-0.0531103354859086</v>
      </c>
      <c r="N324">
        <v>0.025</v>
      </c>
      <c r="O324">
        <v>0.02782141740658961</v>
      </c>
      <c r="P324" t="s">
        <v>494</v>
      </c>
      <c r="Q324" t="s">
        <v>633</v>
      </c>
      <c r="R324">
        <v>48</v>
      </c>
      <c r="S324">
        <v>0.7645569620253164</v>
      </c>
      <c r="T324">
        <v>43</v>
      </c>
      <c r="U324">
        <v>1.313720930232558</v>
      </c>
      <c r="V324">
        <v>3.5673</v>
      </c>
      <c r="W324">
        <v>3.95</v>
      </c>
      <c r="X324">
        <v>3.02</v>
      </c>
      <c r="Y324">
        <v>0.001063</v>
      </c>
      <c r="Z324">
        <v>0.7975986277873071</v>
      </c>
      <c r="AA324">
        <v>0.1731391585760518</v>
      </c>
      <c r="AB324">
        <v>0.1502423263327948</v>
      </c>
      <c r="AC324">
        <v>0.2681744749596123</v>
      </c>
      <c r="AD324">
        <v>0.2423263327948303</v>
      </c>
    </row>
    <row r="325" spans="1:30">
      <c r="A325" s="1" t="s">
        <v>332</v>
      </c>
      <c r="B325">
        <f>HYPERLINK("https://www.suredividend.com/sure-analysis-ROK","Rockwell Automation, Inc.")</f>
        <v>0</v>
      </c>
      <c r="C325">
        <v>204.35</v>
      </c>
      <c r="D325">
        <v>23612.02945</v>
      </c>
      <c r="E325" t="s">
        <v>663</v>
      </c>
      <c r="F325" t="s">
        <v>629</v>
      </c>
      <c r="G325" t="s">
        <v>673</v>
      </c>
      <c r="H325" t="s">
        <v>703</v>
      </c>
      <c r="I325" t="s">
        <v>1029</v>
      </c>
      <c r="J325" t="s">
        <v>1316</v>
      </c>
      <c r="K325">
        <v>43801</v>
      </c>
      <c r="L325">
        <v>0.01898703205285</v>
      </c>
      <c r="M325">
        <v>-0.05378155160085163</v>
      </c>
      <c r="N325">
        <v>0.063</v>
      </c>
      <c r="O325">
        <v>0.02768416723140898</v>
      </c>
      <c r="P325" t="s">
        <v>494</v>
      </c>
      <c r="Q325" t="s">
        <v>405</v>
      </c>
      <c r="R325">
        <v>9</v>
      </c>
      <c r="S325">
        <v>0.4511627906976744</v>
      </c>
      <c r="T325">
        <v>155</v>
      </c>
      <c r="U325">
        <v>1.318387096774194</v>
      </c>
      <c r="V325">
        <v>5.8636</v>
      </c>
      <c r="W325">
        <v>8.6</v>
      </c>
      <c r="X325">
        <v>3.88</v>
      </c>
      <c r="Y325">
        <v>0.411452</v>
      </c>
      <c r="Z325">
        <v>0.2795883361921098</v>
      </c>
      <c r="AA325">
        <v>0.7799352750809061</v>
      </c>
      <c r="AB325">
        <v>0.6720516962843296</v>
      </c>
      <c r="AC325">
        <v>0.2633279483037157</v>
      </c>
      <c r="AD325">
        <v>0.2407108239095315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91.58</v>
      </c>
      <c r="D326">
        <v>233160.8484</v>
      </c>
      <c r="E326" t="s">
        <v>660</v>
      </c>
      <c r="F326" t="s">
        <v>629</v>
      </c>
      <c r="G326" t="s">
        <v>673</v>
      </c>
      <c r="H326" t="s">
        <v>703</v>
      </c>
      <c r="I326" t="s">
        <v>1030</v>
      </c>
      <c r="J326" t="s">
        <v>1315</v>
      </c>
      <c r="K326">
        <v>43767</v>
      </c>
      <c r="L326">
        <v>0.024022712382616</v>
      </c>
      <c r="M326">
        <v>-0.04697043968741177</v>
      </c>
      <c r="N326">
        <v>0.05</v>
      </c>
      <c r="O326">
        <v>0.02706562359753328</v>
      </c>
      <c r="P326" t="s">
        <v>494</v>
      </c>
      <c r="Q326" t="s">
        <v>405</v>
      </c>
      <c r="R326">
        <v>8</v>
      </c>
      <c r="S326">
        <v>0.4271844660194175</v>
      </c>
      <c r="T326">
        <v>72</v>
      </c>
      <c r="U326">
        <v>1.271944444444444</v>
      </c>
      <c r="V326">
        <v>3.6108</v>
      </c>
      <c r="W326">
        <v>5.15</v>
      </c>
      <c r="X326">
        <v>2.2</v>
      </c>
      <c r="Y326">
        <v>0.256241</v>
      </c>
      <c r="Z326">
        <v>0.3842195540308748</v>
      </c>
      <c r="AA326">
        <v>0.5663430420711975</v>
      </c>
      <c r="AB326">
        <v>0.4588045234248789</v>
      </c>
      <c r="AC326">
        <v>0.3053311793214863</v>
      </c>
      <c r="AD326">
        <v>0.234248788368336</v>
      </c>
    </row>
    <row r="327" spans="1:30">
      <c r="A327" s="1" t="s">
        <v>334</v>
      </c>
      <c r="B327">
        <f>HYPERLINK("https://www.suredividend.com/sure-analysis-CAG","Conagra Brands, Inc.")</f>
        <v>0</v>
      </c>
      <c r="C327">
        <v>35.07</v>
      </c>
      <c r="D327">
        <v>17066.95578</v>
      </c>
      <c r="E327" t="s">
        <v>658</v>
      </c>
      <c r="F327" t="s">
        <v>629</v>
      </c>
      <c r="G327" t="s">
        <v>673</v>
      </c>
      <c r="H327" t="s">
        <v>703</v>
      </c>
      <c r="I327" t="s">
        <v>1031</v>
      </c>
      <c r="J327" t="s">
        <v>1322</v>
      </c>
      <c r="K327">
        <v>43818</v>
      </c>
      <c r="L327">
        <v>0.024237239806102</v>
      </c>
      <c r="M327">
        <v>-0.03729673127647515</v>
      </c>
      <c r="N327">
        <v>0.04</v>
      </c>
      <c r="O327">
        <v>0.02681249305737321</v>
      </c>
      <c r="P327" t="s">
        <v>494</v>
      </c>
      <c r="Q327" t="s">
        <v>405</v>
      </c>
      <c r="R327">
        <v>0</v>
      </c>
      <c r="S327">
        <v>0.4047619047619047</v>
      </c>
      <c r="T327">
        <v>29</v>
      </c>
      <c r="U327">
        <v>1.209310344827586</v>
      </c>
      <c r="V327">
        <v>1.6494</v>
      </c>
      <c r="W327">
        <v>2.1</v>
      </c>
      <c r="X327">
        <v>0.85</v>
      </c>
      <c r="Y327">
        <v>0.5832959999999999</v>
      </c>
      <c r="Z327">
        <v>0.3876500857632933</v>
      </c>
      <c r="AA327">
        <v>0.9223300970873787</v>
      </c>
      <c r="AB327">
        <v>0.3182552504038772</v>
      </c>
      <c r="AC327">
        <v>0.3877221324717286</v>
      </c>
      <c r="AD327">
        <v>0.2310177705977383</v>
      </c>
    </row>
    <row r="328" spans="1:30">
      <c r="A328" s="1" t="s">
        <v>335</v>
      </c>
      <c r="B328">
        <f>HYPERLINK("https://www.suredividend.com/sure-analysis-DE","Deere &amp; Co.")</f>
        <v>0</v>
      </c>
      <c r="C328">
        <v>174.65</v>
      </c>
      <c r="D328">
        <v>54992.56945</v>
      </c>
      <c r="E328" t="s">
        <v>658</v>
      </c>
      <c r="F328" t="s">
        <v>629</v>
      </c>
      <c r="G328" t="s">
        <v>673</v>
      </c>
      <c r="H328" t="s">
        <v>703</v>
      </c>
      <c r="I328" t="s">
        <v>1032</v>
      </c>
      <c r="J328" t="s">
        <v>1316</v>
      </c>
      <c r="K328">
        <v>43796</v>
      </c>
      <c r="L328">
        <v>0.017406241053535</v>
      </c>
      <c r="M328">
        <v>-0.05019809630993144</v>
      </c>
      <c r="N328">
        <v>0.06</v>
      </c>
      <c r="O328">
        <v>0.02548944745670578</v>
      </c>
      <c r="P328" t="s">
        <v>494</v>
      </c>
      <c r="Q328" t="s">
        <v>405</v>
      </c>
      <c r="R328">
        <v>1</v>
      </c>
      <c r="S328">
        <v>0.304</v>
      </c>
      <c r="T328">
        <v>135</v>
      </c>
      <c r="U328">
        <v>1.293703703703704</v>
      </c>
      <c r="V328">
        <v>10.2669</v>
      </c>
      <c r="W328">
        <v>10</v>
      </c>
      <c r="X328">
        <v>3.04</v>
      </c>
      <c r="Y328">
        <v>0.221414</v>
      </c>
      <c r="Z328">
        <v>0.2332761578044597</v>
      </c>
      <c r="AA328">
        <v>0.5016181229773463</v>
      </c>
      <c r="AB328">
        <v>0.6130856219709209</v>
      </c>
      <c r="AC328">
        <v>0.2891760904684976</v>
      </c>
      <c r="AD328">
        <v>0.2180936995153474</v>
      </c>
    </row>
    <row r="329" spans="1:30">
      <c r="A329" s="1" t="s">
        <v>336</v>
      </c>
      <c r="B329">
        <f>HYPERLINK("https://www.suredividend.com/sure-analysis-COP","ConocoPhillips")</f>
        <v>0</v>
      </c>
      <c r="C329">
        <v>63.72</v>
      </c>
      <c r="D329">
        <v>69918.0444</v>
      </c>
      <c r="E329" t="s">
        <v>659</v>
      </c>
      <c r="F329" t="s">
        <v>629</v>
      </c>
      <c r="G329" t="s">
        <v>673</v>
      </c>
      <c r="H329" t="s">
        <v>703</v>
      </c>
      <c r="I329" t="s">
        <v>1033</v>
      </c>
      <c r="J329" t="s">
        <v>1312</v>
      </c>
      <c r="K329">
        <v>43770</v>
      </c>
      <c r="L329">
        <v>0.019146264908976</v>
      </c>
      <c r="M329">
        <v>-0.07138566864626494</v>
      </c>
      <c r="N329">
        <v>0.08</v>
      </c>
      <c r="O329">
        <v>0.02522496396385177</v>
      </c>
      <c r="P329" t="s">
        <v>494</v>
      </c>
      <c r="Q329" t="s">
        <v>405</v>
      </c>
      <c r="R329">
        <v>1</v>
      </c>
      <c r="S329">
        <v>0.3297297297297297</v>
      </c>
      <c r="T329">
        <v>44</v>
      </c>
      <c r="U329">
        <v>1.448181818181818</v>
      </c>
      <c r="V329">
        <v>7.3913</v>
      </c>
      <c r="W329">
        <v>3.7</v>
      </c>
      <c r="X329">
        <v>1.22</v>
      </c>
      <c r="Y329">
        <v>0.065552</v>
      </c>
      <c r="Z329">
        <v>0.2830188679245283</v>
      </c>
      <c r="AA329">
        <v>0.2411003236245955</v>
      </c>
      <c r="AB329">
        <v>0.8182552504038771</v>
      </c>
      <c r="AC329">
        <v>0.1518578352180937</v>
      </c>
      <c r="AD329">
        <v>0.2148626817447496</v>
      </c>
    </row>
    <row r="330" spans="1:30">
      <c r="A330" s="1" t="s">
        <v>337</v>
      </c>
      <c r="B330">
        <f>HYPERLINK("https://www.suredividend.com/sure-analysis-EIX","Edison International")</f>
        <v>0</v>
      </c>
      <c r="C330">
        <v>75.19</v>
      </c>
      <c r="D330">
        <v>26963.20919</v>
      </c>
      <c r="E330" t="s">
        <v>667</v>
      </c>
      <c r="F330" t="s">
        <v>629</v>
      </c>
      <c r="G330" t="s">
        <v>673</v>
      </c>
      <c r="H330" t="s">
        <v>703</v>
      </c>
      <c r="I330" t="s">
        <v>1034</v>
      </c>
      <c r="J330" t="s">
        <v>1321</v>
      </c>
      <c r="K330">
        <v>43733</v>
      </c>
      <c r="L330">
        <v>0.032584120228753</v>
      </c>
      <c r="M330">
        <v>-0.05388712144714591</v>
      </c>
      <c r="N330">
        <v>0.04</v>
      </c>
      <c r="O330">
        <v>0.02333655367861276</v>
      </c>
      <c r="P330" t="s">
        <v>494</v>
      </c>
      <c r="Q330" t="s">
        <v>494</v>
      </c>
      <c r="R330">
        <v>16</v>
      </c>
      <c r="S330">
        <v>0.5444444444444445</v>
      </c>
      <c r="T330">
        <v>57</v>
      </c>
      <c r="U330">
        <v>1.319122807017544</v>
      </c>
      <c r="V330">
        <v>-0.9739000000000001</v>
      </c>
      <c r="W330">
        <v>4.5</v>
      </c>
      <c r="X330">
        <v>2.45</v>
      </c>
      <c r="Y330">
        <v>0.338377</v>
      </c>
      <c r="Z330">
        <v>0.5523156089193825</v>
      </c>
      <c r="AA330">
        <v>0.6731391585760518</v>
      </c>
      <c r="AB330">
        <v>0.3182552504038772</v>
      </c>
      <c r="AC330">
        <v>0.2617124394184168</v>
      </c>
      <c r="AD330">
        <v>0.2067851373182553</v>
      </c>
    </row>
    <row r="331" spans="1:30">
      <c r="A331" s="1" t="s">
        <v>338</v>
      </c>
      <c r="B331">
        <f>HYPERLINK("https://www.suredividend.com/sure-analysis-ALV","Autoliv, Inc.")</f>
        <v>0</v>
      </c>
      <c r="C331">
        <v>85.97</v>
      </c>
      <c r="D331">
        <v>7499.50698</v>
      </c>
      <c r="E331" t="s">
        <v>661</v>
      </c>
      <c r="F331" t="s">
        <v>629</v>
      </c>
      <c r="G331" t="s">
        <v>690</v>
      </c>
      <c r="H331" t="s">
        <v>703</v>
      </c>
      <c r="I331" t="s">
        <v>1035</v>
      </c>
      <c r="J331" t="s">
        <v>1316</v>
      </c>
      <c r="K331">
        <v>43764</v>
      </c>
      <c r="L331">
        <v>0.028847272304292</v>
      </c>
      <c r="M331">
        <v>-0.05731497220572834</v>
      </c>
      <c r="N331">
        <v>0.05</v>
      </c>
      <c r="O331">
        <v>0.0226743370449094</v>
      </c>
      <c r="P331" t="s">
        <v>494</v>
      </c>
      <c r="Q331" t="s">
        <v>494</v>
      </c>
      <c r="R331">
        <v>9</v>
      </c>
      <c r="S331">
        <v>0.4275862068965517</v>
      </c>
      <c r="T331">
        <v>64</v>
      </c>
      <c r="U331">
        <v>1.34328125</v>
      </c>
      <c r="V331">
        <v>2.4638</v>
      </c>
      <c r="W331">
        <v>5.8</v>
      </c>
      <c r="X331">
        <v>2.48</v>
      </c>
      <c r="Y331">
        <v>0.21926</v>
      </c>
      <c r="Z331">
        <v>0.4854202401372213</v>
      </c>
      <c r="AA331">
        <v>0.4967637540453074</v>
      </c>
      <c r="AB331">
        <v>0.4588045234248789</v>
      </c>
      <c r="AC331">
        <v>0.2326332794830371</v>
      </c>
      <c r="AD331">
        <v>0.2035541195476575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16.07</v>
      </c>
      <c r="D332">
        <v>36055.4555</v>
      </c>
      <c r="E332" t="s">
        <v>659</v>
      </c>
      <c r="F332" t="s">
        <v>629</v>
      </c>
      <c r="G332" t="s">
        <v>693</v>
      </c>
      <c r="H332" t="s">
        <v>703</v>
      </c>
      <c r="I332" t="s">
        <v>1036</v>
      </c>
      <c r="J332" t="s">
        <v>1318</v>
      </c>
      <c r="K332">
        <v>43754</v>
      </c>
      <c r="L332">
        <v>0.02286869943995</v>
      </c>
      <c r="M332">
        <v>-0.03425253163812769</v>
      </c>
      <c r="N332">
        <v>0.03</v>
      </c>
      <c r="O332">
        <v>0.02098996623397476</v>
      </c>
      <c r="P332" t="s">
        <v>494</v>
      </c>
      <c r="Q332" t="s">
        <v>405</v>
      </c>
      <c r="R332">
        <v>1</v>
      </c>
      <c r="S332">
        <v>0.3675</v>
      </c>
      <c r="T332">
        <v>13.5</v>
      </c>
      <c r="U332">
        <v>1.19037037037037</v>
      </c>
      <c r="V332">
        <v>0.8955000000000001</v>
      </c>
      <c r="W332">
        <v>1</v>
      </c>
      <c r="X332">
        <v>0.3675</v>
      </c>
      <c r="Y332">
        <v>0.1293</v>
      </c>
      <c r="Z332">
        <v>0.3584905660377358</v>
      </c>
      <c r="AA332">
        <v>0.3155339805825242</v>
      </c>
      <c r="AB332">
        <v>0.2003231017770598</v>
      </c>
      <c r="AC332">
        <v>0.4103392568659128</v>
      </c>
      <c r="AD332">
        <v>0.1970920840064621</v>
      </c>
    </row>
    <row r="333" spans="1:30">
      <c r="A333" s="1" t="s">
        <v>340</v>
      </c>
      <c r="B333">
        <f>HYPERLINK("https://www.suredividend.com/sure-analysis-HSY","The Hershey Co.")</f>
        <v>0</v>
      </c>
      <c r="C333">
        <v>147.44</v>
      </c>
      <c r="D333">
        <v>21866.53152</v>
      </c>
      <c r="E333" t="s">
        <v>658</v>
      </c>
      <c r="F333" t="s">
        <v>629</v>
      </c>
      <c r="G333" t="s">
        <v>673</v>
      </c>
      <c r="H333" t="s">
        <v>703</v>
      </c>
      <c r="I333" t="s">
        <v>1037</v>
      </c>
      <c r="J333" t="s">
        <v>1322</v>
      </c>
      <c r="K333">
        <v>43762</v>
      </c>
      <c r="L333">
        <v>0.019933532284319</v>
      </c>
      <c r="M333">
        <v>-0.06035958792163054</v>
      </c>
      <c r="N333">
        <v>0.06</v>
      </c>
      <c r="O333">
        <v>0.0190759764214905</v>
      </c>
      <c r="P333" t="s">
        <v>494</v>
      </c>
      <c r="Q333" t="s">
        <v>382</v>
      </c>
      <c r="R333">
        <v>9</v>
      </c>
      <c r="S333">
        <v>0.5156140350877193</v>
      </c>
      <c r="T333">
        <v>108</v>
      </c>
      <c r="U333">
        <v>1.365185185185185</v>
      </c>
      <c r="V333">
        <v>6.2659</v>
      </c>
      <c r="W333">
        <v>5.7</v>
      </c>
      <c r="X333">
        <v>2.939</v>
      </c>
      <c r="Y333">
        <v>0.392125</v>
      </c>
      <c r="Z333">
        <v>0.3001715265866209</v>
      </c>
      <c r="AA333">
        <v>0.7459546925566343</v>
      </c>
      <c r="AB333">
        <v>0.6130856219709209</v>
      </c>
      <c r="AC333">
        <v>0.2067851373182553</v>
      </c>
      <c r="AD333">
        <v>0.1873990306946688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86.66</v>
      </c>
      <c r="D334">
        <v>153162.884</v>
      </c>
      <c r="E334" t="s">
        <v>658</v>
      </c>
      <c r="F334" t="s">
        <v>629</v>
      </c>
      <c r="G334" t="s">
        <v>673</v>
      </c>
      <c r="H334" t="s">
        <v>703</v>
      </c>
      <c r="I334" t="s">
        <v>1038</v>
      </c>
      <c r="J334" t="s">
        <v>1315</v>
      </c>
      <c r="K334">
        <v>43754</v>
      </c>
      <c r="L334">
        <v>0.014770366951303</v>
      </c>
      <c r="M334">
        <v>-0.0558979636114515</v>
      </c>
      <c r="N334">
        <v>0.06</v>
      </c>
      <c r="O334">
        <v>0.01792044309574425</v>
      </c>
      <c r="P334" t="s">
        <v>494</v>
      </c>
      <c r="Q334" t="s">
        <v>382</v>
      </c>
      <c r="R334">
        <v>6</v>
      </c>
      <c r="S334">
        <v>0.3950617283950617</v>
      </c>
      <c r="T334">
        <v>65</v>
      </c>
      <c r="U334">
        <v>1.333230769230769</v>
      </c>
      <c r="V334">
        <v>1.8585</v>
      </c>
      <c r="W334">
        <v>3.24</v>
      </c>
      <c r="X334">
        <v>1.28</v>
      </c>
      <c r="Y334">
        <v>0.288241</v>
      </c>
      <c r="Z334">
        <v>0.1680960548885077</v>
      </c>
      <c r="AA334">
        <v>0.6181229773462783</v>
      </c>
      <c r="AB334">
        <v>0.6130856219709209</v>
      </c>
      <c r="AC334">
        <v>0.2423263327948303</v>
      </c>
      <c r="AD334">
        <v>0.1793214862681745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133.54</v>
      </c>
      <c r="D335">
        <v>16022.66336</v>
      </c>
      <c r="E335" t="s">
        <v>658</v>
      </c>
      <c r="F335" t="s">
        <v>629</v>
      </c>
      <c r="G335" t="s">
        <v>673</v>
      </c>
      <c r="H335" t="s">
        <v>703</v>
      </c>
      <c r="I335" t="s">
        <v>1039</v>
      </c>
      <c r="J335" t="s">
        <v>1310</v>
      </c>
      <c r="K335">
        <v>43804</v>
      </c>
      <c r="L335">
        <v>0.016923768159353</v>
      </c>
      <c r="M335">
        <v>-0.06583746295920134</v>
      </c>
      <c r="N335">
        <v>0.06</v>
      </c>
      <c r="O335">
        <v>0.01090402279414793</v>
      </c>
      <c r="P335" t="s">
        <v>494</v>
      </c>
      <c r="Q335" t="s">
        <v>405</v>
      </c>
      <c r="R335">
        <v>16</v>
      </c>
      <c r="S335">
        <v>0.452</v>
      </c>
      <c r="T335">
        <v>95</v>
      </c>
      <c r="U335">
        <v>1.405684210526316</v>
      </c>
      <c r="V335">
        <v>4.4885</v>
      </c>
      <c r="W335">
        <v>5</v>
      </c>
      <c r="X335">
        <v>2.26</v>
      </c>
      <c r="Y335">
        <v>0.7622059999999999</v>
      </c>
      <c r="Z335">
        <v>0.2178387650085764</v>
      </c>
      <c r="AA335">
        <v>0.9644012944983819</v>
      </c>
      <c r="AB335">
        <v>0.6130856219709209</v>
      </c>
      <c r="AC335">
        <v>0.1712439418416801</v>
      </c>
      <c r="AD335">
        <v>0.1502423263327948</v>
      </c>
    </row>
    <row r="336" spans="1:30">
      <c r="A336" s="1" t="s">
        <v>343</v>
      </c>
      <c r="B336">
        <f>HYPERLINK("https://www.suredividend.com/sure-analysis-RMD","ResMed, Inc.")</f>
        <v>0</v>
      </c>
      <c r="C336">
        <v>155.93</v>
      </c>
      <c r="D336">
        <v>22420.55098</v>
      </c>
      <c r="E336" t="s">
        <v>663</v>
      </c>
      <c r="F336" t="s">
        <v>629</v>
      </c>
      <c r="G336" t="s">
        <v>673</v>
      </c>
      <c r="H336" t="s">
        <v>703</v>
      </c>
      <c r="I336" t="s">
        <v>1040</v>
      </c>
      <c r="J336" t="s">
        <v>1315</v>
      </c>
      <c r="K336">
        <v>43763</v>
      </c>
      <c r="L336">
        <v>0.009619701147951</v>
      </c>
      <c r="M336">
        <v>-0.1163710797533611</v>
      </c>
      <c r="N336">
        <v>0.125</v>
      </c>
      <c r="O336">
        <v>0.008254029107920058</v>
      </c>
      <c r="P336" t="s">
        <v>494</v>
      </c>
      <c r="Q336" t="s">
        <v>382</v>
      </c>
      <c r="R336">
        <v>7</v>
      </c>
      <c r="S336">
        <v>0.3759398496240601</v>
      </c>
      <c r="T336">
        <v>84</v>
      </c>
      <c r="U336">
        <v>1.856309523809524</v>
      </c>
      <c r="V336">
        <v>2.9212</v>
      </c>
      <c r="W336">
        <v>3.99</v>
      </c>
      <c r="X336">
        <v>1.5</v>
      </c>
      <c r="Y336">
        <v>0.464819</v>
      </c>
      <c r="Z336">
        <v>0.05831903945111493</v>
      </c>
      <c r="AA336">
        <v>0.8414239482200646</v>
      </c>
      <c r="AB336">
        <v>0.9660743134087239</v>
      </c>
      <c r="AC336">
        <v>0.04684975767366721</v>
      </c>
      <c r="AD336">
        <v>0.1373182552504039</v>
      </c>
    </row>
    <row r="337" spans="1:30">
      <c r="A337" s="1" t="s">
        <v>344</v>
      </c>
      <c r="B337">
        <f>HYPERLINK("https://www.suredividend.com/sure-analysis-AMT","American Tower Corp.")</f>
        <v>0</v>
      </c>
      <c r="C337">
        <v>227.74</v>
      </c>
      <c r="D337">
        <v>100875.1556</v>
      </c>
      <c r="E337" t="s">
        <v>658</v>
      </c>
      <c r="F337" t="s">
        <v>630</v>
      </c>
      <c r="G337" t="s">
        <v>673</v>
      </c>
      <c r="H337" t="s">
        <v>703</v>
      </c>
      <c r="I337" t="s">
        <v>1041</v>
      </c>
      <c r="J337" t="s">
        <v>1309</v>
      </c>
      <c r="K337">
        <v>43769</v>
      </c>
      <c r="L337">
        <v>0.015851409502063</v>
      </c>
      <c r="M337">
        <v>-0.07169205541733192</v>
      </c>
      <c r="N337">
        <v>0.06</v>
      </c>
      <c r="O337">
        <v>0.005824657762600216</v>
      </c>
      <c r="P337" t="s">
        <v>494</v>
      </c>
      <c r="Q337" t="s">
        <v>382</v>
      </c>
      <c r="R337">
        <v>9</v>
      </c>
      <c r="S337">
        <v>0.4592875318066157</v>
      </c>
      <c r="T337">
        <v>157</v>
      </c>
      <c r="U337">
        <v>1.450573248407643</v>
      </c>
      <c r="V337">
        <v>3.6261</v>
      </c>
      <c r="W337">
        <v>7.86</v>
      </c>
      <c r="X337">
        <v>3.61</v>
      </c>
      <c r="Y337">
        <v>0.441392</v>
      </c>
      <c r="Z337">
        <v>0.1921097770154374</v>
      </c>
      <c r="AA337">
        <v>0.8171521035598706</v>
      </c>
      <c r="AB337">
        <v>0.6130856219709209</v>
      </c>
      <c r="AC337">
        <v>0.1502423263327948</v>
      </c>
      <c r="AD337">
        <v>0.1276252019386107</v>
      </c>
    </row>
    <row r="338" spans="1:30">
      <c r="A338" s="1" t="s">
        <v>345</v>
      </c>
      <c r="B338">
        <f>HYPERLINK("https://www.suredividend.com/sure-analysis-ERIE","Erie Indemnity Co.")</f>
        <v>0</v>
      </c>
      <c r="C338">
        <v>169.68</v>
      </c>
      <c r="D338">
        <v>7837.34952</v>
      </c>
      <c r="E338" t="s">
        <v>663</v>
      </c>
      <c r="F338" t="s">
        <v>629</v>
      </c>
      <c r="G338" t="s">
        <v>673</v>
      </c>
      <c r="H338" t="s">
        <v>704</v>
      </c>
      <c r="I338" t="s">
        <v>1042</v>
      </c>
      <c r="J338" t="s">
        <v>1309</v>
      </c>
      <c r="K338">
        <v>43763</v>
      </c>
      <c r="L338">
        <v>0.021216407355021</v>
      </c>
      <c r="M338">
        <v>-0.07484726518245322</v>
      </c>
      <c r="N338">
        <v>0.06</v>
      </c>
      <c r="O338">
        <v>0.005635877805233891</v>
      </c>
      <c r="P338" t="s">
        <v>494</v>
      </c>
      <c r="Q338" t="s">
        <v>405</v>
      </c>
      <c r="R338">
        <v>29</v>
      </c>
      <c r="S338">
        <v>0.5950413223140496</v>
      </c>
      <c r="T338">
        <v>115</v>
      </c>
      <c r="U338">
        <v>1.475478260869565</v>
      </c>
      <c r="V338">
        <v>6.8616</v>
      </c>
      <c r="W338">
        <v>6.05</v>
      </c>
      <c r="X338">
        <v>3.6</v>
      </c>
      <c r="Y338">
        <v>0.302826</v>
      </c>
      <c r="Z338">
        <v>0.3276157804459691</v>
      </c>
      <c r="AA338">
        <v>0.6343042071197411</v>
      </c>
      <c r="AB338">
        <v>0.6130856219709209</v>
      </c>
      <c r="AC338">
        <v>0.1405492730210016</v>
      </c>
      <c r="AD338">
        <v>0.1260096930533118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113.16</v>
      </c>
      <c r="D339">
        <v>48007.11156</v>
      </c>
      <c r="E339" t="s">
        <v>658</v>
      </c>
      <c r="F339" t="s">
        <v>629</v>
      </c>
      <c r="G339" t="s">
        <v>673</v>
      </c>
      <c r="H339" t="s">
        <v>703</v>
      </c>
      <c r="I339" t="s">
        <v>1043</v>
      </c>
      <c r="J339" t="s">
        <v>1325</v>
      </c>
      <c r="K339">
        <v>43761</v>
      </c>
      <c r="L339">
        <v>0.017696182396606</v>
      </c>
      <c r="M339">
        <v>-0.06238578557100172</v>
      </c>
      <c r="N339">
        <v>0.05</v>
      </c>
      <c r="O339">
        <v>0.005250956705817433</v>
      </c>
      <c r="P339" t="s">
        <v>494</v>
      </c>
      <c r="Q339" t="s">
        <v>405</v>
      </c>
      <c r="R339">
        <v>16</v>
      </c>
      <c r="S339">
        <v>0.4624711316397229</v>
      </c>
      <c r="T339">
        <v>82</v>
      </c>
      <c r="U339">
        <v>1.38</v>
      </c>
      <c r="V339">
        <v>4.1361</v>
      </c>
      <c r="W339">
        <v>4.33</v>
      </c>
      <c r="X339">
        <v>2.0025</v>
      </c>
      <c r="Y339">
        <v>0.285763</v>
      </c>
      <c r="Z339">
        <v>0.2401372212692968</v>
      </c>
      <c r="AA339">
        <v>0.6116504854368933</v>
      </c>
      <c r="AB339">
        <v>0.4588045234248789</v>
      </c>
      <c r="AC339">
        <v>0.1890145395799677</v>
      </c>
      <c r="AD339">
        <v>0.1227786752827141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242.71</v>
      </c>
      <c r="D340">
        <v>118630.82296</v>
      </c>
      <c r="E340" t="s">
        <v>662</v>
      </c>
      <c r="F340" t="s">
        <v>629</v>
      </c>
      <c r="G340" t="s">
        <v>673</v>
      </c>
      <c r="H340" t="s">
        <v>703</v>
      </c>
      <c r="I340" t="s">
        <v>877</v>
      </c>
      <c r="J340" t="s">
        <v>1321</v>
      </c>
      <c r="K340">
        <v>43780</v>
      </c>
      <c r="L340">
        <v>0.020023896831609</v>
      </c>
      <c r="M340">
        <v>-0.09297403489122524</v>
      </c>
      <c r="N340">
        <v>0.07000000000000001</v>
      </c>
      <c r="O340">
        <v>-0.001574853668731557</v>
      </c>
      <c r="P340" t="s">
        <v>494</v>
      </c>
      <c r="Q340" t="s">
        <v>405</v>
      </c>
      <c r="R340">
        <v>25</v>
      </c>
      <c r="S340">
        <v>0.5890909090909091</v>
      </c>
      <c r="T340">
        <v>149</v>
      </c>
      <c r="U340">
        <v>1.628926174496644</v>
      </c>
      <c r="V340">
        <v>6.704</v>
      </c>
      <c r="W340">
        <v>8.25</v>
      </c>
      <c r="X340">
        <v>4.86</v>
      </c>
      <c r="Y340">
        <v>0.394004</v>
      </c>
      <c r="Z340">
        <v>0.3036020583190394</v>
      </c>
      <c r="AA340">
        <v>0.7491909385113269</v>
      </c>
      <c r="AB340">
        <v>0.7245557350565428</v>
      </c>
      <c r="AC340">
        <v>0.07915993537964459</v>
      </c>
      <c r="AD340">
        <v>0.1050080775444265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108.09</v>
      </c>
      <c r="D341">
        <v>312109.875</v>
      </c>
      <c r="E341" t="s">
        <v>659</v>
      </c>
      <c r="F341" t="s">
        <v>629</v>
      </c>
      <c r="G341" t="s">
        <v>678</v>
      </c>
      <c r="H341" t="s">
        <v>705</v>
      </c>
      <c r="I341" t="s">
        <v>1044</v>
      </c>
      <c r="J341" t="s">
        <v>1322</v>
      </c>
      <c r="K341">
        <v>43756</v>
      </c>
      <c r="L341">
        <v>0.022421130539365</v>
      </c>
      <c r="M341">
        <v>-0.08322554284191896</v>
      </c>
      <c r="N341">
        <v>0.06</v>
      </c>
      <c r="O341">
        <v>-0.001835566916489451</v>
      </c>
      <c r="P341" t="s">
        <v>494</v>
      </c>
      <c r="Q341" t="s">
        <v>405</v>
      </c>
      <c r="R341">
        <v>24</v>
      </c>
      <c r="S341">
        <v>0.6214102564102565</v>
      </c>
      <c r="T341">
        <v>70</v>
      </c>
      <c r="U341">
        <v>1.544142857142857</v>
      </c>
      <c r="V341">
        <v>3.1414</v>
      </c>
      <c r="W341">
        <v>3.9</v>
      </c>
      <c r="X341">
        <v>2.4235</v>
      </c>
      <c r="Y341">
        <v>0.2696</v>
      </c>
      <c r="Z341">
        <v>0.3499142367066895</v>
      </c>
      <c r="AA341">
        <v>0.587378640776699</v>
      </c>
      <c r="AB341">
        <v>0.6130856219709209</v>
      </c>
      <c r="AC341">
        <v>0.1050080775444265</v>
      </c>
      <c r="AD341">
        <v>0.1033925686591276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202.52</v>
      </c>
      <c r="D342">
        <v>72575.87728</v>
      </c>
      <c r="E342" t="s">
        <v>667</v>
      </c>
      <c r="F342" t="s">
        <v>629</v>
      </c>
      <c r="G342" t="s">
        <v>673</v>
      </c>
      <c r="H342" t="s">
        <v>704</v>
      </c>
      <c r="I342" t="s">
        <v>1045</v>
      </c>
      <c r="J342" t="s">
        <v>1309</v>
      </c>
      <c r="K342">
        <v>43754</v>
      </c>
      <c r="L342">
        <v>0.014566462571597</v>
      </c>
      <c r="M342">
        <v>-0.07384807543560568</v>
      </c>
      <c r="N342">
        <v>0.05</v>
      </c>
      <c r="O342">
        <v>-0.007452027335436706</v>
      </c>
      <c r="P342" t="s">
        <v>494</v>
      </c>
      <c r="Q342" t="s">
        <v>382</v>
      </c>
      <c r="R342">
        <v>9</v>
      </c>
      <c r="S342">
        <v>0.4363905325443788</v>
      </c>
      <c r="T342">
        <v>138</v>
      </c>
      <c r="U342">
        <v>1.467536231884058</v>
      </c>
      <c r="V342">
        <v>5.71</v>
      </c>
      <c r="W342">
        <v>6.76</v>
      </c>
      <c r="X342">
        <v>2.95</v>
      </c>
      <c r="Y342">
        <v>0.108787</v>
      </c>
      <c r="Z342">
        <v>0.1578044596912521</v>
      </c>
      <c r="AA342">
        <v>0.2912621359223301</v>
      </c>
      <c r="AB342">
        <v>0.4588045234248789</v>
      </c>
      <c r="AC342">
        <v>0.1421647819063005</v>
      </c>
      <c r="AD342">
        <v>0.08239095315024234</v>
      </c>
    </row>
    <row r="343" spans="1:30">
      <c r="A343" s="1" t="s">
        <v>350</v>
      </c>
      <c r="B343">
        <f>HYPERLINK("https://www.suredividend.com/sure-analysis-WTR","Aqua America, Inc.")</f>
        <v>0</v>
      </c>
      <c r="C343">
        <v>46.55</v>
      </c>
      <c r="D343">
        <v>10047.39855</v>
      </c>
      <c r="E343" t="s">
        <v>659</v>
      </c>
      <c r="F343" t="s">
        <v>629</v>
      </c>
      <c r="G343" t="s">
        <v>673</v>
      </c>
      <c r="H343" t="s">
        <v>703</v>
      </c>
      <c r="I343" t="s">
        <v>1046</v>
      </c>
      <c r="J343" t="s">
        <v>1321</v>
      </c>
      <c r="K343">
        <v>43774</v>
      </c>
      <c r="L343">
        <v>0.019147153598281</v>
      </c>
      <c r="M343">
        <v>-0.1032140081931772</v>
      </c>
      <c r="N343">
        <v>0.07000000000000001</v>
      </c>
      <c r="O343">
        <v>-0.01456713830836531</v>
      </c>
      <c r="P343" t="s">
        <v>494</v>
      </c>
      <c r="Q343" t="s">
        <v>405</v>
      </c>
      <c r="R343">
        <v>26</v>
      </c>
      <c r="S343">
        <v>0.5981879194630874</v>
      </c>
      <c r="T343">
        <v>27</v>
      </c>
      <c r="U343">
        <v>1.724074074074074</v>
      </c>
      <c r="V343">
        <v>0.7064</v>
      </c>
      <c r="W343">
        <v>1.49</v>
      </c>
      <c r="X343">
        <v>0.8913000000000001</v>
      </c>
      <c r="Y343">
        <v>0.374373</v>
      </c>
      <c r="Z343">
        <v>0.2847341337907376</v>
      </c>
      <c r="AA343">
        <v>0.715210355987055</v>
      </c>
      <c r="AB343">
        <v>0.7245557350565428</v>
      </c>
      <c r="AC343">
        <v>0.06462035541195477</v>
      </c>
      <c r="AD343">
        <v>0.06623586429725363</v>
      </c>
    </row>
    <row r="344" spans="1:30">
      <c r="A344" s="1" t="s">
        <v>351</v>
      </c>
      <c r="B344">
        <f>HYPERLINK("https://www.suredividend.com/sure-analysis-LLY","Eli Lilly &amp; Co.")</f>
        <v>0</v>
      </c>
      <c r="C344">
        <v>132.43</v>
      </c>
      <c r="D344">
        <v>127150.14833</v>
      </c>
      <c r="E344" t="s">
        <v>660</v>
      </c>
      <c r="F344" t="s">
        <v>629</v>
      </c>
      <c r="G344" t="s">
        <v>673</v>
      </c>
      <c r="H344" t="s">
        <v>703</v>
      </c>
      <c r="I344" t="s">
        <v>1047</v>
      </c>
      <c r="J344" t="s">
        <v>1315</v>
      </c>
      <c r="K344">
        <v>43685</v>
      </c>
      <c r="L344">
        <v>0.018859019859548</v>
      </c>
      <c r="M344">
        <v>-0.0764068026025565</v>
      </c>
      <c r="N344">
        <v>0.04</v>
      </c>
      <c r="O344">
        <v>-0.01495691862975301</v>
      </c>
      <c r="P344" t="s">
        <v>494</v>
      </c>
      <c r="Q344" t="s">
        <v>382</v>
      </c>
      <c r="R344">
        <v>3</v>
      </c>
      <c r="S344">
        <v>0.4366258741258742</v>
      </c>
      <c r="T344">
        <v>89</v>
      </c>
      <c r="U344">
        <v>1.487977528089888</v>
      </c>
      <c r="V344">
        <v>4.449</v>
      </c>
      <c r="W344">
        <v>5.72</v>
      </c>
      <c r="X344">
        <v>2.4975</v>
      </c>
      <c r="Y344">
        <v>0.210291</v>
      </c>
      <c r="Z344">
        <v>0.274442538593482</v>
      </c>
      <c r="AA344">
        <v>0.4789644012944984</v>
      </c>
      <c r="AB344">
        <v>0.3182552504038772</v>
      </c>
      <c r="AC344">
        <v>0.1340872374798061</v>
      </c>
      <c r="AD344">
        <v>0.06462035541195477</v>
      </c>
    </row>
    <row r="345" spans="1:30">
      <c r="A345" s="1" t="s">
        <v>352</v>
      </c>
      <c r="B345">
        <f>HYPERLINK("https://www.suredividend.com/sure-analysis-NEM","Newmont Goldcorp Corp.")</f>
        <v>0</v>
      </c>
      <c r="C345">
        <v>40.93</v>
      </c>
      <c r="D345">
        <v>33556.01027</v>
      </c>
      <c r="E345" t="s">
        <v>663</v>
      </c>
      <c r="F345" t="s">
        <v>629</v>
      </c>
      <c r="G345" t="s">
        <v>673</v>
      </c>
      <c r="H345" t="s">
        <v>703</v>
      </c>
      <c r="I345" t="s">
        <v>1048</v>
      </c>
      <c r="J345" t="s">
        <v>1323</v>
      </c>
      <c r="K345">
        <v>43791</v>
      </c>
      <c r="L345">
        <v>0.013681895919863</v>
      </c>
      <c r="M345">
        <v>-0.07983776758175254</v>
      </c>
      <c r="N345">
        <v>0.05</v>
      </c>
      <c r="O345">
        <v>-0.01647789089060381</v>
      </c>
      <c r="P345" t="s">
        <v>494</v>
      </c>
      <c r="Q345" t="s">
        <v>382</v>
      </c>
      <c r="R345">
        <v>2</v>
      </c>
      <c r="S345">
        <v>0.4307692307692308</v>
      </c>
      <c r="T345">
        <v>27</v>
      </c>
      <c r="U345">
        <v>1.515925925925926</v>
      </c>
      <c r="V345">
        <v>2.7901</v>
      </c>
      <c r="W345">
        <v>1.3</v>
      </c>
      <c r="X345">
        <v>0.5600000000000001</v>
      </c>
      <c r="Y345">
        <v>0.220698</v>
      </c>
      <c r="Z345">
        <v>0.1406518010291595</v>
      </c>
      <c r="AA345">
        <v>0.5</v>
      </c>
      <c r="AB345">
        <v>0.4588045234248789</v>
      </c>
      <c r="AC345">
        <v>0.1179321486268175</v>
      </c>
      <c r="AD345">
        <v>0.0630048465266559</v>
      </c>
    </row>
    <row r="346" spans="1:30">
      <c r="A346" s="1" t="s">
        <v>353</v>
      </c>
      <c r="B346">
        <f>HYPERLINK("https://www.suredividend.com/sure-analysis-WU","The Western Union Co.")</f>
        <v>0</v>
      </c>
      <c r="C346">
        <v>27.43</v>
      </c>
      <c r="D346">
        <v>11500.19208</v>
      </c>
      <c r="E346" t="s">
        <v>657</v>
      </c>
      <c r="F346" t="s">
        <v>629</v>
      </c>
      <c r="G346" t="s">
        <v>673</v>
      </c>
      <c r="H346" t="s">
        <v>703</v>
      </c>
      <c r="I346" t="s">
        <v>1049</v>
      </c>
      <c r="J346" t="s">
        <v>1309</v>
      </c>
      <c r="K346">
        <v>43808</v>
      </c>
      <c r="L346">
        <v>0.028800583302952</v>
      </c>
      <c r="M346">
        <v>-0.07080779323344233</v>
      </c>
      <c r="N346">
        <v>0.01</v>
      </c>
      <c r="O346">
        <v>-0.02148043289675539</v>
      </c>
      <c r="P346" t="s">
        <v>494</v>
      </c>
      <c r="Q346" t="s">
        <v>405</v>
      </c>
      <c r="R346">
        <v>3</v>
      </c>
      <c r="S346">
        <v>0.4488636363636364</v>
      </c>
      <c r="T346">
        <v>19</v>
      </c>
      <c r="U346">
        <v>1.443684210526316</v>
      </c>
      <c r="V346">
        <v>2.6231</v>
      </c>
      <c r="W346">
        <v>1.76</v>
      </c>
      <c r="X346">
        <v>0.79</v>
      </c>
      <c r="Y346">
        <v>0.6298279999999999</v>
      </c>
      <c r="Z346">
        <v>0.483704974271012</v>
      </c>
      <c r="AA346">
        <v>0.9368932038834952</v>
      </c>
      <c r="AB346">
        <v>0.05411954765751212</v>
      </c>
      <c r="AC346">
        <v>0.1567043618739903</v>
      </c>
      <c r="AD346">
        <v>0.05331179321486269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120.17</v>
      </c>
      <c r="D347">
        <v>23926.08734</v>
      </c>
      <c r="E347" t="s">
        <v>663</v>
      </c>
      <c r="F347" t="s">
        <v>629</v>
      </c>
      <c r="G347" t="s">
        <v>673</v>
      </c>
      <c r="H347" t="s">
        <v>703</v>
      </c>
      <c r="I347" t="s">
        <v>1050</v>
      </c>
      <c r="J347" t="s">
        <v>1321</v>
      </c>
      <c r="K347">
        <v>43770</v>
      </c>
      <c r="L347">
        <v>0.030290421902305</v>
      </c>
      <c r="M347">
        <v>-0.08997559275027633</v>
      </c>
      <c r="N347">
        <v>0.029</v>
      </c>
      <c r="O347">
        <v>-0.02516680252695713</v>
      </c>
      <c r="P347" t="s">
        <v>494</v>
      </c>
      <c r="Q347" t="s">
        <v>494</v>
      </c>
      <c r="R347">
        <v>26</v>
      </c>
      <c r="S347">
        <v>0.680373831775701</v>
      </c>
      <c r="T347">
        <v>75</v>
      </c>
      <c r="U347">
        <v>1.602266666666667</v>
      </c>
      <c r="V347">
        <v>4.0436</v>
      </c>
      <c r="W347">
        <v>5.35</v>
      </c>
      <c r="X347">
        <v>3.64</v>
      </c>
      <c r="Y347">
        <v>0.385085</v>
      </c>
      <c r="Z347">
        <v>0.5145797598627787</v>
      </c>
      <c r="AA347">
        <v>0.7378640776699029</v>
      </c>
      <c r="AB347">
        <v>0.1663974151857835</v>
      </c>
      <c r="AC347">
        <v>0.09046849757673668</v>
      </c>
      <c r="AD347">
        <v>0.04846526655896607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17.45</v>
      </c>
      <c r="D348">
        <v>31022.261</v>
      </c>
      <c r="E348" t="s">
        <v>661</v>
      </c>
      <c r="F348" t="s">
        <v>629</v>
      </c>
      <c r="G348" t="s">
        <v>675</v>
      </c>
      <c r="H348" t="s">
        <v>703</v>
      </c>
      <c r="I348" t="s">
        <v>1051</v>
      </c>
      <c r="J348" t="s">
        <v>1323</v>
      </c>
      <c r="K348">
        <v>43784</v>
      </c>
      <c r="L348">
        <v>0.011639420268557</v>
      </c>
      <c r="M348">
        <v>-0.1576603233889545</v>
      </c>
      <c r="N348">
        <v>0.08</v>
      </c>
      <c r="O348">
        <v>-0.07129595000491062</v>
      </c>
      <c r="P348" t="s">
        <v>494</v>
      </c>
      <c r="Q348" t="s">
        <v>382</v>
      </c>
      <c r="R348">
        <v>3</v>
      </c>
      <c r="S348">
        <v>0.4513508526362666</v>
      </c>
      <c r="T348">
        <v>7.4</v>
      </c>
      <c r="U348">
        <v>2.358108108108108</v>
      </c>
      <c r="V348">
        <v>0.4462</v>
      </c>
      <c r="W348">
        <v>0.45</v>
      </c>
      <c r="X348">
        <v>0.20310788368632</v>
      </c>
      <c r="Y348">
        <v>0.33003</v>
      </c>
      <c r="Z348">
        <v>0.09605488850771871</v>
      </c>
      <c r="AA348">
        <v>0.6650485436893204</v>
      </c>
      <c r="AB348">
        <v>0.8182552504038771</v>
      </c>
      <c r="AC348">
        <v>0.01938610662358643</v>
      </c>
      <c r="AD348">
        <v>0.01453957996768982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6.93</v>
      </c>
      <c r="D349">
        <v>3488.7006</v>
      </c>
      <c r="E349" t="s">
        <v>669</v>
      </c>
      <c r="F349" t="s">
        <v>629</v>
      </c>
      <c r="G349" t="s">
        <v>673</v>
      </c>
      <c r="H349" t="s">
        <v>703</v>
      </c>
      <c r="I349" t="s">
        <v>1052</v>
      </c>
      <c r="J349" t="s">
        <v>1325</v>
      </c>
      <c r="K349">
        <v>43817</v>
      </c>
      <c r="L349">
        <v>0.132467532467532</v>
      </c>
      <c r="M349">
        <v>0.1908991099696946</v>
      </c>
      <c r="N349">
        <v>0.05</v>
      </c>
      <c r="O349">
        <v>0.3249365592958799</v>
      </c>
      <c r="P349" t="s">
        <v>405</v>
      </c>
      <c r="Q349" t="s">
        <v>634</v>
      </c>
      <c r="R349">
        <v>3</v>
      </c>
      <c r="S349">
        <v>0.7061538461538461</v>
      </c>
      <c r="T349">
        <v>16.6</v>
      </c>
      <c r="U349">
        <v>0.4174698795180722</v>
      </c>
      <c r="V349">
        <v>-0.3027</v>
      </c>
      <c r="W349">
        <v>1.3</v>
      </c>
      <c r="X349">
        <v>0.918</v>
      </c>
      <c r="Y349">
        <v>-0.378475</v>
      </c>
      <c r="Z349">
        <v>0.9845626072041166</v>
      </c>
      <c r="AA349">
        <v>0.01941747572815534</v>
      </c>
      <c r="AB349">
        <v>0.4588045234248789</v>
      </c>
      <c r="AC349">
        <v>0.9983844911147011</v>
      </c>
      <c r="AD349">
        <v>0.9983844911147011</v>
      </c>
    </row>
    <row r="350" spans="1:30">
      <c r="A350" s="1" t="s">
        <v>357</v>
      </c>
      <c r="B350">
        <f>HYPERLINK("https://www.suredividend.com/sure-analysis-SAXPY","Sampo Oyj")</f>
        <v>0</v>
      </c>
      <c r="C350">
        <v>21.64</v>
      </c>
      <c r="D350">
        <v>23983.69856</v>
      </c>
      <c r="E350" t="s">
        <v>660</v>
      </c>
      <c r="F350" t="s">
        <v>629</v>
      </c>
      <c r="G350" t="s">
        <v>694</v>
      </c>
      <c r="H350" t="s">
        <v>705</v>
      </c>
      <c r="I350" t="s">
        <v>1053</v>
      </c>
      <c r="J350" t="s">
        <v>1309</v>
      </c>
      <c r="K350">
        <v>43717</v>
      </c>
      <c r="L350">
        <v>0.06068521256931601</v>
      </c>
      <c r="M350">
        <v>0.1307342494986725</v>
      </c>
      <c r="N350">
        <v>0.046</v>
      </c>
      <c r="O350">
        <v>0.2199008297566398</v>
      </c>
      <c r="P350" t="s">
        <v>405</v>
      </c>
      <c r="Q350" t="s">
        <v>634</v>
      </c>
      <c r="R350">
        <v>10</v>
      </c>
      <c r="S350">
        <v>0.656614</v>
      </c>
      <c r="T350">
        <v>40</v>
      </c>
      <c r="U350">
        <v>0.541</v>
      </c>
      <c r="V350">
        <v>1.1577</v>
      </c>
      <c r="W350">
        <v>2</v>
      </c>
      <c r="X350">
        <v>1.313228</v>
      </c>
      <c r="Y350">
        <v>-0.0105</v>
      </c>
      <c r="Z350">
        <v>0.8404802744425386</v>
      </c>
      <c r="AA350">
        <v>0.156957928802589</v>
      </c>
      <c r="AB350">
        <v>0.3893376413570275</v>
      </c>
      <c r="AC350">
        <v>0.9951534733441033</v>
      </c>
      <c r="AD350">
        <v>0.9951534733441033</v>
      </c>
    </row>
    <row r="351" spans="1:30">
      <c r="A351" s="1" t="s">
        <v>358</v>
      </c>
      <c r="B351">
        <f>HYPERLINK("https://www.suredividend.com/sure-analysis-LB","L Brands, Inc.")</f>
        <v>0</v>
      </c>
      <c r="C351">
        <v>18.48</v>
      </c>
      <c r="D351">
        <v>5109.258</v>
      </c>
      <c r="E351" t="s">
        <v>658</v>
      </c>
      <c r="F351" t="s">
        <v>629</v>
      </c>
      <c r="G351" t="s">
        <v>673</v>
      </c>
      <c r="H351" t="s">
        <v>703</v>
      </c>
      <c r="I351" t="s">
        <v>1054</v>
      </c>
      <c r="J351" t="s">
        <v>1310</v>
      </c>
      <c r="K351">
        <v>43790</v>
      </c>
      <c r="L351">
        <v>0.081168831168831</v>
      </c>
      <c r="M351">
        <v>0.07877869140193616</v>
      </c>
      <c r="N351">
        <v>0.03</v>
      </c>
      <c r="O351">
        <v>0.150806495346792</v>
      </c>
      <c r="P351" t="s">
        <v>405</v>
      </c>
      <c r="Q351" t="s">
        <v>634</v>
      </c>
      <c r="R351">
        <v>0</v>
      </c>
      <c r="S351">
        <v>0.6122448979591836</v>
      </c>
      <c r="T351">
        <v>27</v>
      </c>
      <c r="U351">
        <v>0.6844444444444444</v>
      </c>
      <c r="V351">
        <v>1.3386</v>
      </c>
      <c r="W351">
        <v>2.45</v>
      </c>
      <c r="X351">
        <v>1.5</v>
      </c>
      <c r="Y351">
        <v>-0.258129</v>
      </c>
      <c r="Z351">
        <v>0.9159519725557462</v>
      </c>
      <c r="AA351">
        <v>0.04207119741100324</v>
      </c>
      <c r="AB351">
        <v>0.2003231017770598</v>
      </c>
      <c r="AC351">
        <v>0.9903069466882067</v>
      </c>
      <c r="AD351">
        <v>0.9709208400646203</v>
      </c>
    </row>
    <row r="352" spans="1:30">
      <c r="A352" s="1" t="s">
        <v>359</v>
      </c>
      <c r="B352">
        <f>HYPERLINK("https://www.suredividend.com/sure-analysis-MMP","Magellan Midstream Partners LP")</f>
        <v>0</v>
      </c>
      <c r="C352">
        <v>62.51</v>
      </c>
      <c r="D352">
        <v>14277.47153</v>
      </c>
      <c r="E352" t="s">
        <v>659</v>
      </c>
      <c r="F352" t="s">
        <v>631</v>
      </c>
      <c r="G352" t="s">
        <v>673</v>
      </c>
      <c r="H352" t="s">
        <v>703</v>
      </c>
      <c r="I352" t="s">
        <v>1055</v>
      </c>
      <c r="J352" t="s">
        <v>1325</v>
      </c>
      <c r="K352">
        <v>43770</v>
      </c>
      <c r="L352">
        <v>0.063869780835066</v>
      </c>
      <c r="M352">
        <v>0.04793783008859664</v>
      </c>
      <c r="N352">
        <v>0.05</v>
      </c>
      <c r="O352">
        <v>0.1464525234217164</v>
      </c>
      <c r="P352" t="s">
        <v>405</v>
      </c>
      <c r="Q352" t="s">
        <v>634</v>
      </c>
      <c r="R352">
        <v>19</v>
      </c>
      <c r="S352">
        <v>0.7259090909090909</v>
      </c>
      <c r="T352">
        <v>79</v>
      </c>
      <c r="U352">
        <v>0.7912658227848101</v>
      </c>
      <c r="V352">
        <v>4.5919</v>
      </c>
      <c r="W352">
        <v>5.5</v>
      </c>
      <c r="X352">
        <v>3.9925</v>
      </c>
      <c r="Y352">
        <v>0.115652</v>
      </c>
      <c r="Z352">
        <v>0.8644939965694682</v>
      </c>
      <c r="AA352">
        <v>0.3009708737864077</v>
      </c>
      <c r="AB352">
        <v>0.4588045234248789</v>
      </c>
      <c r="AC352">
        <v>0.9644588045234249</v>
      </c>
      <c r="AD352">
        <v>0.9660743134087239</v>
      </c>
    </row>
    <row r="353" spans="1:30">
      <c r="A353" s="1" t="s">
        <v>360</v>
      </c>
      <c r="B353">
        <f>HYPERLINK("https://www.suredividend.com/sure-analysis-MPLX","MPLX LP")</f>
        <v>0</v>
      </c>
      <c r="C353">
        <v>25.84</v>
      </c>
      <c r="D353">
        <v>27348.0224</v>
      </c>
      <c r="E353" t="s">
        <v>658</v>
      </c>
      <c r="F353" t="s">
        <v>631</v>
      </c>
      <c r="G353" t="s">
        <v>673</v>
      </c>
      <c r="H353" t="s">
        <v>703</v>
      </c>
      <c r="I353" t="s">
        <v>1056</v>
      </c>
      <c r="J353" t="s">
        <v>1325</v>
      </c>
      <c r="K353">
        <v>43769</v>
      </c>
      <c r="L353">
        <v>0.101006191950464</v>
      </c>
      <c r="M353">
        <v>0.03708376795699797</v>
      </c>
      <c r="N353">
        <v>0.03</v>
      </c>
      <c r="O353">
        <v>0.1415282548914254</v>
      </c>
      <c r="P353" t="s">
        <v>405</v>
      </c>
      <c r="Q353" t="s">
        <v>634</v>
      </c>
      <c r="R353">
        <v>7</v>
      </c>
      <c r="S353">
        <v>0.6692307692307692</v>
      </c>
      <c r="T353">
        <v>31</v>
      </c>
      <c r="U353">
        <v>0.8335483870967741</v>
      </c>
      <c r="V353">
        <v>2.2989</v>
      </c>
      <c r="W353">
        <v>3.9</v>
      </c>
      <c r="X353">
        <v>2.61</v>
      </c>
      <c r="Y353">
        <v>-0.146631</v>
      </c>
      <c r="Z353">
        <v>0.9536878216123499</v>
      </c>
      <c r="AA353">
        <v>0.06796116504854369</v>
      </c>
      <c r="AB353">
        <v>0.2003231017770598</v>
      </c>
      <c r="AC353">
        <v>0.9289176090468497</v>
      </c>
      <c r="AD353">
        <v>0.9628432956381261</v>
      </c>
    </row>
    <row r="354" spans="1:30">
      <c r="A354" s="1" t="s">
        <v>361</v>
      </c>
      <c r="B354">
        <f>HYPERLINK("https://www.suredividend.com/sure-analysis-TS","Tenaris SA")</f>
        <v>0</v>
      </c>
      <c r="C354">
        <v>22.35</v>
      </c>
      <c r="D354">
        <v>13192.5345</v>
      </c>
      <c r="E354" t="s">
        <v>661</v>
      </c>
      <c r="F354" t="s">
        <v>629</v>
      </c>
      <c r="G354" t="s">
        <v>695</v>
      </c>
      <c r="H354" t="s">
        <v>703</v>
      </c>
      <c r="I354" t="s">
        <v>1057</v>
      </c>
      <c r="J354" t="s">
        <v>1323</v>
      </c>
      <c r="K354">
        <v>43781</v>
      </c>
      <c r="L354">
        <v>0.036689038031319</v>
      </c>
      <c r="M354">
        <v>0.03071634737359319</v>
      </c>
      <c r="N354">
        <v>0.08</v>
      </c>
      <c r="O354">
        <v>0.1389130333671103</v>
      </c>
      <c r="P354" t="s">
        <v>405</v>
      </c>
      <c r="Q354" t="s">
        <v>405</v>
      </c>
      <c r="R354">
        <v>0</v>
      </c>
      <c r="S354">
        <v>0.5466666666666667</v>
      </c>
      <c r="T354">
        <v>26</v>
      </c>
      <c r="U354">
        <v>0.8596153846153847</v>
      </c>
      <c r="V354">
        <v>1.381</v>
      </c>
      <c r="W354">
        <v>1.5</v>
      </c>
      <c r="X354">
        <v>0.8200000000000001</v>
      </c>
      <c r="Y354">
        <v>-0.0291</v>
      </c>
      <c r="Z354">
        <v>0.6072041166380788</v>
      </c>
      <c r="AA354">
        <v>0.1375404530744337</v>
      </c>
      <c r="AB354">
        <v>0.8182552504038771</v>
      </c>
      <c r="AC354">
        <v>0.9208400646203555</v>
      </c>
      <c r="AD354">
        <v>0.9596122778675283</v>
      </c>
    </row>
    <row r="355" spans="1:30">
      <c r="A355" s="1" t="s">
        <v>362</v>
      </c>
      <c r="B355">
        <f>HYPERLINK("https://www.suredividend.com/sure-analysis-IMBBY","Imperial Brands Plc")</f>
        <v>0</v>
      </c>
      <c r="C355">
        <v>24</v>
      </c>
      <c r="D355">
        <v>22716.552</v>
      </c>
      <c r="E355" t="s">
        <v>660</v>
      </c>
      <c r="F355" t="s">
        <v>629</v>
      </c>
      <c r="G355" t="s">
        <v>677</v>
      </c>
      <c r="H355" t="s">
        <v>705</v>
      </c>
      <c r="I355" t="s">
        <v>1058</v>
      </c>
      <c r="J355" t="s">
        <v>1322</v>
      </c>
      <c r="K355">
        <v>43774</v>
      </c>
      <c r="L355">
        <v>0.102898833333333</v>
      </c>
      <c r="M355">
        <v>0.03857377308425858</v>
      </c>
      <c r="N355">
        <v>0.03</v>
      </c>
      <c r="O355">
        <v>0.1383125077650884</v>
      </c>
      <c r="P355" t="s">
        <v>405</v>
      </c>
      <c r="Q355" t="s">
        <v>634</v>
      </c>
      <c r="R355">
        <v>3</v>
      </c>
      <c r="S355">
        <v>0.6879030640668523</v>
      </c>
      <c r="T355">
        <v>29</v>
      </c>
      <c r="U355">
        <v>0.8275862068965517</v>
      </c>
      <c r="V355">
        <v>1.359</v>
      </c>
      <c r="W355">
        <v>3.59</v>
      </c>
      <c r="X355">
        <v>2.469572</v>
      </c>
      <c r="Y355">
        <v>-0.2095</v>
      </c>
      <c r="Z355">
        <v>0.9554030874785592</v>
      </c>
      <c r="AA355">
        <v>0.04692556634304207</v>
      </c>
      <c r="AB355">
        <v>0.2003231017770598</v>
      </c>
      <c r="AC355">
        <v>0.9337641357027464</v>
      </c>
      <c r="AD355">
        <v>0.9579967689822294</v>
      </c>
    </row>
    <row r="356" spans="1:30">
      <c r="A356" s="1" t="s">
        <v>363</v>
      </c>
      <c r="B356">
        <f>HYPERLINK("https://www.suredividend.com/sure-analysis-SPH","Suburban Propane Partners LP")</f>
        <v>0</v>
      </c>
      <c r="C356">
        <v>21.93</v>
      </c>
      <c r="D356">
        <v>1361.1951</v>
      </c>
      <c r="E356" t="s">
        <v>667</v>
      </c>
      <c r="F356" t="s">
        <v>631</v>
      </c>
      <c r="G356" t="s">
        <v>673</v>
      </c>
      <c r="H356" t="s">
        <v>703</v>
      </c>
      <c r="I356" t="s">
        <v>1059</v>
      </c>
      <c r="J356" t="s">
        <v>1321</v>
      </c>
      <c r="K356">
        <v>43800</v>
      </c>
      <c r="L356">
        <v>0.109439124487004</v>
      </c>
      <c r="M356">
        <v>0.0424735062667676</v>
      </c>
      <c r="N356">
        <v>0.015</v>
      </c>
      <c r="O356">
        <v>0.1337895724667191</v>
      </c>
      <c r="P356" t="s">
        <v>405</v>
      </c>
      <c r="Q356" t="s">
        <v>634</v>
      </c>
      <c r="R356">
        <v>0</v>
      </c>
      <c r="S356">
        <v>0.6153846153846154</v>
      </c>
      <c r="T356">
        <v>27</v>
      </c>
      <c r="U356">
        <v>0.8122222222222222</v>
      </c>
      <c r="V356">
        <v>1.1178</v>
      </c>
      <c r="W356">
        <v>3.9</v>
      </c>
      <c r="X356">
        <v>2.4</v>
      </c>
      <c r="Y356">
        <v>0.116031</v>
      </c>
      <c r="Z356">
        <v>0.9656946826758147</v>
      </c>
      <c r="AA356">
        <v>0.3025889967637541</v>
      </c>
      <c r="AB356">
        <v>0.07592891760904685</v>
      </c>
      <c r="AC356">
        <v>0.9491114701130856</v>
      </c>
      <c r="AD356">
        <v>0.9531502423263327</v>
      </c>
    </row>
    <row r="357" spans="1:30">
      <c r="A357" s="1" t="s">
        <v>364</v>
      </c>
      <c r="B357">
        <f>HYPERLINK("https://www.suredividend.com/sure-analysis-SPG","Simon Property Group, Inc.")</f>
        <v>0</v>
      </c>
      <c r="C357">
        <v>145.49</v>
      </c>
      <c r="D357">
        <v>96095.17661900001</v>
      </c>
      <c r="E357" t="s">
        <v>667</v>
      </c>
      <c r="F357" t="s">
        <v>630</v>
      </c>
      <c r="G357" t="s">
        <v>673</v>
      </c>
      <c r="H357" t="s">
        <v>703</v>
      </c>
      <c r="I357" t="s">
        <v>1060</v>
      </c>
      <c r="J357" t="s">
        <v>1309</v>
      </c>
      <c r="K357">
        <v>43699</v>
      </c>
      <c r="L357">
        <v>0.05636126194240101</v>
      </c>
      <c r="M357">
        <v>0.05594195240934186</v>
      </c>
      <c r="N357">
        <v>0.03</v>
      </c>
      <c r="O357">
        <v>0.1308739891056032</v>
      </c>
      <c r="P357" t="s">
        <v>405</v>
      </c>
      <c r="Q357" t="s">
        <v>634</v>
      </c>
      <c r="R357">
        <v>10</v>
      </c>
      <c r="S357">
        <v>0.6639676113360323</v>
      </c>
      <c r="T357">
        <v>191</v>
      </c>
      <c r="U357">
        <v>0.7617277486910995</v>
      </c>
      <c r="V357">
        <v>6.9486</v>
      </c>
      <c r="W357">
        <v>12.35</v>
      </c>
      <c r="X357">
        <v>8.199999999999999</v>
      </c>
      <c r="Y357">
        <v>-0.117601</v>
      </c>
      <c r="Z357">
        <v>0.8164665523156088</v>
      </c>
      <c r="AA357">
        <v>0.07605177993527508</v>
      </c>
      <c r="AB357">
        <v>0.2003231017770598</v>
      </c>
      <c r="AC357">
        <v>0.9757673667205169</v>
      </c>
      <c r="AD357">
        <v>0.949919224555735</v>
      </c>
    </row>
    <row r="358" spans="1:30">
      <c r="A358" s="1" t="s">
        <v>365</v>
      </c>
      <c r="B358">
        <f>HYPERLINK("https://www.suredividend.com/sure-analysis-TCO","Taubman Centers, Inc.")</f>
        <v>0</v>
      </c>
      <c r="C358">
        <v>30.35</v>
      </c>
      <c r="D358">
        <v>1858.027</v>
      </c>
      <c r="E358" t="s">
        <v>663</v>
      </c>
      <c r="F358" t="s">
        <v>630</v>
      </c>
      <c r="G358" t="s">
        <v>673</v>
      </c>
      <c r="H358" t="s">
        <v>703</v>
      </c>
      <c r="I358" t="s">
        <v>1061</v>
      </c>
      <c r="J358" t="s">
        <v>1309</v>
      </c>
      <c r="K358">
        <v>43773</v>
      </c>
      <c r="L358">
        <v>0.08830313014827</v>
      </c>
      <c r="M358">
        <v>0.04041979321085032</v>
      </c>
      <c r="N358">
        <v>0.02</v>
      </c>
      <c r="O358">
        <v>0.1305167210878637</v>
      </c>
      <c r="P358" t="s">
        <v>405</v>
      </c>
      <c r="Q358" t="s">
        <v>634</v>
      </c>
      <c r="R358">
        <v>10</v>
      </c>
      <c r="S358">
        <v>0.7262872628726288</v>
      </c>
      <c r="T358">
        <v>37</v>
      </c>
      <c r="U358">
        <v>0.8202702702702703</v>
      </c>
      <c r="V358">
        <v>-0.7168</v>
      </c>
      <c r="W358">
        <v>3.69</v>
      </c>
      <c r="X358">
        <v>2.68</v>
      </c>
      <c r="Y358">
        <v>-0.325406</v>
      </c>
      <c r="Z358">
        <v>0.9296740994854202</v>
      </c>
      <c r="AA358">
        <v>0.02588996763754045</v>
      </c>
      <c r="AB358">
        <v>0.1219709208400646</v>
      </c>
      <c r="AC358">
        <v>0.9450726978998385</v>
      </c>
      <c r="AD358">
        <v>0.9483037156704361</v>
      </c>
    </row>
    <row r="359" spans="1:30">
      <c r="A359" s="1" t="s">
        <v>366</v>
      </c>
      <c r="B359">
        <f>HYPERLINK("https://www.suredividend.com/sure-analysis-AAL","American Airlines Group, Inc.")</f>
        <v>0</v>
      </c>
      <c r="C359">
        <v>29.04</v>
      </c>
      <c r="D359">
        <v>12721.20432</v>
      </c>
      <c r="E359" t="s">
        <v>658</v>
      </c>
      <c r="F359" t="s">
        <v>629</v>
      </c>
      <c r="G359" t="s">
        <v>673</v>
      </c>
      <c r="H359" t="s">
        <v>704</v>
      </c>
      <c r="I359" t="s">
        <v>1062</v>
      </c>
      <c r="J359" t="s">
        <v>1313</v>
      </c>
      <c r="K359">
        <v>43762</v>
      </c>
      <c r="L359">
        <v>0.013774104683195</v>
      </c>
      <c r="M359">
        <v>0.06613616577145476</v>
      </c>
      <c r="N359">
        <v>0.05</v>
      </c>
      <c r="O359">
        <v>0.1280797992896601</v>
      </c>
      <c r="P359" t="s">
        <v>405</v>
      </c>
      <c r="Q359" t="s">
        <v>382</v>
      </c>
      <c r="R359">
        <v>0</v>
      </c>
      <c r="S359">
        <v>0.08</v>
      </c>
      <c r="T359">
        <v>40</v>
      </c>
      <c r="U359">
        <v>0.726</v>
      </c>
      <c r="V359">
        <v>3.5517</v>
      </c>
      <c r="W359">
        <v>5</v>
      </c>
      <c r="X359">
        <v>0.4</v>
      </c>
      <c r="Y359">
        <v>-0.05653</v>
      </c>
      <c r="Z359">
        <v>0.1423670668953688</v>
      </c>
      <c r="AA359">
        <v>0.1100323624595469</v>
      </c>
      <c r="AB359">
        <v>0.4588045234248789</v>
      </c>
      <c r="AC359">
        <v>0.9822294022617125</v>
      </c>
      <c r="AD359">
        <v>0.938610662358643</v>
      </c>
    </row>
    <row r="360" spans="1:30">
      <c r="A360" s="1" t="s">
        <v>367</v>
      </c>
      <c r="B360">
        <f>HYPERLINK("https://www.suredividend.com/sure-analysis-SNP","China Petroleum &amp; Chemical Corp.")</f>
        <v>0</v>
      </c>
      <c r="C360">
        <v>58.99</v>
      </c>
      <c r="D360">
        <v>15050.35466</v>
      </c>
      <c r="E360" t="s">
        <v>659</v>
      </c>
      <c r="F360" t="s">
        <v>629</v>
      </c>
      <c r="G360" t="s">
        <v>674</v>
      </c>
      <c r="H360" t="s">
        <v>703</v>
      </c>
      <c r="I360" t="s">
        <v>1063</v>
      </c>
      <c r="J360" t="s">
        <v>1312</v>
      </c>
      <c r="K360">
        <v>43790</v>
      </c>
      <c r="L360">
        <v>0.060238142057975</v>
      </c>
      <c r="M360">
        <v>0.04353950044864829</v>
      </c>
      <c r="N360">
        <v>0.019</v>
      </c>
      <c r="O360">
        <v>0.1250122829278215</v>
      </c>
      <c r="P360" t="s">
        <v>405</v>
      </c>
      <c r="Q360" t="s">
        <v>634</v>
      </c>
      <c r="R360">
        <v>0</v>
      </c>
      <c r="S360">
        <v>0.486773698630137</v>
      </c>
      <c r="T360">
        <v>73</v>
      </c>
      <c r="U360">
        <v>0.808082191780822</v>
      </c>
      <c r="V360">
        <v>6.7209</v>
      </c>
      <c r="W360">
        <v>7.3</v>
      </c>
      <c r="X360">
        <v>3.553448</v>
      </c>
      <c r="Y360">
        <v>-0.2977</v>
      </c>
      <c r="Z360">
        <v>0.83704974271012</v>
      </c>
      <c r="AA360">
        <v>0.03074433656957929</v>
      </c>
      <c r="AB360">
        <v>0.09854604200323103</v>
      </c>
      <c r="AC360">
        <v>0.9547657512116317</v>
      </c>
      <c r="AD360">
        <v>0.9273021001615508</v>
      </c>
    </row>
    <row r="361" spans="1:30">
      <c r="A361" s="1" t="s">
        <v>368</v>
      </c>
      <c r="B361">
        <f>HYPERLINK("https://www.suredividend.com/sure-analysis-PACW","PacWest Bancorp")</f>
        <v>0</v>
      </c>
      <c r="C361">
        <v>38.93</v>
      </c>
      <c r="D361">
        <v>4602.03209</v>
      </c>
      <c r="E361" t="s">
        <v>661</v>
      </c>
      <c r="F361" t="s">
        <v>629</v>
      </c>
      <c r="G361" t="s">
        <v>673</v>
      </c>
      <c r="H361" t="s">
        <v>704</v>
      </c>
      <c r="I361" t="s">
        <v>1064</v>
      </c>
      <c r="J361" t="s">
        <v>1309</v>
      </c>
      <c r="K361">
        <v>43758</v>
      </c>
      <c r="L361">
        <v>0.061649113793989</v>
      </c>
      <c r="M361">
        <v>0.01529670637941272</v>
      </c>
      <c r="N361">
        <v>0.05</v>
      </c>
      <c r="O361">
        <v>0.1199496715539181</v>
      </c>
      <c r="P361" t="s">
        <v>405</v>
      </c>
      <c r="Q361" t="s">
        <v>634</v>
      </c>
      <c r="R361">
        <v>6</v>
      </c>
      <c r="S361">
        <v>0.6349206349206349</v>
      </c>
      <c r="T361">
        <v>42</v>
      </c>
      <c r="U361">
        <v>0.9269047619047619</v>
      </c>
      <c r="V361">
        <v>3.846</v>
      </c>
      <c r="W361">
        <v>3.78</v>
      </c>
      <c r="X361">
        <v>2.4</v>
      </c>
      <c r="Y361">
        <v>0.219994</v>
      </c>
      <c r="Z361">
        <v>0.8439108061749572</v>
      </c>
      <c r="AA361">
        <v>0.4983818770226537</v>
      </c>
      <c r="AB361">
        <v>0.4588045234248789</v>
      </c>
      <c r="AC361">
        <v>0.8222940226171244</v>
      </c>
      <c r="AD361">
        <v>0.9159935379644588</v>
      </c>
    </row>
    <row r="362" spans="1:30">
      <c r="A362" s="1" t="s">
        <v>369</v>
      </c>
      <c r="B362">
        <f>HYPERLINK("https://www.suredividend.com/sure-analysis-BPY","Brookfield Property Partners LP")</f>
        <v>0</v>
      </c>
      <c r="C362">
        <v>18.22</v>
      </c>
      <c r="D362">
        <v>17214.695138</v>
      </c>
      <c r="E362" t="s">
        <v>662</v>
      </c>
      <c r="F362" t="s">
        <v>630</v>
      </c>
      <c r="G362" t="s">
        <v>684</v>
      </c>
      <c r="H362" t="s">
        <v>704</v>
      </c>
      <c r="I362" t="s">
        <v>1065</v>
      </c>
      <c r="J362" t="s">
        <v>1309</v>
      </c>
      <c r="K362">
        <v>43775</v>
      </c>
      <c r="L362">
        <v>0.071624588364434</v>
      </c>
      <c r="M362">
        <v>-0.002426677632898722</v>
      </c>
      <c r="N362">
        <v>0.06</v>
      </c>
      <c r="O362">
        <v>0.1197120498252169</v>
      </c>
      <c r="P362" t="s">
        <v>405</v>
      </c>
      <c r="Q362" t="s">
        <v>633</v>
      </c>
      <c r="R362">
        <v>13</v>
      </c>
      <c r="S362">
        <v>0.5931818181818181</v>
      </c>
      <c r="T362">
        <v>18</v>
      </c>
      <c r="U362">
        <v>1.012222222222222</v>
      </c>
      <c r="V362">
        <v>1.4932</v>
      </c>
      <c r="W362">
        <v>2.2</v>
      </c>
      <c r="X362">
        <v>1.305</v>
      </c>
      <c r="Y362">
        <v>0.194754</v>
      </c>
      <c r="Z362">
        <v>0.8919382504288165</v>
      </c>
      <c r="AA362">
        <v>0.448220064724919</v>
      </c>
      <c r="AB362">
        <v>0.6130856219709209</v>
      </c>
      <c r="AC362">
        <v>0.6882067851373183</v>
      </c>
      <c r="AD362">
        <v>0.9127625201938611</v>
      </c>
    </row>
    <row r="363" spans="1:30">
      <c r="A363" s="1" t="s">
        <v>370</v>
      </c>
      <c r="B363">
        <f>HYPERLINK("https://www.suredividend.com/sure-analysis-SVC","Service Properties Trust")</f>
        <v>0</v>
      </c>
      <c r="C363">
        <v>24.1</v>
      </c>
      <c r="D363">
        <v>3966.0165</v>
      </c>
      <c r="E363" t="s">
        <v>663</v>
      </c>
      <c r="F363" t="s">
        <v>630</v>
      </c>
      <c r="G363" t="s">
        <v>673</v>
      </c>
      <c r="H363" t="s">
        <v>704</v>
      </c>
      <c r="I363" t="s">
        <v>1066</v>
      </c>
      <c r="J363" t="s">
        <v>1309</v>
      </c>
      <c r="K363">
        <v>43735</v>
      </c>
      <c r="L363">
        <v>0.08921161825726101</v>
      </c>
      <c r="M363">
        <v>0.0304530232420388</v>
      </c>
      <c r="N363">
        <v>0.019</v>
      </c>
      <c r="O363">
        <v>0.1181701608245755</v>
      </c>
      <c r="P363" t="s">
        <v>405</v>
      </c>
      <c r="Q363" t="s">
        <v>633</v>
      </c>
      <c r="R363">
        <v>7</v>
      </c>
      <c r="S363">
        <v>0.5733333333333334</v>
      </c>
      <c r="T363">
        <v>28</v>
      </c>
      <c r="U363">
        <v>0.8607142857142858</v>
      </c>
      <c r="V363">
        <v>1.0091</v>
      </c>
      <c r="W363">
        <v>3.75</v>
      </c>
      <c r="X363">
        <v>2.15</v>
      </c>
      <c r="Y363">
        <v>0.027719</v>
      </c>
      <c r="Z363">
        <v>0.9331046312178388</v>
      </c>
      <c r="AA363">
        <v>0.1941747572815534</v>
      </c>
      <c r="AB363">
        <v>0.09854604200323103</v>
      </c>
      <c r="AC363">
        <v>0.9168012924071083</v>
      </c>
      <c r="AD363">
        <v>0.9111470113085622</v>
      </c>
    </row>
    <row r="364" spans="1:30">
      <c r="A364" s="1" t="s">
        <v>371</v>
      </c>
      <c r="B364">
        <f>HYPERLINK("https://www.suredividend.com/sure-analysis-TOT","Total SA")</f>
        <v>0</v>
      </c>
      <c r="C364">
        <v>54.37</v>
      </c>
      <c r="D364">
        <v>141249.109938</v>
      </c>
      <c r="E364" t="s">
        <v>659</v>
      </c>
      <c r="F364" t="s">
        <v>629</v>
      </c>
      <c r="G364" t="s">
        <v>688</v>
      </c>
      <c r="H364" t="s">
        <v>703</v>
      </c>
      <c r="I364" t="s">
        <v>1067</v>
      </c>
      <c r="J364" t="s">
        <v>1312</v>
      </c>
      <c r="K364">
        <v>43773</v>
      </c>
      <c r="L364">
        <v>0.039703880816626</v>
      </c>
      <c r="M364">
        <v>0.005925317571581212</v>
      </c>
      <c r="N364">
        <v>0.07000000000000001</v>
      </c>
      <c r="O364">
        <v>0.1176247650438655</v>
      </c>
      <c r="P364" t="s">
        <v>405</v>
      </c>
      <c r="Q364" t="s">
        <v>494</v>
      </c>
      <c r="R364">
        <v>1</v>
      </c>
      <c r="S364">
        <v>0.4592978723404255</v>
      </c>
      <c r="T364">
        <v>56</v>
      </c>
      <c r="U364">
        <v>0.9708928571428571</v>
      </c>
      <c r="V364">
        <v>3.7572</v>
      </c>
      <c r="W364">
        <v>4.7</v>
      </c>
      <c r="X364">
        <v>2.1587</v>
      </c>
      <c r="Y364">
        <v>-0.023</v>
      </c>
      <c r="Z364">
        <v>0.6500857632933105</v>
      </c>
      <c r="AA364">
        <v>0.1472491909385113</v>
      </c>
      <c r="AB364">
        <v>0.7245557350565428</v>
      </c>
      <c r="AC364">
        <v>0.7592891760904685</v>
      </c>
      <c r="AD364">
        <v>0.9095315024232633</v>
      </c>
    </row>
    <row r="365" spans="1:30">
      <c r="A365" s="1" t="s">
        <v>372</v>
      </c>
      <c r="B365">
        <f>HYPERLINK("https://www.suredividend.com/sure-analysis-NOK","Nokia Oyj")</f>
        <v>0</v>
      </c>
      <c r="C365">
        <v>3.61</v>
      </c>
      <c r="D365">
        <v>20227.858262</v>
      </c>
      <c r="E365" t="s">
        <v>663</v>
      </c>
      <c r="F365" t="s">
        <v>629</v>
      </c>
      <c r="G365" t="s">
        <v>694</v>
      </c>
      <c r="H365" t="s">
        <v>703</v>
      </c>
      <c r="I365" t="s">
        <v>1068</v>
      </c>
      <c r="J365" t="s">
        <v>1308</v>
      </c>
      <c r="K365">
        <v>43762</v>
      </c>
      <c r="L365">
        <v>0.031080332409972</v>
      </c>
      <c r="M365">
        <v>0.01031145931793609</v>
      </c>
      <c r="N365">
        <v>0.075</v>
      </c>
      <c r="O365">
        <v>0.1161695129101801</v>
      </c>
      <c r="P365" t="s">
        <v>405</v>
      </c>
      <c r="Q365" t="s">
        <v>405</v>
      </c>
      <c r="R365">
        <v>0</v>
      </c>
      <c r="S365">
        <v>0.4675</v>
      </c>
      <c r="T365">
        <v>3.8</v>
      </c>
      <c r="U365">
        <v>0.9500000000000001</v>
      </c>
      <c r="V365">
        <v>-0.0736</v>
      </c>
      <c r="W365">
        <v>0.24</v>
      </c>
      <c r="X365">
        <v>0.1122</v>
      </c>
      <c r="Y365">
        <v>-0.4013</v>
      </c>
      <c r="Z365">
        <v>0.5265866209262435</v>
      </c>
      <c r="AA365">
        <v>0.01132686084142395</v>
      </c>
      <c r="AB365">
        <v>0.7649434571890146</v>
      </c>
      <c r="AC365">
        <v>0.791599353796446</v>
      </c>
      <c r="AD365">
        <v>0.9014539579967691</v>
      </c>
    </row>
    <row r="366" spans="1:30">
      <c r="A366" s="1" t="s">
        <v>373</v>
      </c>
      <c r="B366">
        <f>HYPERLINK("https://www.suredividend.com/sure-analysis-NTR","Nutrien Ltd.")</f>
        <v>0</v>
      </c>
      <c r="C366">
        <v>48.74</v>
      </c>
      <c r="D366">
        <v>27923.146</v>
      </c>
      <c r="E366" t="s">
        <v>666</v>
      </c>
      <c r="F366" t="s">
        <v>629</v>
      </c>
      <c r="G366" t="s">
        <v>675</v>
      </c>
      <c r="H366" t="s">
        <v>703</v>
      </c>
      <c r="I366" t="s">
        <v>1069</v>
      </c>
      <c r="J366" t="s">
        <v>1314</v>
      </c>
      <c r="K366">
        <v>43780</v>
      </c>
      <c r="L366">
        <v>0.035919647203969</v>
      </c>
      <c r="M366">
        <v>0.005117642069717876</v>
      </c>
      <c r="N366">
        <v>0.08</v>
      </c>
      <c r="O366">
        <v>0.115878954164125</v>
      </c>
      <c r="P366" t="s">
        <v>405</v>
      </c>
      <c r="Q366" t="s">
        <v>405</v>
      </c>
      <c r="R366">
        <v>1</v>
      </c>
      <c r="S366">
        <v>0.5975165886421467</v>
      </c>
      <c r="T366">
        <v>50</v>
      </c>
      <c r="U366">
        <v>0.9748</v>
      </c>
      <c r="V366">
        <v>2.2816</v>
      </c>
      <c r="W366">
        <v>2.93</v>
      </c>
      <c r="X366">
        <v>1.75072360472149</v>
      </c>
      <c r="Y366">
        <v>0.08916199999999999</v>
      </c>
      <c r="Z366">
        <v>0.5951972555746141</v>
      </c>
      <c r="AA366">
        <v>0.2686084142394822</v>
      </c>
      <c r="AB366">
        <v>0.8182552504038771</v>
      </c>
      <c r="AC366">
        <v>0.752827140549273</v>
      </c>
      <c r="AD366">
        <v>0.8982229402261713</v>
      </c>
    </row>
    <row r="367" spans="1:30">
      <c r="A367" s="1" t="s">
        <v>374</v>
      </c>
      <c r="B367">
        <f>HYPERLINK("https://www.suredividend.com/sure-analysis-HAL","Halliburton Co.")</f>
        <v>0</v>
      </c>
      <c r="C367">
        <v>24.49</v>
      </c>
      <c r="D367">
        <v>21497.41996</v>
      </c>
      <c r="E367" t="s">
        <v>659</v>
      </c>
      <c r="F367" t="s">
        <v>629</v>
      </c>
      <c r="G367" t="s">
        <v>673</v>
      </c>
      <c r="H367" t="s">
        <v>703</v>
      </c>
      <c r="I367" t="s">
        <v>1070</v>
      </c>
      <c r="J367" t="s">
        <v>1325</v>
      </c>
      <c r="K367">
        <v>43761</v>
      </c>
      <c r="L367">
        <v>0.029399755002041</v>
      </c>
      <c r="M367">
        <v>-0.04949815726944695</v>
      </c>
      <c r="N367">
        <v>0.149</v>
      </c>
      <c r="O367">
        <v>0.1148358557603166</v>
      </c>
      <c r="P367" t="s">
        <v>405</v>
      </c>
      <c r="Q367" t="s">
        <v>405</v>
      </c>
      <c r="R367">
        <v>0</v>
      </c>
      <c r="S367">
        <v>0.576</v>
      </c>
      <c r="T367">
        <v>19</v>
      </c>
      <c r="U367">
        <v>1.288947368421053</v>
      </c>
      <c r="V367">
        <v>1.3573</v>
      </c>
      <c r="W367">
        <v>1.25</v>
      </c>
      <c r="X367">
        <v>0.72</v>
      </c>
      <c r="Y367">
        <v>-0.052611</v>
      </c>
      <c r="Z367">
        <v>0.4974271012006861</v>
      </c>
      <c r="AA367">
        <v>0.1116504854368932</v>
      </c>
      <c r="AB367">
        <v>0.9709208400646203</v>
      </c>
      <c r="AC367">
        <v>0.2924071082390953</v>
      </c>
      <c r="AD367">
        <v>0.8949919224555736</v>
      </c>
    </row>
    <row r="368" spans="1:30">
      <c r="A368" s="1" t="s">
        <v>375</v>
      </c>
      <c r="B368">
        <f>HYPERLINK("https://www.suredividend.com/sure-analysis-DRI","Darden Restaurants, Inc.")</f>
        <v>0</v>
      </c>
      <c r="C368">
        <v>110.24</v>
      </c>
      <c r="D368">
        <v>13515.64448</v>
      </c>
      <c r="E368" t="s">
        <v>670</v>
      </c>
      <c r="F368" t="s">
        <v>629</v>
      </c>
      <c r="G368" t="s">
        <v>673</v>
      </c>
      <c r="H368" t="s">
        <v>703</v>
      </c>
      <c r="I368" t="s">
        <v>1071</v>
      </c>
      <c r="J368" t="s">
        <v>1324</v>
      </c>
      <c r="K368">
        <v>43740</v>
      </c>
      <c r="L368">
        <v>0.029571843251088</v>
      </c>
      <c r="M368">
        <v>0.008490304133423221</v>
      </c>
      <c r="N368">
        <v>0.078</v>
      </c>
      <c r="O368">
        <v>0.1146810286507505</v>
      </c>
      <c r="P368" t="s">
        <v>405</v>
      </c>
      <c r="Q368" t="s">
        <v>405</v>
      </c>
      <c r="R368">
        <v>4</v>
      </c>
      <c r="S368">
        <v>0.5093749999999999</v>
      </c>
      <c r="T368">
        <v>115</v>
      </c>
      <c r="U368">
        <v>0.9586086956521739</v>
      </c>
      <c r="V368">
        <v>5.0934</v>
      </c>
      <c r="W368">
        <v>6.4</v>
      </c>
      <c r="X368">
        <v>3.26</v>
      </c>
      <c r="Y368">
        <v>0.111514</v>
      </c>
      <c r="Z368">
        <v>0.5025728987993139</v>
      </c>
      <c r="AA368">
        <v>0.2928802588996764</v>
      </c>
      <c r="AB368">
        <v>0.7778675282714055</v>
      </c>
      <c r="AC368">
        <v>0.777059773828756</v>
      </c>
      <c r="AD368">
        <v>0.8933764135702746</v>
      </c>
    </row>
    <row r="369" spans="1:30">
      <c r="A369" s="1" t="s">
        <v>376</v>
      </c>
      <c r="B369">
        <f>HYPERLINK("https://www.suredividend.com/sure-analysis-DFS","Discover Financial Services")</f>
        <v>0</v>
      </c>
      <c r="C369">
        <v>86.7</v>
      </c>
      <c r="D369">
        <v>27177.6756</v>
      </c>
      <c r="E369" t="s">
        <v>663</v>
      </c>
      <c r="F369" t="s">
        <v>629</v>
      </c>
      <c r="G369" t="s">
        <v>673</v>
      </c>
      <c r="H369" t="s">
        <v>703</v>
      </c>
      <c r="I369" t="s">
        <v>1072</v>
      </c>
      <c r="J369" t="s">
        <v>1309</v>
      </c>
      <c r="K369">
        <v>43809</v>
      </c>
      <c r="L369">
        <v>0.018915801614763</v>
      </c>
      <c r="M369">
        <v>0.01845278840258824</v>
      </c>
      <c r="N369">
        <v>0.075</v>
      </c>
      <c r="O369">
        <v>0.1121981521343223</v>
      </c>
      <c r="P369" t="s">
        <v>405</v>
      </c>
      <c r="Q369" t="s">
        <v>382</v>
      </c>
      <c r="R369">
        <v>9</v>
      </c>
      <c r="S369">
        <v>0.174468085106383</v>
      </c>
      <c r="T369">
        <v>95</v>
      </c>
      <c r="U369">
        <v>0.9126315789473685</v>
      </c>
      <c r="V369">
        <v>8.865600000000001</v>
      </c>
      <c r="W369">
        <v>9.4</v>
      </c>
      <c r="X369">
        <v>1.64</v>
      </c>
      <c r="Y369">
        <v>0.537234</v>
      </c>
      <c r="Z369">
        <v>0.2778730703259005</v>
      </c>
      <c r="AA369">
        <v>0.8915857605177994</v>
      </c>
      <c r="AB369">
        <v>0.7649434571890146</v>
      </c>
      <c r="AC369">
        <v>0.8481421647819063</v>
      </c>
      <c r="AD369">
        <v>0.8788368336025849</v>
      </c>
    </row>
    <row r="370" spans="1:30">
      <c r="A370" s="1" t="s">
        <v>377</v>
      </c>
      <c r="B370">
        <f>HYPERLINK("https://www.suredividend.com/sure-analysis-NWL","Newell Brands, Inc.")</f>
        <v>0</v>
      </c>
      <c r="C370">
        <v>19.86</v>
      </c>
      <c r="D370">
        <v>8408.724</v>
      </c>
      <c r="E370" t="s">
        <v>661</v>
      </c>
      <c r="F370" t="s">
        <v>629</v>
      </c>
      <c r="G370" t="s">
        <v>673</v>
      </c>
      <c r="H370" t="s">
        <v>704</v>
      </c>
      <c r="I370" t="s">
        <v>1073</v>
      </c>
      <c r="J370" t="s">
        <v>1316</v>
      </c>
      <c r="K370">
        <v>43782</v>
      </c>
      <c r="L370">
        <v>0.046324269889224</v>
      </c>
      <c r="M370">
        <v>0.02067784341660839</v>
      </c>
      <c r="N370">
        <v>0.05</v>
      </c>
      <c r="O370">
        <v>0.1082703796809443</v>
      </c>
      <c r="P370" t="s">
        <v>405</v>
      </c>
      <c r="Q370" t="s">
        <v>494</v>
      </c>
      <c r="R370">
        <v>1</v>
      </c>
      <c r="S370">
        <v>0.575</v>
      </c>
      <c r="T370">
        <v>22</v>
      </c>
      <c r="U370">
        <v>0.9027272727272727</v>
      </c>
      <c r="V370">
        <v>-1.9221</v>
      </c>
      <c r="W370">
        <v>1.6</v>
      </c>
      <c r="X370">
        <v>0.92</v>
      </c>
      <c r="Y370">
        <v>0.053022</v>
      </c>
      <c r="Z370">
        <v>0.7341337907375644</v>
      </c>
      <c r="AA370">
        <v>0.2297734627831715</v>
      </c>
      <c r="AB370">
        <v>0.4588045234248789</v>
      </c>
      <c r="AC370">
        <v>0.8691437802907916</v>
      </c>
      <c r="AD370">
        <v>0.864297253634895</v>
      </c>
    </row>
    <row r="371" spans="1:30">
      <c r="A371" s="1" t="s">
        <v>378</v>
      </c>
      <c r="B371">
        <f>HYPERLINK("https://www.suredividend.com/sure-analysis-DTEGY","Deutsche Telekom AG")</f>
        <v>0</v>
      </c>
      <c r="C371">
        <v>16.35</v>
      </c>
      <c r="D371">
        <v>77539.22100000001</v>
      </c>
      <c r="E371" t="s">
        <v>659</v>
      </c>
      <c r="F371" t="s">
        <v>629</v>
      </c>
      <c r="G371" t="s">
        <v>682</v>
      </c>
      <c r="H371" t="s">
        <v>705</v>
      </c>
      <c r="I371" t="s">
        <v>1074</v>
      </c>
      <c r="J371" t="s">
        <v>1318</v>
      </c>
      <c r="K371">
        <v>43779</v>
      </c>
      <c r="L371">
        <v>0.04793272171253801</v>
      </c>
      <c r="M371">
        <v>0.01941483562655222</v>
      </c>
      <c r="N371">
        <v>0.04</v>
      </c>
      <c r="O371">
        <v>0.1029686643689252</v>
      </c>
      <c r="P371" t="s">
        <v>405</v>
      </c>
      <c r="Q371" t="s">
        <v>494</v>
      </c>
      <c r="R371">
        <v>3</v>
      </c>
      <c r="S371">
        <v>0.6530833333333335</v>
      </c>
      <c r="T371">
        <v>18</v>
      </c>
      <c r="U371">
        <v>0.9083333333333334</v>
      </c>
      <c r="V371">
        <v>0.6561</v>
      </c>
      <c r="W371">
        <v>1.2</v>
      </c>
      <c r="X371">
        <v>0.7837000000000001</v>
      </c>
      <c r="Y371">
        <v>-0.04160000000000001</v>
      </c>
      <c r="Z371">
        <v>0.7495711835334476</v>
      </c>
      <c r="AA371">
        <v>0.1262135922330097</v>
      </c>
      <c r="AB371">
        <v>0.3182552504038772</v>
      </c>
      <c r="AC371">
        <v>0.8578352180936996</v>
      </c>
      <c r="AD371">
        <v>0.8271405492730211</v>
      </c>
    </row>
    <row r="372" spans="1:30">
      <c r="A372" s="1" t="s">
        <v>379</v>
      </c>
      <c r="B372">
        <f>HYPERLINK("https://www.suredividend.com/sure-analysis-BTI","British American Tobacco plc")</f>
        <v>0</v>
      </c>
      <c r="C372">
        <v>42.5</v>
      </c>
      <c r="D372">
        <v>97169.17766</v>
      </c>
      <c r="E372" t="s">
        <v>663</v>
      </c>
      <c r="F372" t="s">
        <v>629</v>
      </c>
      <c r="G372" t="s">
        <v>677</v>
      </c>
      <c r="H372" t="s">
        <v>703</v>
      </c>
      <c r="I372" t="s">
        <v>1075</v>
      </c>
      <c r="J372" t="s">
        <v>1322</v>
      </c>
      <c r="K372">
        <v>43742</v>
      </c>
      <c r="L372">
        <v>0.05976310588235201</v>
      </c>
      <c r="M372">
        <v>-0.007160641404701962</v>
      </c>
      <c r="N372">
        <v>0.05</v>
      </c>
      <c r="O372">
        <v>0.1006726095112476</v>
      </c>
      <c r="P372" t="s">
        <v>405</v>
      </c>
      <c r="Q372" t="s">
        <v>634</v>
      </c>
      <c r="R372">
        <v>0</v>
      </c>
      <c r="S372">
        <v>0.634983</v>
      </c>
      <c r="T372">
        <v>41</v>
      </c>
      <c r="U372">
        <v>1.036585365853659</v>
      </c>
      <c r="V372">
        <v>3.4803</v>
      </c>
      <c r="W372">
        <v>4</v>
      </c>
      <c r="X372">
        <v>2.539932</v>
      </c>
      <c r="Y372">
        <v>0.2522</v>
      </c>
      <c r="Z372">
        <v>0.8336192109777015</v>
      </c>
      <c r="AA372">
        <v>0.5566343042071198</v>
      </c>
      <c r="AB372">
        <v>0.4588045234248789</v>
      </c>
      <c r="AC372">
        <v>0.6510500807754442</v>
      </c>
      <c r="AD372">
        <v>0.8126009693053312</v>
      </c>
    </row>
    <row r="373" spans="1:30">
      <c r="A373" s="1" t="s">
        <v>380</v>
      </c>
      <c r="B373">
        <f>HYPERLINK("https://www.suredividend.com/sure-analysis-CNP","CenterPoint Energy, Inc.")</f>
        <v>0</v>
      </c>
      <c r="C373">
        <v>26.73</v>
      </c>
      <c r="D373">
        <v>13424.92866</v>
      </c>
      <c r="E373" t="s">
        <v>667</v>
      </c>
      <c r="F373" t="s">
        <v>629</v>
      </c>
      <c r="G373" t="s">
        <v>673</v>
      </c>
      <c r="H373" t="s">
        <v>703</v>
      </c>
      <c r="I373" t="s">
        <v>1076</v>
      </c>
      <c r="J373" t="s">
        <v>1321</v>
      </c>
      <c r="K373">
        <v>43732</v>
      </c>
      <c r="L373">
        <v>0.042648709315375</v>
      </c>
      <c r="M373">
        <v>0.009326822243696409</v>
      </c>
      <c r="N373">
        <v>0.056</v>
      </c>
      <c r="O373">
        <v>0.0999961479182303</v>
      </c>
      <c r="P373" t="s">
        <v>405</v>
      </c>
      <c r="Q373" t="s">
        <v>494</v>
      </c>
      <c r="R373">
        <v>14</v>
      </c>
      <c r="S373">
        <v>0.6785714285714287</v>
      </c>
      <c r="T373">
        <v>28</v>
      </c>
      <c r="U373">
        <v>0.9546428571428571</v>
      </c>
      <c r="V373">
        <v>1.2674</v>
      </c>
      <c r="W373">
        <v>1.68</v>
      </c>
      <c r="X373">
        <v>1.14</v>
      </c>
      <c r="Y373">
        <v>-0.057808</v>
      </c>
      <c r="Z373">
        <v>0.6878216123499142</v>
      </c>
      <c r="AA373">
        <v>0.1084142394822006</v>
      </c>
      <c r="AB373">
        <v>0.5541195476575121</v>
      </c>
      <c r="AC373">
        <v>0.7835218093699515</v>
      </c>
      <c r="AD373">
        <v>0.8061389337641357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21.45</v>
      </c>
      <c r="D374">
        <v>6388.7967</v>
      </c>
      <c r="E374" t="s">
        <v>662</v>
      </c>
      <c r="F374" t="s">
        <v>630</v>
      </c>
      <c r="G374" t="s">
        <v>673</v>
      </c>
      <c r="H374" t="s">
        <v>703</v>
      </c>
      <c r="I374" t="s">
        <v>1077</v>
      </c>
      <c r="J374" t="s">
        <v>1309</v>
      </c>
      <c r="K374">
        <v>43771</v>
      </c>
      <c r="L374">
        <v>0.05221445221445201</v>
      </c>
      <c r="M374">
        <v>0.01405172438641378</v>
      </c>
      <c r="N374">
        <v>0.04</v>
      </c>
      <c r="O374">
        <v>0.09833247776527876</v>
      </c>
      <c r="P374" t="s">
        <v>405</v>
      </c>
      <c r="Q374" t="s">
        <v>634</v>
      </c>
      <c r="R374">
        <v>6</v>
      </c>
      <c r="S374">
        <v>0.5685279187817259</v>
      </c>
      <c r="T374">
        <v>23</v>
      </c>
      <c r="U374">
        <v>0.9326086956521739</v>
      </c>
      <c r="V374">
        <v>0.9706</v>
      </c>
      <c r="W374">
        <v>1.97</v>
      </c>
      <c r="X374">
        <v>1.12</v>
      </c>
      <c r="Y374">
        <v>0.461172</v>
      </c>
      <c r="Z374">
        <v>0.7873070325900514</v>
      </c>
      <c r="AA374">
        <v>0.8398058252427184</v>
      </c>
      <c r="AB374">
        <v>0.3182552504038772</v>
      </c>
      <c r="AC374">
        <v>0.8142164781906301</v>
      </c>
      <c r="AD374">
        <v>0.7980613893376414</v>
      </c>
    </row>
    <row r="375" spans="1:30">
      <c r="A375" s="1" t="s">
        <v>382</v>
      </c>
      <c r="B375">
        <f>HYPERLINK("https://www.suredividend.com/sure-analysis-F","Ford Motor Co.")</f>
        <v>0</v>
      </c>
      <c r="C375">
        <v>9.48</v>
      </c>
      <c r="D375">
        <v>37588.674</v>
      </c>
      <c r="E375" t="s">
        <v>661</v>
      </c>
      <c r="F375" t="s">
        <v>629</v>
      </c>
      <c r="G375" t="s">
        <v>673</v>
      </c>
      <c r="H375" t="s">
        <v>703</v>
      </c>
      <c r="I375" t="s">
        <v>1078</v>
      </c>
      <c r="J375" t="s">
        <v>1317</v>
      </c>
      <c r="K375">
        <v>43766</v>
      </c>
      <c r="L375">
        <v>0.063291139240506</v>
      </c>
      <c r="M375">
        <v>-0.002118663107993135</v>
      </c>
      <c r="N375">
        <v>0.05</v>
      </c>
      <c r="O375">
        <v>0.09569963662668002</v>
      </c>
      <c r="P375" t="s">
        <v>405</v>
      </c>
      <c r="Q375" t="s">
        <v>634</v>
      </c>
      <c r="R375">
        <v>0</v>
      </c>
      <c r="S375">
        <v>0.4800000000000001</v>
      </c>
      <c r="T375">
        <v>9.380000000000001</v>
      </c>
      <c r="U375">
        <v>1.010660980810234</v>
      </c>
      <c r="V375">
        <v>0.4115</v>
      </c>
      <c r="W375">
        <v>1.25</v>
      </c>
      <c r="X375">
        <v>0.6000000000000001</v>
      </c>
      <c r="Y375">
        <v>0.17764</v>
      </c>
      <c r="Z375">
        <v>0.855917667238422</v>
      </c>
      <c r="AA375">
        <v>0.4142394822006472</v>
      </c>
      <c r="AB375">
        <v>0.4588045234248789</v>
      </c>
      <c r="AC375">
        <v>0.691437802907916</v>
      </c>
      <c r="AD375">
        <v>0.778675282714055</v>
      </c>
    </row>
    <row r="376" spans="1:30">
      <c r="A376" s="1" t="s">
        <v>383</v>
      </c>
      <c r="B376">
        <f>HYPERLINK("https://www.suredividend.com/sure-analysis-CM","Canadian Imperial Bank of Commerce")</f>
        <v>0</v>
      </c>
      <c r="C376">
        <v>84.45</v>
      </c>
      <c r="D376">
        <v>37614.7056</v>
      </c>
      <c r="E376" t="s">
        <v>662</v>
      </c>
      <c r="F376" t="s">
        <v>629</v>
      </c>
      <c r="G376" t="s">
        <v>675</v>
      </c>
      <c r="H376" t="s">
        <v>703</v>
      </c>
      <c r="I376" t="s">
        <v>1079</v>
      </c>
      <c r="J376" t="s">
        <v>1309</v>
      </c>
      <c r="K376">
        <v>43811</v>
      </c>
      <c r="L376">
        <v>0.049906242831743</v>
      </c>
      <c r="M376">
        <v>-0.001067998165672601</v>
      </c>
      <c r="N376">
        <v>0.05</v>
      </c>
      <c r="O376">
        <v>0.09384946014327356</v>
      </c>
      <c r="P376" t="s">
        <v>405</v>
      </c>
      <c r="Q376" t="s">
        <v>634</v>
      </c>
      <c r="R376">
        <v>7</v>
      </c>
      <c r="S376">
        <v>0.5164929175417585</v>
      </c>
      <c r="T376">
        <v>84</v>
      </c>
      <c r="U376">
        <v>1.005357142857143</v>
      </c>
      <c r="V376">
        <v>8.442600000000001</v>
      </c>
      <c r="W376">
        <v>8.16</v>
      </c>
      <c r="X376">
        <v>4.21458220714075</v>
      </c>
      <c r="Y376">
        <v>0.132038</v>
      </c>
      <c r="Z376">
        <v>0.7701543739279589</v>
      </c>
      <c r="AA376">
        <v>0.3252427184466019</v>
      </c>
      <c r="AB376">
        <v>0.4588045234248789</v>
      </c>
      <c r="AC376">
        <v>0.7027463651050081</v>
      </c>
      <c r="AD376">
        <v>0.765751211631664</v>
      </c>
    </row>
    <row r="377" spans="1:30">
      <c r="A377" s="1" t="s">
        <v>384</v>
      </c>
      <c r="B377">
        <f>HYPERLINK("https://www.suredividend.com/sure-analysis-GWLIF","Great-West Lifeco, Inc.")</f>
        <v>0</v>
      </c>
      <c r="C377">
        <v>25.44</v>
      </c>
      <c r="D377">
        <v>23609.56656</v>
      </c>
      <c r="E377" t="s">
        <v>665</v>
      </c>
      <c r="F377" t="s">
        <v>629</v>
      </c>
      <c r="G377" t="s">
        <v>675</v>
      </c>
      <c r="H377" t="s">
        <v>705</v>
      </c>
      <c r="I377" t="s">
        <v>1080</v>
      </c>
      <c r="J377" t="s">
        <v>1309</v>
      </c>
      <c r="K377">
        <v>43784</v>
      </c>
      <c r="L377">
        <v>0.04821732174655501</v>
      </c>
      <c r="M377">
        <v>0.01197394603228807</v>
      </c>
      <c r="N377">
        <v>0.04</v>
      </c>
      <c r="O377">
        <v>0.09384776532699446</v>
      </c>
      <c r="P377" t="s">
        <v>405</v>
      </c>
      <c r="Q377" t="s">
        <v>634</v>
      </c>
      <c r="R377">
        <v>4</v>
      </c>
      <c r="S377">
        <v>0.54517718454772</v>
      </c>
      <c r="T377">
        <v>27</v>
      </c>
      <c r="U377">
        <v>0.9422222222222223</v>
      </c>
      <c r="V377">
        <v>2.0048</v>
      </c>
      <c r="W377">
        <v>2.25</v>
      </c>
      <c r="X377">
        <v>1.22664866523237</v>
      </c>
      <c r="Y377">
        <v>0.278392</v>
      </c>
      <c r="Z377">
        <v>0.7547169811320755</v>
      </c>
      <c r="AA377">
        <v>0.6003236245954693</v>
      </c>
      <c r="AB377">
        <v>0.3182552504038772</v>
      </c>
      <c r="AC377">
        <v>0.8029079159935379</v>
      </c>
      <c r="AD377">
        <v>0.7641357027463651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30.8</v>
      </c>
      <c r="D378">
        <v>55208.149966</v>
      </c>
      <c r="E378" t="s">
        <v>659</v>
      </c>
      <c r="F378" t="s">
        <v>629</v>
      </c>
      <c r="G378" t="s">
        <v>685</v>
      </c>
      <c r="H378" t="s">
        <v>703</v>
      </c>
      <c r="I378" t="s">
        <v>1081</v>
      </c>
      <c r="J378" t="s">
        <v>1312</v>
      </c>
      <c r="K378">
        <v>43777</v>
      </c>
      <c r="L378">
        <v>0.04328383116883101</v>
      </c>
      <c r="M378">
        <v>-0.01197153606515955</v>
      </c>
      <c r="N378">
        <v>0.05</v>
      </c>
      <c r="O378">
        <v>0.09283611224677646</v>
      </c>
      <c r="P378" t="s">
        <v>405</v>
      </c>
      <c r="Q378" t="s">
        <v>494</v>
      </c>
      <c r="R378">
        <v>1</v>
      </c>
      <c r="S378">
        <v>0.5796269565217392</v>
      </c>
      <c r="T378">
        <v>29</v>
      </c>
      <c r="U378">
        <v>1.062068965517242</v>
      </c>
      <c r="V378">
        <v>1.5934</v>
      </c>
      <c r="W378">
        <v>2.3</v>
      </c>
      <c r="X378">
        <v>1.333142</v>
      </c>
      <c r="Y378">
        <v>-0.0447</v>
      </c>
      <c r="Z378">
        <v>0.6998284734133791</v>
      </c>
      <c r="AA378">
        <v>0.1181229773462783</v>
      </c>
      <c r="AB378">
        <v>0.4588045234248789</v>
      </c>
      <c r="AC378">
        <v>0.6187399030694669</v>
      </c>
      <c r="AD378">
        <v>0.7592891760904685</v>
      </c>
    </row>
    <row r="379" spans="1:30">
      <c r="A379" s="1" t="s">
        <v>386</v>
      </c>
      <c r="B379">
        <f>HYPERLINK("https://www.suredividend.com/sure-analysis-WMB","The Williams Cos., Inc.")</f>
        <v>0</v>
      </c>
      <c r="C379">
        <v>23.8</v>
      </c>
      <c r="D379">
        <v>28846.79</v>
      </c>
      <c r="E379" t="s">
        <v>659</v>
      </c>
      <c r="F379" t="s">
        <v>629</v>
      </c>
      <c r="G379" t="s">
        <v>673</v>
      </c>
      <c r="H379" t="s">
        <v>703</v>
      </c>
      <c r="I379" t="s">
        <v>1082</v>
      </c>
      <c r="J379" t="s">
        <v>1325</v>
      </c>
      <c r="K379">
        <v>43787</v>
      </c>
      <c r="L379">
        <v>0.06218487394957901</v>
      </c>
      <c r="M379">
        <v>-0.02472191044052729</v>
      </c>
      <c r="N379">
        <v>0.06</v>
      </c>
      <c r="O379">
        <v>0.08943123681411547</v>
      </c>
      <c r="P379" t="s">
        <v>405</v>
      </c>
      <c r="Q379" t="s">
        <v>634</v>
      </c>
      <c r="R379">
        <v>0</v>
      </c>
      <c r="S379">
        <v>0.592</v>
      </c>
      <c r="T379">
        <v>21</v>
      </c>
      <c r="U379">
        <v>1.133333333333333</v>
      </c>
      <c r="V379">
        <v>0.1274</v>
      </c>
      <c r="W379">
        <v>2.5</v>
      </c>
      <c r="X379">
        <v>1.48</v>
      </c>
      <c r="Y379">
        <v>0.092746</v>
      </c>
      <c r="Z379">
        <v>0.8507718696397941</v>
      </c>
      <c r="AA379">
        <v>0.2718446601941747</v>
      </c>
      <c r="AB379">
        <v>0.6130856219709209</v>
      </c>
      <c r="AC379">
        <v>0.5201938610662359</v>
      </c>
      <c r="AD379">
        <v>0.7399030694668821</v>
      </c>
    </row>
    <row r="380" spans="1:30">
      <c r="A380" s="1" t="s">
        <v>387</v>
      </c>
      <c r="B380">
        <f>HYPERLINK("https://www.suredividend.com/sure-analysis-GPS","Gap, Inc.")</f>
        <v>0</v>
      </c>
      <c r="C380">
        <v>17.59</v>
      </c>
      <c r="D380">
        <v>6566.32941</v>
      </c>
      <c r="E380" t="s">
        <v>664</v>
      </c>
      <c r="F380" t="s">
        <v>629</v>
      </c>
      <c r="G380" t="s">
        <v>673</v>
      </c>
      <c r="H380" t="s">
        <v>703</v>
      </c>
      <c r="I380" t="s">
        <v>1083</v>
      </c>
      <c r="J380" t="s">
        <v>1310</v>
      </c>
      <c r="K380">
        <v>43737</v>
      </c>
      <c r="L380">
        <v>0.05514496873223401</v>
      </c>
      <c r="M380">
        <v>0.01554121190301738</v>
      </c>
      <c r="N380">
        <v>0.03</v>
      </c>
      <c r="O380">
        <v>0.08847993807922294</v>
      </c>
      <c r="P380" t="s">
        <v>405</v>
      </c>
      <c r="Q380" t="s">
        <v>634</v>
      </c>
      <c r="R380">
        <v>1</v>
      </c>
      <c r="S380">
        <v>0.4619047619047619</v>
      </c>
      <c r="T380">
        <v>19</v>
      </c>
      <c r="U380">
        <v>0.9257894736842105</v>
      </c>
      <c r="V380">
        <v>2.1411</v>
      </c>
      <c r="W380">
        <v>2.1</v>
      </c>
      <c r="X380">
        <v>0.97</v>
      </c>
      <c r="Y380">
        <v>-0.284959</v>
      </c>
      <c r="Z380">
        <v>0.8113207547169812</v>
      </c>
      <c r="AA380">
        <v>0.03398058252427184</v>
      </c>
      <c r="AB380">
        <v>0.2003231017770598</v>
      </c>
      <c r="AC380">
        <v>0.8271405492730211</v>
      </c>
      <c r="AD380">
        <v>0.7334410339256866</v>
      </c>
    </row>
    <row r="381" spans="1:30">
      <c r="A381" s="1" t="s">
        <v>388</v>
      </c>
      <c r="B381">
        <f>HYPERLINK("https://www.suredividend.com/sure-analysis-BIP","Brookfield Infrastructure Partners LP")</f>
        <v>0</v>
      </c>
      <c r="C381">
        <v>48.36</v>
      </c>
      <c r="D381">
        <v>20089.033773</v>
      </c>
      <c r="E381" t="s">
        <v>662</v>
      </c>
      <c r="F381" t="s">
        <v>631</v>
      </c>
      <c r="G381" t="s">
        <v>684</v>
      </c>
      <c r="H381" t="s">
        <v>703</v>
      </c>
      <c r="I381" t="s">
        <v>1084</v>
      </c>
      <c r="J381" t="s">
        <v>1321</v>
      </c>
      <c r="K381">
        <v>43778</v>
      </c>
      <c r="L381">
        <v>0.04089123242349001</v>
      </c>
      <c r="M381">
        <v>-0.03724731203619192</v>
      </c>
      <c r="N381">
        <v>0.08500000000000001</v>
      </c>
      <c r="O381">
        <v>0.08602885195361165</v>
      </c>
      <c r="P381" t="s">
        <v>405</v>
      </c>
      <c r="Q381" t="s">
        <v>494</v>
      </c>
      <c r="R381">
        <v>12</v>
      </c>
      <c r="S381">
        <v>0.5867952522255193</v>
      </c>
      <c r="T381">
        <v>40</v>
      </c>
      <c r="U381">
        <v>1.209</v>
      </c>
      <c r="V381">
        <v>0.1478</v>
      </c>
      <c r="W381">
        <v>3.37</v>
      </c>
      <c r="X381">
        <v>1.9775</v>
      </c>
      <c r="Y381">
        <v>0.460586</v>
      </c>
      <c r="Z381">
        <v>0.6655231560891939</v>
      </c>
      <c r="AA381">
        <v>0.8381877022653721</v>
      </c>
      <c r="AB381">
        <v>0.8651050080775444</v>
      </c>
      <c r="AC381">
        <v>0.3893376413570275</v>
      </c>
      <c r="AD381">
        <v>0.7189014539579968</v>
      </c>
    </row>
    <row r="382" spans="1:30">
      <c r="A382" s="1" t="s">
        <v>389</v>
      </c>
      <c r="B382">
        <f>HYPERLINK("https://www.suredividend.com/sure-analysis-PFE","Pfizer Inc.")</f>
        <v>0</v>
      </c>
      <c r="C382">
        <v>39.23</v>
      </c>
      <c r="D382">
        <v>217103.5276</v>
      </c>
      <c r="E382" t="s">
        <v>657</v>
      </c>
      <c r="F382" t="s">
        <v>629</v>
      </c>
      <c r="G382" t="s">
        <v>673</v>
      </c>
      <c r="H382" t="s">
        <v>703</v>
      </c>
      <c r="I382" t="s">
        <v>1085</v>
      </c>
      <c r="J382" t="s">
        <v>1315</v>
      </c>
      <c r="K382">
        <v>43794</v>
      </c>
      <c r="L382">
        <v>0.036706602090237</v>
      </c>
      <c r="M382">
        <v>-0.006350867546663808</v>
      </c>
      <c r="N382">
        <v>0.06</v>
      </c>
      <c r="O382">
        <v>0.08231153603968955</v>
      </c>
      <c r="P382" t="s">
        <v>405</v>
      </c>
      <c r="Q382" t="s">
        <v>405</v>
      </c>
      <c r="R382">
        <v>9</v>
      </c>
      <c r="S382">
        <v>0.7272727272727273</v>
      </c>
      <c r="T382">
        <v>38</v>
      </c>
      <c r="U382">
        <v>1.032368421052632</v>
      </c>
      <c r="V382">
        <v>2.91</v>
      </c>
      <c r="W382">
        <v>1.98</v>
      </c>
      <c r="X382">
        <v>1.44</v>
      </c>
      <c r="Y382">
        <v>-0.06439299999999999</v>
      </c>
      <c r="Z382">
        <v>0.6089193825042881</v>
      </c>
      <c r="AA382">
        <v>0.1019417475728155</v>
      </c>
      <c r="AB382">
        <v>0.6130856219709209</v>
      </c>
      <c r="AC382">
        <v>0.6575121163166397</v>
      </c>
      <c r="AD382">
        <v>0.6930533117932148</v>
      </c>
    </row>
    <row r="383" spans="1:30">
      <c r="A383" s="1" t="s">
        <v>390</v>
      </c>
      <c r="B383">
        <f>HYPERLINK("https://www.suredividend.com/sure-analysis-TPR","Tapestry, Inc.")</f>
        <v>0</v>
      </c>
      <c r="C383">
        <v>26.71</v>
      </c>
      <c r="D383">
        <v>7370.25056</v>
      </c>
      <c r="E383" t="s">
        <v>666</v>
      </c>
      <c r="F383" t="s">
        <v>629</v>
      </c>
      <c r="G383" t="s">
        <v>673</v>
      </c>
      <c r="H383" t="s">
        <v>703</v>
      </c>
      <c r="I383" t="s">
        <v>1086</v>
      </c>
      <c r="J383" t="s">
        <v>1310</v>
      </c>
      <c r="K383">
        <v>43787</v>
      </c>
      <c r="L383">
        <v>0.05054286783976</v>
      </c>
      <c r="M383">
        <v>0.002162101754897394</v>
      </c>
      <c r="N383">
        <v>0.04</v>
      </c>
      <c r="O383">
        <v>0.08194066566572977</v>
      </c>
      <c r="P383" t="s">
        <v>405</v>
      </c>
      <c r="Q383" t="s">
        <v>634</v>
      </c>
      <c r="R383">
        <v>0</v>
      </c>
      <c r="S383">
        <v>0.5</v>
      </c>
      <c r="T383">
        <v>27</v>
      </c>
      <c r="U383">
        <v>0.9892592592592593</v>
      </c>
      <c r="V383">
        <v>1.8691</v>
      </c>
      <c r="W383">
        <v>2.7</v>
      </c>
      <c r="X383">
        <v>1.35</v>
      </c>
      <c r="Y383">
        <v>-0.185919</v>
      </c>
      <c r="Z383">
        <v>0.7735849056603773</v>
      </c>
      <c r="AA383">
        <v>0.05339805825242719</v>
      </c>
      <c r="AB383">
        <v>0.3182552504038772</v>
      </c>
      <c r="AC383">
        <v>0.7237479806138934</v>
      </c>
      <c r="AD383">
        <v>0.6882067851373183</v>
      </c>
    </row>
    <row r="384" spans="1:30">
      <c r="A384" s="1" t="s">
        <v>391</v>
      </c>
      <c r="B384">
        <f>HYPERLINK("https://www.suredividend.com/sure-analysis-MT","ArcelorMittal SA")</f>
        <v>0</v>
      </c>
      <c r="C384">
        <v>17.84</v>
      </c>
      <c r="D384">
        <v>18081.993088</v>
      </c>
      <c r="E384" t="s">
        <v>659</v>
      </c>
      <c r="F384" t="s">
        <v>629</v>
      </c>
      <c r="G384" t="s">
        <v>695</v>
      </c>
      <c r="H384" t="s">
        <v>703</v>
      </c>
      <c r="I384" t="s">
        <v>1087</v>
      </c>
      <c r="J384" t="s">
        <v>1323</v>
      </c>
      <c r="K384">
        <v>43798</v>
      </c>
      <c r="L384">
        <v>0.011210762331838</v>
      </c>
      <c r="M384">
        <v>-0.1706446739711969</v>
      </c>
      <c r="N384">
        <v>0.285</v>
      </c>
      <c r="O384">
        <v>0.08010580666921463</v>
      </c>
      <c r="P384" t="s">
        <v>405</v>
      </c>
      <c r="Q384" t="s">
        <v>382</v>
      </c>
      <c r="R384">
        <v>0</v>
      </c>
      <c r="S384">
        <v>0.2</v>
      </c>
      <c r="T384">
        <v>7</v>
      </c>
      <c r="U384">
        <v>2.548571428571428</v>
      </c>
      <c r="V384">
        <v>2.0269</v>
      </c>
      <c r="W384">
        <v>1</v>
      </c>
      <c r="X384">
        <v>0.2</v>
      </c>
      <c r="Y384">
        <v>-0.1957</v>
      </c>
      <c r="Z384">
        <v>0.08233276157804459</v>
      </c>
      <c r="AA384">
        <v>0.05016181229773463</v>
      </c>
      <c r="AB384">
        <v>0.9967689822294022</v>
      </c>
      <c r="AC384">
        <v>0.01453957996768982</v>
      </c>
      <c r="AD384">
        <v>0.6672051696284329</v>
      </c>
    </row>
    <row r="385" spans="1:30">
      <c r="A385" s="1" t="s">
        <v>392</v>
      </c>
      <c r="B385">
        <f>HYPERLINK("https://www.suredividend.com/sure-analysis-MDP","Meredith Corp.")</f>
        <v>0</v>
      </c>
      <c r="C385">
        <v>34.77</v>
      </c>
      <c r="D385">
        <v>1574.724608</v>
      </c>
      <c r="E385" t="s">
        <v>660</v>
      </c>
      <c r="F385" t="s">
        <v>629</v>
      </c>
      <c r="G385" t="s">
        <v>673</v>
      </c>
      <c r="H385" t="s">
        <v>703</v>
      </c>
      <c r="I385" t="s">
        <v>1088</v>
      </c>
      <c r="J385" t="s">
        <v>1324</v>
      </c>
      <c r="K385">
        <v>43776</v>
      </c>
      <c r="L385">
        <v>0.06528616623526</v>
      </c>
      <c r="M385">
        <v>-0.0103950707968522</v>
      </c>
      <c r="N385">
        <v>0.036</v>
      </c>
      <c r="O385">
        <v>0.07976477366652812</v>
      </c>
      <c r="P385" t="s">
        <v>405</v>
      </c>
      <c r="Q385" t="s">
        <v>634</v>
      </c>
      <c r="R385">
        <v>26</v>
      </c>
      <c r="S385">
        <v>0.8315018315018315</v>
      </c>
      <c r="T385">
        <v>33</v>
      </c>
      <c r="U385">
        <v>1.053636363636364</v>
      </c>
      <c r="V385">
        <v>-0.9523</v>
      </c>
      <c r="W385">
        <v>2.73</v>
      </c>
      <c r="X385">
        <v>2.27</v>
      </c>
      <c r="Y385">
        <v>-0.277131</v>
      </c>
      <c r="Z385">
        <v>0.8713550600343054</v>
      </c>
      <c r="AA385">
        <v>0.03559870550161812</v>
      </c>
      <c r="AB385">
        <v>0.2625201938610662</v>
      </c>
      <c r="AC385">
        <v>0.6252019386106623</v>
      </c>
      <c r="AD385">
        <v>0.6591276252019387</v>
      </c>
    </row>
    <row r="386" spans="1:30">
      <c r="A386" s="1" t="s">
        <v>393</v>
      </c>
      <c r="B386">
        <f>HYPERLINK("https://www.suredividend.com/sure-analysis-M","Macy's, Inc.")</f>
        <v>0</v>
      </c>
      <c r="C386">
        <v>16.2</v>
      </c>
      <c r="D386">
        <v>5005.233</v>
      </c>
      <c r="E386" t="s">
        <v>663</v>
      </c>
      <c r="F386" t="s">
        <v>629</v>
      </c>
      <c r="G386" t="s">
        <v>673</v>
      </c>
      <c r="H386" t="s">
        <v>703</v>
      </c>
      <c r="I386" t="s">
        <v>1089</v>
      </c>
      <c r="J386" t="s">
        <v>1310</v>
      </c>
      <c r="K386">
        <v>43790</v>
      </c>
      <c r="L386">
        <v>0.093209876543209</v>
      </c>
      <c r="M386">
        <v>0.05327276858309049</v>
      </c>
      <c r="N386">
        <v>-0.05</v>
      </c>
      <c r="O386">
        <v>0.07951212430899601</v>
      </c>
      <c r="P386" t="s">
        <v>405</v>
      </c>
      <c r="Q386" t="s">
        <v>633</v>
      </c>
      <c r="R386">
        <v>0</v>
      </c>
      <c r="S386">
        <v>0.5118644067796609</v>
      </c>
      <c r="T386">
        <v>21</v>
      </c>
      <c r="U386">
        <v>0.7714285714285714</v>
      </c>
      <c r="V386">
        <v>3.1235</v>
      </c>
      <c r="W386">
        <v>2.95</v>
      </c>
      <c r="X386">
        <v>1.51</v>
      </c>
      <c r="Y386">
        <v>-0.425532</v>
      </c>
      <c r="Z386">
        <v>0.9399656946826758</v>
      </c>
      <c r="AA386">
        <v>0.009708737864077671</v>
      </c>
      <c r="AB386">
        <v>0.004846526655896607</v>
      </c>
      <c r="AC386">
        <v>0.9709208400646203</v>
      </c>
      <c r="AD386">
        <v>0.6575121163166397</v>
      </c>
    </row>
    <row r="387" spans="1:30">
      <c r="A387" s="1" t="s">
        <v>394</v>
      </c>
      <c r="B387">
        <f>HYPERLINK("https://www.suredividend.com/sure-analysis-SNY","Sanofi")</f>
        <v>0</v>
      </c>
      <c r="C387">
        <v>50.55</v>
      </c>
      <c r="D387">
        <v>126696.498</v>
      </c>
      <c r="E387" t="s">
        <v>660</v>
      </c>
      <c r="F387" t="s">
        <v>629</v>
      </c>
      <c r="G387" t="s">
        <v>688</v>
      </c>
      <c r="H387" t="s">
        <v>704</v>
      </c>
      <c r="I387" t="s">
        <v>1090</v>
      </c>
      <c r="J387" t="s">
        <v>1315</v>
      </c>
      <c r="K387">
        <v>43770</v>
      </c>
      <c r="L387">
        <v>0.03407121661721</v>
      </c>
      <c r="M387">
        <v>0.005672180866939547</v>
      </c>
      <c r="N387">
        <v>0.04</v>
      </c>
      <c r="O387">
        <v>0.07842581557140482</v>
      </c>
      <c r="P387" t="s">
        <v>405</v>
      </c>
      <c r="Q387" t="s">
        <v>405</v>
      </c>
      <c r="R387">
        <v>0</v>
      </c>
      <c r="S387">
        <v>0.5283128834355829</v>
      </c>
      <c r="T387">
        <v>52</v>
      </c>
      <c r="U387">
        <v>0.9721153846153846</v>
      </c>
      <c r="V387">
        <v>1.6495</v>
      </c>
      <c r="W387">
        <v>3.26</v>
      </c>
      <c r="X387">
        <v>1.7223</v>
      </c>
      <c r="Y387">
        <v>0.1261</v>
      </c>
      <c r="Z387">
        <v>0.58147512864494</v>
      </c>
      <c r="AA387">
        <v>0.3122977346278317</v>
      </c>
      <c r="AB387">
        <v>0.3182552504038772</v>
      </c>
      <c r="AC387">
        <v>0.7560581583198708</v>
      </c>
      <c r="AD387">
        <v>0.6478190630048465</v>
      </c>
    </row>
    <row r="388" spans="1:30">
      <c r="A388" s="1" t="s">
        <v>395</v>
      </c>
      <c r="B388">
        <f>HYPERLINK("https://www.suredividend.com/sure-analysis-HTA","Healthcare Trust of America, Inc.")</f>
        <v>0</v>
      </c>
      <c r="C388">
        <v>30.14</v>
      </c>
      <c r="D388">
        <v>12605.172832</v>
      </c>
      <c r="E388" t="s">
        <v>664</v>
      </c>
      <c r="F388" t="s">
        <v>630</v>
      </c>
      <c r="G388" t="s">
        <v>673</v>
      </c>
      <c r="H388" t="s">
        <v>703</v>
      </c>
      <c r="I388" t="s">
        <v>1091</v>
      </c>
      <c r="J388" t="s">
        <v>1309</v>
      </c>
      <c r="K388">
        <v>43744</v>
      </c>
      <c r="L388">
        <v>0.04130723291307201</v>
      </c>
      <c r="M388">
        <v>-0.0009307289101490035</v>
      </c>
      <c r="N388">
        <v>0.04</v>
      </c>
      <c r="O388">
        <v>0.07692399203601741</v>
      </c>
      <c r="P388" t="s">
        <v>405</v>
      </c>
      <c r="Q388" t="s">
        <v>405</v>
      </c>
      <c r="R388">
        <v>6</v>
      </c>
      <c r="S388">
        <v>0.7591463414634148</v>
      </c>
      <c r="T388">
        <v>30</v>
      </c>
      <c r="U388">
        <v>1.004666666666667</v>
      </c>
      <c r="V388">
        <v>0.1778</v>
      </c>
      <c r="W388">
        <v>1.64</v>
      </c>
      <c r="X388">
        <v>1.245</v>
      </c>
      <c r="Y388">
        <v>0.174133</v>
      </c>
      <c r="Z388">
        <v>0.6758147512864494</v>
      </c>
      <c r="AA388">
        <v>0.4045307443365696</v>
      </c>
      <c r="AB388">
        <v>0.3182552504038772</v>
      </c>
      <c r="AC388">
        <v>0.7059773828756059</v>
      </c>
      <c r="AD388">
        <v>0.6332794830371568</v>
      </c>
    </row>
    <row r="389" spans="1:30">
      <c r="A389" s="1" t="s">
        <v>396</v>
      </c>
      <c r="B389">
        <f>HYPERLINK("https://www.suredividend.com/sure-analysis-INN","Summit Hotel Properties, Inc.")</f>
        <v>0</v>
      </c>
      <c r="C389">
        <v>12.3</v>
      </c>
      <c r="D389">
        <v>1293.5295</v>
      </c>
      <c r="E389" t="s">
        <v>667</v>
      </c>
      <c r="F389" t="s">
        <v>630</v>
      </c>
      <c r="G389" t="s">
        <v>673</v>
      </c>
      <c r="H389" t="s">
        <v>703</v>
      </c>
      <c r="I389" t="s">
        <v>1092</v>
      </c>
      <c r="J389" t="s">
        <v>1309</v>
      </c>
      <c r="K389">
        <v>43800</v>
      </c>
      <c r="L389">
        <v>0.058536585365853</v>
      </c>
      <c r="M389">
        <v>-0.00492634806525849</v>
      </c>
      <c r="N389">
        <v>0.028</v>
      </c>
      <c r="O389">
        <v>0.07445324253258168</v>
      </c>
      <c r="P389" t="s">
        <v>405</v>
      </c>
      <c r="Q389" t="s">
        <v>634</v>
      </c>
      <c r="R389">
        <v>4</v>
      </c>
      <c r="S389">
        <v>0.5853658536585366</v>
      </c>
      <c r="T389">
        <v>12</v>
      </c>
      <c r="U389">
        <v>1.025</v>
      </c>
      <c r="V389">
        <v>0.6154000000000001</v>
      </c>
      <c r="W389">
        <v>1.23</v>
      </c>
      <c r="X389">
        <v>0.72</v>
      </c>
      <c r="Y389">
        <v>0.258956</v>
      </c>
      <c r="Z389">
        <v>0.8267581475128645</v>
      </c>
      <c r="AA389">
        <v>0.5711974110032362</v>
      </c>
      <c r="AB389">
        <v>0.1615508885298869</v>
      </c>
      <c r="AC389">
        <v>0.6728594507269789</v>
      </c>
      <c r="AD389">
        <v>0.6025848142164782</v>
      </c>
    </row>
    <row r="390" spans="1:30">
      <c r="A390" s="1" t="s">
        <v>397</v>
      </c>
      <c r="B390">
        <f>HYPERLINK("https://www.suredividend.com/sure-analysis-WPP","WPP Plc")</f>
        <v>0</v>
      </c>
      <c r="C390">
        <v>68.86</v>
      </c>
      <c r="D390">
        <v>17169.951871</v>
      </c>
      <c r="E390" t="s">
        <v>661</v>
      </c>
      <c r="F390" t="s">
        <v>629</v>
      </c>
      <c r="G390" t="s">
        <v>677</v>
      </c>
      <c r="H390" t="s">
        <v>703</v>
      </c>
      <c r="I390" t="s">
        <v>1093</v>
      </c>
      <c r="J390" t="s">
        <v>1319</v>
      </c>
      <c r="K390">
        <v>43719</v>
      </c>
      <c r="L390">
        <v>0.054490270113273</v>
      </c>
      <c r="M390">
        <v>-0.008448254400956867</v>
      </c>
      <c r="N390">
        <v>0.03</v>
      </c>
      <c r="O390">
        <v>0.07296556091743822</v>
      </c>
      <c r="P390" t="s">
        <v>405</v>
      </c>
      <c r="Q390" t="s">
        <v>634</v>
      </c>
      <c r="R390">
        <v>9</v>
      </c>
      <c r="S390">
        <v>0.6253666666666667</v>
      </c>
      <c r="T390">
        <v>66</v>
      </c>
      <c r="U390">
        <v>1.043333333333333</v>
      </c>
      <c r="V390">
        <v>3.645</v>
      </c>
      <c r="W390">
        <v>6</v>
      </c>
      <c r="X390">
        <v>3.7522</v>
      </c>
      <c r="Y390">
        <v>0.2557</v>
      </c>
      <c r="Z390">
        <v>0.8027444253859347</v>
      </c>
      <c r="AA390">
        <v>0.5647249190938511</v>
      </c>
      <c r="AB390">
        <v>0.2003231017770598</v>
      </c>
      <c r="AC390">
        <v>0.6381260096930533</v>
      </c>
      <c r="AD390">
        <v>0.5848142164781907</v>
      </c>
    </row>
    <row r="391" spans="1:30">
      <c r="A391" s="1" t="s">
        <v>398</v>
      </c>
      <c r="B391">
        <f>HYPERLINK("https://www.suredividend.com/sure-analysis-OKE","ONEOK, Inc.")</f>
        <v>0</v>
      </c>
      <c r="C391">
        <v>75.19</v>
      </c>
      <c r="D391">
        <v>31059.86115</v>
      </c>
      <c r="E391" t="s">
        <v>663</v>
      </c>
      <c r="F391" t="s">
        <v>629</v>
      </c>
      <c r="G391" t="s">
        <v>673</v>
      </c>
      <c r="H391" t="s">
        <v>703</v>
      </c>
      <c r="I391" t="s">
        <v>1094</v>
      </c>
      <c r="J391" t="s">
        <v>1325</v>
      </c>
      <c r="K391">
        <v>43768</v>
      </c>
      <c r="L391">
        <v>0.046149753956643</v>
      </c>
      <c r="M391">
        <v>-0.03784216455851908</v>
      </c>
      <c r="N391">
        <v>0.065</v>
      </c>
      <c r="O391">
        <v>0.07238637376833124</v>
      </c>
      <c r="P391" t="s">
        <v>405</v>
      </c>
      <c r="Q391" t="s">
        <v>494</v>
      </c>
      <c r="R391">
        <v>17</v>
      </c>
      <c r="S391">
        <v>0.7543478260869566</v>
      </c>
      <c r="T391">
        <v>62</v>
      </c>
      <c r="U391">
        <v>1.212741935483871</v>
      </c>
      <c r="V391">
        <v>3.03</v>
      </c>
      <c r="W391">
        <v>4.6</v>
      </c>
      <c r="X391">
        <v>3.47</v>
      </c>
      <c r="Y391">
        <v>0.394991</v>
      </c>
      <c r="Z391">
        <v>0.7307032590051458</v>
      </c>
      <c r="AA391">
        <v>0.7524271844660194</v>
      </c>
      <c r="AB391">
        <v>0.6825525040387723</v>
      </c>
      <c r="AC391">
        <v>0.3812600969305331</v>
      </c>
      <c r="AD391">
        <v>0.5815831987075929</v>
      </c>
    </row>
    <row r="392" spans="1:30">
      <c r="A392" s="1" t="s">
        <v>399</v>
      </c>
      <c r="B392">
        <f>HYPERLINK("https://www.suredividend.com/sure-analysis-TRP","TC Energy Corp.")</f>
        <v>0</v>
      </c>
      <c r="C392">
        <v>53.01</v>
      </c>
      <c r="D392">
        <v>49246.29</v>
      </c>
      <c r="E392" t="s">
        <v>659</v>
      </c>
      <c r="F392" t="s">
        <v>629</v>
      </c>
      <c r="G392" t="s">
        <v>675</v>
      </c>
      <c r="H392" t="s">
        <v>703</v>
      </c>
      <c r="I392" t="s">
        <v>1095</v>
      </c>
      <c r="J392" t="s">
        <v>1325</v>
      </c>
      <c r="K392">
        <v>43798</v>
      </c>
      <c r="L392">
        <v>0.041787200481515</v>
      </c>
      <c r="M392">
        <v>-0.007701181226406284</v>
      </c>
      <c r="N392">
        <v>0.04</v>
      </c>
      <c r="O392">
        <v>0.0711365415787486</v>
      </c>
      <c r="P392" t="s">
        <v>405</v>
      </c>
      <c r="Q392" t="s">
        <v>405</v>
      </c>
      <c r="R392">
        <v>2</v>
      </c>
      <c r="S392">
        <v>0.6922310929766062</v>
      </c>
      <c r="T392">
        <v>51</v>
      </c>
      <c r="U392">
        <v>1.039411764705882</v>
      </c>
      <c r="V392">
        <v>3.2312</v>
      </c>
      <c r="W392">
        <v>3.2</v>
      </c>
      <c r="X392">
        <v>2.21513949752514</v>
      </c>
      <c r="Y392">
        <v>0.442057</v>
      </c>
      <c r="Z392">
        <v>0.6826758147512865</v>
      </c>
      <c r="AA392">
        <v>0.8187702265372168</v>
      </c>
      <c r="AB392">
        <v>0.3182552504038772</v>
      </c>
      <c r="AC392">
        <v>0.6478190630048465</v>
      </c>
      <c r="AD392">
        <v>0.5718901453957996</v>
      </c>
    </row>
    <row r="393" spans="1:30">
      <c r="A393" s="1" t="s">
        <v>400</v>
      </c>
      <c r="B393">
        <f>HYPERLINK("https://www.suredividend.com/sure-analysis-GIS","General Mills, Inc.")</f>
        <v>0</v>
      </c>
      <c r="C393">
        <v>53.28</v>
      </c>
      <c r="D393">
        <v>32224.64976</v>
      </c>
      <c r="E393" t="s">
        <v>659</v>
      </c>
      <c r="F393" t="s">
        <v>629</v>
      </c>
      <c r="G393" t="s">
        <v>673</v>
      </c>
      <c r="H393" t="s">
        <v>703</v>
      </c>
      <c r="I393" t="s">
        <v>1096</v>
      </c>
      <c r="J393" t="s">
        <v>1322</v>
      </c>
      <c r="K393">
        <v>43819</v>
      </c>
      <c r="L393">
        <v>0.03678678678678601</v>
      </c>
      <c r="M393">
        <v>0.01000788009864984</v>
      </c>
      <c r="N393">
        <v>0.03</v>
      </c>
      <c r="O393">
        <v>0.07099626371582168</v>
      </c>
      <c r="P393" t="s">
        <v>405</v>
      </c>
      <c r="Q393" t="s">
        <v>405</v>
      </c>
      <c r="R393">
        <v>0</v>
      </c>
      <c r="S393">
        <v>0.5833333333333334</v>
      </c>
      <c r="T393">
        <v>56</v>
      </c>
      <c r="U393">
        <v>0.9514285714285714</v>
      </c>
      <c r="V393">
        <v>3.4998</v>
      </c>
      <c r="W393">
        <v>3.36</v>
      </c>
      <c r="X393">
        <v>1.96</v>
      </c>
      <c r="Y393">
        <v>0.372842</v>
      </c>
      <c r="Z393">
        <v>0.6123499142367067</v>
      </c>
      <c r="AA393">
        <v>0.7135922330097086</v>
      </c>
      <c r="AB393">
        <v>0.2003231017770598</v>
      </c>
      <c r="AC393">
        <v>0.7883683360258482</v>
      </c>
      <c r="AD393">
        <v>0.5702746365105008</v>
      </c>
    </row>
    <row r="394" spans="1:30">
      <c r="A394" s="1" t="s">
        <v>401</v>
      </c>
      <c r="B394">
        <f>HYPERLINK("https://www.suredividend.com/sure-analysis-MPW","Medical Properties Trust, Inc.")</f>
        <v>0</v>
      </c>
      <c r="C394">
        <v>20.7</v>
      </c>
      <c r="D394">
        <v>10711.008</v>
      </c>
      <c r="E394" t="s">
        <v>667</v>
      </c>
      <c r="F394" t="s">
        <v>630</v>
      </c>
      <c r="G394" t="s">
        <v>673</v>
      </c>
      <c r="H394" t="s">
        <v>703</v>
      </c>
      <c r="I394" t="s">
        <v>1097</v>
      </c>
      <c r="J394" t="s">
        <v>1309</v>
      </c>
      <c r="K394">
        <v>43699</v>
      </c>
      <c r="L394">
        <v>0.04879227053140001</v>
      </c>
      <c r="M394">
        <v>-0.02756533520359794</v>
      </c>
      <c r="N394">
        <v>0.05</v>
      </c>
      <c r="O394">
        <v>0.07023566695800354</v>
      </c>
      <c r="P394" t="s">
        <v>405</v>
      </c>
      <c r="Q394" t="s">
        <v>494</v>
      </c>
      <c r="R394">
        <v>5</v>
      </c>
      <c r="S394">
        <v>0.701388888888889</v>
      </c>
      <c r="T394">
        <v>18</v>
      </c>
      <c r="U394">
        <v>1.15</v>
      </c>
      <c r="V394">
        <v>0.8077000000000001</v>
      </c>
      <c r="W394">
        <v>1.44</v>
      </c>
      <c r="X394">
        <v>1.01</v>
      </c>
      <c r="Y394">
        <v>0.273846</v>
      </c>
      <c r="Z394">
        <v>0.7598627787307032</v>
      </c>
      <c r="AA394">
        <v>0.5938511326860841</v>
      </c>
      <c r="AB394">
        <v>0.4588045234248789</v>
      </c>
      <c r="AC394">
        <v>0.4927302100161551</v>
      </c>
      <c r="AD394">
        <v>0.5638126009693053</v>
      </c>
    </row>
    <row r="395" spans="1:30">
      <c r="A395" s="1" t="s">
        <v>402</v>
      </c>
      <c r="B395">
        <f>HYPERLINK("https://www.suredividend.com/sure-analysis-BXP","Boston Properties, Inc.")</f>
        <v>0</v>
      </c>
      <c r="C395">
        <v>135.78</v>
      </c>
      <c r="D395">
        <v>20994.57516</v>
      </c>
      <c r="E395" t="s">
        <v>667</v>
      </c>
      <c r="F395" t="s">
        <v>630</v>
      </c>
      <c r="G395" t="s">
        <v>673</v>
      </c>
      <c r="H395" t="s">
        <v>703</v>
      </c>
      <c r="I395" t="s">
        <v>1098</v>
      </c>
      <c r="J395" t="s">
        <v>1309</v>
      </c>
      <c r="K395">
        <v>43796</v>
      </c>
      <c r="L395">
        <v>0.027986448666961</v>
      </c>
      <c r="M395">
        <v>-0.001151566524810854</v>
      </c>
      <c r="N395">
        <v>0.044</v>
      </c>
      <c r="O395">
        <v>0.06847254387322832</v>
      </c>
      <c r="P395" t="s">
        <v>405</v>
      </c>
      <c r="Q395" t="s">
        <v>405</v>
      </c>
      <c r="R395">
        <v>3</v>
      </c>
      <c r="S395">
        <v>0.547550432276657</v>
      </c>
      <c r="T395">
        <v>135</v>
      </c>
      <c r="U395">
        <v>1.005777777777778</v>
      </c>
      <c r="V395">
        <v>3.35</v>
      </c>
      <c r="W395">
        <v>6.94</v>
      </c>
      <c r="X395">
        <v>3.8</v>
      </c>
      <c r="Y395">
        <v>0.196616</v>
      </c>
      <c r="Z395">
        <v>0.4665523156089194</v>
      </c>
      <c r="AA395">
        <v>0.4498381877022654</v>
      </c>
      <c r="AB395">
        <v>0.3747980613893377</v>
      </c>
      <c r="AC395">
        <v>0.7011308562197093</v>
      </c>
      <c r="AD395">
        <v>0.5492730210016155</v>
      </c>
    </row>
    <row r="396" spans="1:30">
      <c r="A396" s="1" t="s">
        <v>403</v>
      </c>
      <c r="B396">
        <f>HYPERLINK("https://www.suredividend.com/sure-analysis-PSA","Public Storage")</f>
        <v>0</v>
      </c>
      <c r="C396">
        <v>211.5</v>
      </c>
      <c r="D396">
        <v>36944.82</v>
      </c>
      <c r="E396" t="s">
        <v>667</v>
      </c>
      <c r="F396" t="s">
        <v>630</v>
      </c>
      <c r="G396" t="s">
        <v>673</v>
      </c>
      <c r="H396" t="s">
        <v>703</v>
      </c>
      <c r="I396" t="s">
        <v>1099</v>
      </c>
      <c r="J396" t="s">
        <v>1309</v>
      </c>
      <c r="K396">
        <v>43699</v>
      </c>
      <c r="L396">
        <v>0.03782505910165401</v>
      </c>
      <c r="M396">
        <v>0.003287999579234979</v>
      </c>
      <c r="N396">
        <v>0.03</v>
      </c>
      <c r="O396">
        <v>0.06830432718888235</v>
      </c>
      <c r="P396" t="s">
        <v>405</v>
      </c>
      <c r="Q396" t="s">
        <v>405</v>
      </c>
      <c r="R396">
        <v>9</v>
      </c>
      <c r="S396">
        <v>0.7434944237918216</v>
      </c>
      <c r="T396">
        <v>215</v>
      </c>
      <c r="U396">
        <v>0.9837209302325581</v>
      </c>
      <c r="V396">
        <v>8.475199999999999</v>
      </c>
      <c r="W396">
        <v>10.76</v>
      </c>
      <c r="X396">
        <v>8</v>
      </c>
      <c r="Y396">
        <v>0.04033399999999999</v>
      </c>
      <c r="Z396">
        <v>0.6243567753001715</v>
      </c>
      <c r="AA396">
        <v>0.2022653721682848</v>
      </c>
      <c r="AB396">
        <v>0.2003231017770598</v>
      </c>
      <c r="AC396">
        <v>0.7399030694668821</v>
      </c>
      <c r="AD396">
        <v>0.5460420032310178</v>
      </c>
    </row>
    <row r="397" spans="1:30">
      <c r="A397" s="1" t="s">
        <v>404</v>
      </c>
      <c r="B397">
        <f>HYPERLINK("https://www.suredividend.com/sure-analysis-DLR","Digital Realty Trust, Inc.")</f>
        <v>0</v>
      </c>
      <c r="C397">
        <v>118.02</v>
      </c>
      <c r="D397">
        <v>24633.1344</v>
      </c>
      <c r="E397" t="s">
        <v>658</v>
      </c>
      <c r="F397" t="s">
        <v>630</v>
      </c>
      <c r="G397" t="s">
        <v>673</v>
      </c>
      <c r="H397" t="s">
        <v>703</v>
      </c>
      <c r="I397" t="s">
        <v>1100</v>
      </c>
      <c r="J397" t="s">
        <v>1309</v>
      </c>
      <c r="K397">
        <v>43768</v>
      </c>
      <c r="L397">
        <v>0.036010845619386</v>
      </c>
      <c r="M397">
        <v>-0.03453637277528165</v>
      </c>
      <c r="N397">
        <v>0.07000000000000001</v>
      </c>
      <c r="O397">
        <v>0.06822391639735836</v>
      </c>
      <c r="P397" t="s">
        <v>405</v>
      </c>
      <c r="Q397" t="s">
        <v>494</v>
      </c>
      <c r="R397">
        <v>15</v>
      </c>
      <c r="S397">
        <v>0.6390977443609023</v>
      </c>
      <c r="T397">
        <v>99</v>
      </c>
      <c r="U397">
        <v>1.192121212121212</v>
      </c>
      <c r="V397">
        <v>1.0013</v>
      </c>
      <c r="W397">
        <v>6.65</v>
      </c>
      <c r="X397">
        <v>4.25</v>
      </c>
      <c r="Y397">
        <v>0.112347</v>
      </c>
      <c r="Z397">
        <v>0.5969125214408233</v>
      </c>
      <c r="AA397">
        <v>0.2961165048543689</v>
      </c>
      <c r="AB397">
        <v>0.7245557350565428</v>
      </c>
      <c r="AC397">
        <v>0.4071082390953151</v>
      </c>
      <c r="AD397">
        <v>0.5444264943457189</v>
      </c>
    </row>
    <row r="398" spans="1:30">
      <c r="A398" s="1" t="s">
        <v>405</v>
      </c>
      <c r="B398">
        <f>HYPERLINK("https://www.suredividend.com/sure-analysis-D","Dominion Energy, Inc.")</f>
        <v>0</v>
      </c>
      <c r="C398">
        <v>82.31999999999999</v>
      </c>
      <c r="D398">
        <v>67757.01575999999</v>
      </c>
      <c r="E398" t="s">
        <v>662</v>
      </c>
      <c r="F398" t="s">
        <v>629</v>
      </c>
      <c r="G398" t="s">
        <v>673</v>
      </c>
      <c r="H398" t="s">
        <v>703</v>
      </c>
      <c r="I398" t="s">
        <v>1101</v>
      </c>
      <c r="J398" t="s">
        <v>1321</v>
      </c>
      <c r="K398">
        <v>43717</v>
      </c>
      <c r="L398">
        <v>0.043579931972789</v>
      </c>
      <c r="M398">
        <v>-0.0319037549033041</v>
      </c>
      <c r="N398">
        <v>0.058</v>
      </c>
      <c r="O398">
        <v>0.06805820293931952</v>
      </c>
      <c r="P398" t="s">
        <v>405</v>
      </c>
      <c r="Q398" t="s">
        <v>405</v>
      </c>
      <c r="R398">
        <v>16</v>
      </c>
      <c r="S398">
        <v>0.8481087470449171</v>
      </c>
      <c r="T398">
        <v>70</v>
      </c>
      <c r="U398">
        <v>1.176</v>
      </c>
      <c r="V398">
        <v>1.37</v>
      </c>
      <c r="W398">
        <v>4.23</v>
      </c>
      <c r="X398">
        <v>3.5875</v>
      </c>
      <c r="Y398">
        <v>0.09921199999999999</v>
      </c>
      <c r="Z398">
        <v>0.7066895368782161</v>
      </c>
      <c r="AA398">
        <v>0.2831715210355987</v>
      </c>
      <c r="AB398">
        <v>0.5581583198707594</v>
      </c>
      <c r="AC398">
        <v>0.444264943457189</v>
      </c>
      <c r="AD398">
        <v>0.5411954765751211</v>
      </c>
    </row>
    <row r="399" spans="1:30">
      <c r="A399" s="1" t="s">
        <v>406</v>
      </c>
      <c r="B399">
        <f>HYPERLINK("https://www.suredividend.com/sure-analysis-LAMR","Lamar Advertising Co.")</f>
        <v>0</v>
      </c>
      <c r="C399">
        <v>88.40000000000001</v>
      </c>
      <c r="D399">
        <v>8878.107914</v>
      </c>
      <c r="E399" t="s">
        <v>667</v>
      </c>
      <c r="F399" t="s">
        <v>630</v>
      </c>
      <c r="G399" t="s">
        <v>673</v>
      </c>
      <c r="H399" t="s">
        <v>704</v>
      </c>
      <c r="I399" t="s">
        <v>1102</v>
      </c>
      <c r="J399" t="s">
        <v>1309</v>
      </c>
      <c r="K399">
        <v>43699</v>
      </c>
      <c r="L399">
        <v>0.042986425339366</v>
      </c>
      <c r="M399">
        <v>-0.03234220446957825</v>
      </c>
      <c r="N399">
        <v>0.06</v>
      </c>
      <c r="O399">
        <v>0.06777177351619335</v>
      </c>
      <c r="P399" t="s">
        <v>405</v>
      </c>
      <c r="Q399" t="s">
        <v>494</v>
      </c>
      <c r="R399">
        <v>6</v>
      </c>
      <c r="S399">
        <v>0.6608695652173913</v>
      </c>
      <c r="T399">
        <v>75</v>
      </c>
      <c r="U399">
        <v>1.178666666666667</v>
      </c>
      <c r="V399">
        <v>3.65</v>
      </c>
      <c r="W399">
        <v>5.75</v>
      </c>
      <c r="X399">
        <v>3.8</v>
      </c>
      <c r="Y399">
        <v>0.3106</v>
      </c>
      <c r="Z399">
        <v>0.6946826758147513</v>
      </c>
      <c r="AA399">
        <v>0.6407766990291262</v>
      </c>
      <c r="AB399">
        <v>0.6130856219709209</v>
      </c>
      <c r="AC399">
        <v>0.4361873990306947</v>
      </c>
      <c r="AD399">
        <v>0.5363489499192245</v>
      </c>
    </row>
    <row r="400" spans="1:30">
      <c r="A400" s="1" t="s">
        <v>407</v>
      </c>
      <c r="B400">
        <f>HYPERLINK("https://www.suredividend.com/sure-analysis-STAG","STAG Industrial, Inc.")</f>
        <v>0</v>
      </c>
      <c r="C400">
        <v>31.4</v>
      </c>
      <c r="D400">
        <v>4292.986554</v>
      </c>
      <c r="E400" t="s">
        <v>659</v>
      </c>
      <c r="F400" t="s">
        <v>630</v>
      </c>
      <c r="G400" t="s">
        <v>673</v>
      </c>
      <c r="H400" t="s">
        <v>703</v>
      </c>
      <c r="I400" t="s">
        <v>1103</v>
      </c>
      <c r="J400" t="s">
        <v>1309</v>
      </c>
      <c r="K400">
        <v>43777</v>
      </c>
      <c r="L400">
        <v>0.04546184713375701</v>
      </c>
      <c r="M400">
        <v>-0.02974291389767481</v>
      </c>
      <c r="N400">
        <v>0.06</v>
      </c>
      <c r="O400">
        <v>0.06731706880480171</v>
      </c>
      <c r="P400" t="s">
        <v>405</v>
      </c>
      <c r="Q400" t="s">
        <v>405</v>
      </c>
      <c r="R400">
        <v>9</v>
      </c>
      <c r="S400">
        <v>0.780055737704918</v>
      </c>
      <c r="T400">
        <v>27</v>
      </c>
      <c r="U400">
        <v>1.162962962962963</v>
      </c>
      <c r="W400">
        <v>1.83</v>
      </c>
      <c r="X400">
        <v>1.427502</v>
      </c>
      <c r="Y400">
        <v>0.290058</v>
      </c>
      <c r="Z400">
        <v>0.7204116638078902</v>
      </c>
      <c r="AA400">
        <v>0.6197411003236246</v>
      </c>
      <c r="AB400">
        <v>0.6130856219709209</v>
      </c>
      <c r="AC400">
        <v>0.4620355411954765</v>
      </c>
      <c r="AD400">
        <v>0.5331179321486268</v>
      </c>
    </row>
    <row r="401" spans="1:30">
      <c r="A401" s="1" t="s">
        <v>408</v>
      </c>
      <c r="B401">
        <f>HYPERLINK("https://www.suredividend.com/sure-analysis-TXN","Texas Instruments Incorporated")</f>
        <v>0</v>
      </c>
      <c r="C401">
        <v>128.95</v>
      </c>
      <c r="D401">
        <v>120539.23625</v>
      </c>
      <c r="E401" t="s">
        <v>663</v>
      </c>
      <c r="F401" t="s">
        <v>629</v>
      </c>
      <c r="G401" t="s">
        <v>673</v>
      </c>
      <c r="H401" t="s">
        <v>704</v>
      </c>
      <c r="I401" t="s">
        <v>1104</v>
      </c>
      <c r="J401" t="s">
        <v>1308</v>
      </c>
      <c r="K401">
        <v>43761</v>
      </c>
      <c r="L401">
        <v>0.02489336952307</v>
      </c>
      <c r="M401">
        <v>-0.04768635850484793</v>
      </c>
      <c r="N401">
        <v>0.09</v>
      </c>
      <c r="O401">
        <v>0.06606175477777088</v>
      </c>
      <c r="P401" t="s">
        <v>405</v>
      </c>
      <c r="Q401" t="s">
        <v>405</v>
      </c>
      <c r="R401">
        <v>15</v>
      </c>
      <c r="S401">
        <v>0.6056603773584905</v>
      </c>
      <c r="T401">
        <v>101</v>
      </c>
      <c r="U401">
        <v>1.276732673267327</v>
      </c>
      <c r="V401">
        <v>5.4744</v>
      </c>
      <c r="W401">
        <v>5.3</v>
      </c>
      <c r="X401">
        <v>3.21</v>
      </c>
      <c r="Y401">
        <v>0.42628</v>
      </c>
      <c r="Z401">
        <v>0.4030874785591766</v>
      </c>
      <c r="AA401">
        <v>0.8009708737864077</v>
      </c>
      <c r="AB401">
        <v>0.8877221324717286</v>
      </c>
      <c r="AC401">
        <v>0.2988691437802908</v>
      </c>
      <c r="AD401">
        <v>0.531502423263328</v>
      </c>
    </row>
    <row r="402" spans="1:30">
      <c r="A402" s="1" t="s">
        <v>409</v>
      </c>
      <c r="B402">
        <f>HYPERLINK("https://www.suredividend.com/sure-analysis-GSK","GlaxoSmithKline Plc")</f>
        <v>0</v>
      </c>
      <c r="C402">
        <v>47.32</v>
      </c>
      <c r="D402">
        <v>117167.1592</v>
      </c>
      <c r="E402" t="s">
        <v>660</v>
      </c>
      <c r="F402" t="s">
        <v>629</v>
      </c>
      <c r="G402" t="s">
        <v>677</v>
      </c>
      <c r="H402" t="s">
        <v>703</v>
      </c>
      <c r="I402" t="s">
        <v>1105</v>
      </c>
      <c r="J402" t="s">
        <v>1315</v>
      </c>
      <c r="K402">
        <v>43769</v>
      </c>
      <c r="L402">
        <v>0.042252895181741</v>
      </c>
      <c r="M402">
        <v>-0.005642350334195245</v>
      </c>
      <c r="N402">
        <v>0.03</v>
      </c>
      <c r="O402">
        <v>0.06563680224373214</v>
      </c>
      <c r="P402" t="s">
        <v>405</v>
      </c>
      <c r="Q402" t="s">
        <v>405</v>
      </c>
      <c r="R402">
        <v>0</v>
      </c>
      <c r="S402">
        <v>0.6534009803921569</v>
      </c>
      <c r="T402">
        <v>46</v>
      </c>
      <c r="U402">
        <v>1.028695652173913</v>
      </c>
      <c r="V402">
        <v>2.347</v>
      </c>
      <c r="W402">
        <v>3.06</v>
      </c>
      <c r="X402">
        <v>1.999407</v>
      </c>
      <c r="Y402">
        <v>0.2472</v>
      </c>
      <c r="Z402">
        <v>0.6843910806174957</v>
      </c>
      <c r="AA402">
        <v>0.5501618122977346</v>
      </c>
      <c r="AB402">
        <v>0.2003231017770598</v>
      </c>
      <c r="AC402">
        <v>0.6639741518578351</v>
      </c>
      <c r="AD402">
        <v>0.5250403877221325</v>
      </c>
    </row>
    <row r="403" spans="1:30">
      <c r="A403" s="1" t="s">
        <v>410</v>
      </c>
      <c r="B403">
        <f>HYPERLINK("https://www.suredividend.com/sure-analysis-WDR","Waddell &amp; Reed Financial, Inc.")</f>
        <v>0</v>
      </c>
      <c r="C403">
        <v>16.81</v>
      </c>
      <c r="D403">
        <v>1182.132992</v>
      </c>
      <c r="E403" t="s">
        <v>657</v>
      </c>
      <c r="F403" t="s">
        <v>629</v>
      </c>
      <c r="G403" t="s">
        <v>673</v>
      </c>
      <c r="H403" t="s">
        <v>703</v>
      </c>
      <c r="I403" t="s">
        <v>1106</v>
      </c>
      <c r="J403" t="s">
        <v>1309</v>
      </c>
      <c r="K403">
        <v>43782</v>
      </c>
      <c r="L403">
        <v>0.05948839976204601</v>
      </c>
      <c r="M403">
        <v>0.02479542402078239</v>
      </c>
      <c r="N403">
        <v>-0.01</v>
      </c>
      <c r="O403">
        <v>0.06534801079014141</v>
      </c>
      <c r="P403" t="s">
        <v>405</v>
      </c>
      <c r="Q403" t="s">
        <v>634</v>
      </c>
      <c r="R403">
        <v>0</v>
      </c>
      <c r="S403">
        <v>0.5882352941176471</v>
      </c>
      <c r="T403">
        <v>19</v>
      </c>
      <c r="U403">
        <v>0.884736842105263</v>
      </c>
      <c r="V403">
        <v>1.9286</v>
      </c>
      <c r="W403">
        <v>1.7</v>
      </c>
      <c r="X403">
        <v>1</v>
      </c>
      <c r="Y403">
        <v>-0.02381</v>
      </c>
      <c r="Z403">
        <v>0.8301886792452831</v>
      </c>
      <c r="AA403">
        <v>0.1456310679611651</v>
      </c>
      <c r="AB403">
        <v>0.01696284329563813</v>
      </c>
      <c r="AC403">
        <v>0.8949919224555736</v>
      </c>
      <c r="AD403">
        <v>0.5218093699515347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41.22</v>
      </c>
      <c r="D404">
        <v>31797.9324</v>
      </c>
      <c r="E404" t="s">
        <v>658</v>
      </c>
      <c r="F404" t="s">
        <v>629</v>
      </c>
      <c r="G404" t="s">
        <v>676</v>
      </c>
      <c r="H404" t="s">
        <v>703</v>
      </c>
      <c r="I404" t="s">
        <v>1107</v>
      </c>
      <c r="J404" t="s">
        <v>1319</v>
      </c>
      <c r="K404">
        <v>43780</v>
      </c>
      <c r="L404">
        <v>0.025230470645317</v>
      </c>
      <c r="M404">
        <v>-0.04350833365869855</v>
      </c>
      <c r="N404">
        <v>0.09</v>
      </c>
      <c r="O404">
        <v>0.06488857561810057</v>
      </c>
      <c r="P404" t="s">
        <v>405</v>
      </c>
      <c r="Q404" t="s">
        <v>382</v>
      </c>
      <c r="R404">
        <v>1</v>
      </c>
      <c r="S404">
        <v>0.5360824742268041</v>
      </c>
      <c r="T404">
        <v>33</v>
      </c>
      <c r="U404">
        <v>1.249090909090909</v>
      </c>
      <c r="V404">
        <v>0.5784</v>
      </c>
      <c r="W404">
        <v>1.94</v>
      </c>
      <c r="X404">
        <v>1.04</v>
      </c>
      <c r="Y404">
        <v>0.398711</v>
      </c>
      <c r="Z404">
        <v>0.4082332761578044</v>
      </c>
      <c r="AA404">
        <v>0.7556634304207119</v>
      </c>
      <c r="AB404">
        <v>0.8877221324717286</v>
      </c>
      <c r="AC404">
        <v>0.3441033925686591</v>
      </c>
      <c r="AD404">
        <v>0.518578352180937</v>
      </c>
    </row>
    <row r="405" spans="1:30">
      <c r="A405" s="1" t="s">
        <v>412</v>
      </c>
      <c r="B405">
        <f>HYPERLINK("https://www.suredividend.com/sure-analysis-DUK","Duke Energy Corp.")</f>
        <v>0</v>
      </c>
      <c r="C405">
        <v>90.62</v>
      </c>
      <c r="D405">
        <v>66404.79545999999</v>
      </c>
      <c r="E405" t="s">
        <v>667</v>
      </c>
      <c r="F405" t="s">
        <v>629</v>
      </c>
      <c r="G405" t="s">
        <v>673</v>
      </c>
      <c r="H405" t="s">
        <v>703</v>
      </c>
      <c r="I405" t="s">
        <v>1108</v>
      </c>
      <c r="J405" t="s">
        <v>1321</v>
      </c>
      <c r="K405">
        <v>43797</v>
      </c>
      <c r="L405">
        <v>0.041133303906422</v>
      </c>
      <c r="M405">
        <v>-0.01272310470690119</v>
      </c>
      <c r="N405">
        <v>0.04</v>
      </c>
      <c r="O405">
        <v>0.06475949307348294</v>
      </c>
      <c r="P405" t="s">
        <v>405</v>
      </c>
      <c r="Q405" t="s">
        <v>494</v>
      </c>
      <c r="R405">
        <v>14</v>
      </c>
      <c r="S405">
        <v>0.7455000000000001</v>
      </c>
      <c r="T405">
        <v>85</v>
      </c>
      <c r="U405">
        <v>1.066117647058824</v>
      </c>
      <c r="V405">
        <v>4.8346</v>
      </c>
      <c r="W405">
        <v>5</v>
      </c>
      <c r="X405">
        <v>3.7275</v>
      </c>
      <c r="Y405">
        <v>0.033649</v>
      </c>
      <c r="Z405">
        <v>0.6723842195540308</v>
      </c>
      <c r="AA405">
        <v>0.1957928802588997</v>
      </c>
      <c r="AB405">
        <v>0.3182552504038772</v>
      </c>
      <c r="AC405">
        <v>0.6122778675282714</v>
      </c>
      <c r="AD405">
        <v>0.5153473344103393</v>
      </c>
    </row>
    <row r="406" spans="1:30">
      <c r="A406" s="1" t="s">
        <v>413</v>
      </c>
      <c r="B406">
        <f>HYPERLINK("https://www.suredividend.com/sure-analysis-INFY","Infosys Ltd.")</f>
        <v>0</v>
      </c>
      <c r="C406">
        <v>10.29</v>
      </c>
      <c r="D406">
        <v>44195.9616</v>
      </c>
      <c r="E406" t="s">
        <v>663</v>
      </c>
      <c r="F406" t="s">
        <v>629</v>
      </c>
      <c r="G406" t="s">
        <v>696</v>
      </c>
      <c r="H406" t="s">
        <v>703</v>
      </c>
      <c r="I406" t="s">
        <v>1109</v>
      </c>
      <c r="J406" t="s">
        <v>1320</v>
      </c>
      <c r="K406">
        <v>43757</v>
      </c>
      <c r="L406">
        <v>0.030991253644314</v>
      </c>
      <c r="M406">
        <v>-0.0307998794631017</v>
      </c>
      <c r="N406">
        <v>0.07000000000000001</v>
      </c>
      <c r="O406">
        <v>0.06413343450481479</v>
      </c>
      <c r="P406" t="s">
        <v>405</v>
      </c>
      <c r="Q406" t="s">
        <v>405</v>
      </c>
      <c r="R406">
        <v>5</v>
      </c>
      <c r="S406">
        <v>0.5905555555555555</v>
      </c>
      <c r="T406">
        <v>8.800000000000001</v>
      </c>
      <c r="U406">
        <v>1.169318181818182</v>
      </c>
      <c r="V406">
        <v>0.5093</v>
      </c>
      <c r="W406">
        <v>0.54</v>
      </c>
      <c r="X406">
        <v>0.3189</v>
      </c>
      <c r="Y406">
        <v>0.0426</v>
      </c>
      <c r="Z406">
        <v>0.5248713550600344</v>
      </c>
      <c r="AA406">
        <v>0.2071197411003236</v>
      </c>
      <c r="AB406">
        <v>0.7245557350565428</v>
      </c>
      <c r="AC406">
        <v>0.4523424878836833</v>
      </c>
      <c r="AD406">
        <v>0.5121163166397416</v>
      </c>
    </row>
    <row r="407" spans="1:30">
      <c r="A407" s="1" t="s">
        <v>414</v>
      </c>
      <c r="B407">
        <f>HYPERLINK("https://www.suredividend.com/sure-analysis-UL","Unilever Plc")</f>
        <v>0</v>
      </c>
      <c r="C407">
        <v>56.75</v>
      </c>
      <c r="D407">
        <v>65945.530856</v>
      </c>
      <c r="E407" t="s">
        <v>659</v>
      </c>
      <c r="F407" t="s">
        <v>629</v>
      </c>
      <c r="G407" t="s">
        <v>677</v>
      </c>
      <c r="H407" t="s">
        <v>703</v>
      </c>
      <c r="I407" t="s">
        <v>1110</v>
      </c>
      <c r="J407" t="s">
        <v>1322</v>
      </c>
      <c r="K407">
        <v>43794</v>
      </c>
      <c r="L407">
        <v>0.031603524229074</v>
      </c>
      <c r="M407">
        <v>-0.01733045727506199</v>
      </c>
      <c r="N407">
        <v>0.05</v>
      </c>
      <c r="O407">
        <v>0.06356952672034333</v>
      </c>
      <c r="P407" t="s">
        <v>405</v>
      </c>
      <c r="Q407" t="s">
        <v>405</v>
      </c>
      <c r="R407">
        <v>2</v>
      </c>
      <c r="S407">
        <v>0.618448275862069</v>
      </c>
      <c r="T407">
        <v>52</v>
      </c>
      <c r="U407">
        <v>1.091346153846154</v>
      </c>
      <c r="V407">
        <v>4.0448</v>
      </c>
      <c r="W407">
        <v>2.9</v>
      </c>
      <c r="X407">
        <v>1.7935</v>
      </c>
      <c r="Y407">
        <v>0.0371</v>
      </c>
      <c r="Z407">
        <v>0.5368782161234992</v>
      </c>
      <c r="AA407">
        <v>0.1990291262135923</v>
      </c>
      <c r="AB407">
        <v>0.4588045234248789</v>
      </c>
      <c r="AC407">
        <v>0.5783521809369951</v>
      </c>
      <c r="AD407">
        <v>0.5072697899838449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6.94</v>
      </c>
      <c r="D408">
        <v>27575.355956</v>
      </c>
      <c r="E408" t="s">
        <v>671</v>
      </c>
      <c r="F408" t="s">
        <v>629</v>
      </c>
      <c r="G408" t="s">
        <v>688</v>
      </c>
      <c r="H408" t="s">
        <v>705</v>
      </c>
      <c r="I408" t="s">
        <v>1111</v>
      </c>
      <c r="J408" t="s">
        <v>1309</v>
      </c>
      <c r="K408">
        <v>43789</v>
      </c>
      <c r="L408">
        <v>0.071123919308357</v>
      </c>
      <c r="M408">
        <v>-0.01668595664154726</v>
      </c>
      <c r="N408">
        <v>0.015</v>
      </c>
      <c r="O408">
        <v>0.06303690185101463</v>
      </c>
      <c r="P408" t="s">
        <v>405</v>
      </c>
      <c r="Q408" t="s">
        <v>634</v>
      </c>
      <c r="R408">
        <v>0</v>
      </c>
      <c r="S408">
        <v>0.6581333333333333</v>
      </c>
      <c r="T408">
        <v>6.38</v>
      </c>
      <c r="U408">
        <v>1.087774294670846</v>
      </c>
      <c r="V408">
        <v>0.8797</v>
      </c>
      <c r="W408">
        <v>0.75</v>
      </c>
      <c r="X408">
        <v>0.4936</v>
      </c>
      <c r="Y408">
        <v>0.0073</v>
      </c>
      <c r="Z408">
        <v>0.888507718696398</v>
      </c>
      <c r="AA408">
        <v>0.1779935275080906</v>
      </c>
      <c r="AB408">
        <v>0.07592891760904685</v>
      </c>
      <c r="AC408">
        <v>0.5831987075928917</v>
      </c>
      <c r="AD408">
        <v>0.5008077544426495</v>
      </c>
    </row>
    <row r="409" spans="1:30">
      <c r="A409" s="1" t="s">
        <v>416</v>
      </c>
      <c r="B409">
        <f>HYPERLINK("https://www.suredividend.com/sure-analysis-PPRQF","Choice Properties Real Estate Investment Trust")</f>
        <v>0</v>
      </c>
      <c r="C409">
        <v>10.44</v>
      </c>
      <c r="D409">
        <v>7310.586855</v>
      </c>
      <c r="E409" t="s">
        <v>671</v>
      </c>
      <c r="F409" t="s">
        <v>630</v>
      </c>
      <c r="G409" t="s">
        <v>675</v>
      </c>
      <c r="H409" t="s">
        <v>705</v>
      </c>
      <c r="I409" t="s">
        <v>1112</v>
      </c>
      <c r="J409" t="s">
        <v>1309</v>
      </c>
      <c r="K409">
        <v>43664</v>
      </c>
      <c r="L409">
        <v>0.05341099654493901</v>
      </c>
      <c r="M409">
        <v>-0.01459616729575852</v>
      </c>
      <c r="N409">
        <v>0.027</v>
      </c>
      <c r="O409">
        <v>0.06297067373051712</v>
      </c>
      <c r="P409" t="s">
        <v>405</v>
      </c>
      <c r="Q409" t="s">
        <v>494</v>
      </c>
      <c r="R409">
        <v>4</v>
      </c>
      <c r="S409">
        <v>0.6970135049114551</v>
      </c>
      <c r="T409">
        <v>9.699999999999999</v>
      </c>
      <c r="U409">
        <v>1.076288659793814</v>
      </c>
      <c r="V409">
        <v>-0.6687000000000001</v>
      </c>
      <c r="W409">
        <v>0.8</v>
      </c>
      <c r="X409">
        <v>0.5576108039291641</v>
      </c>
      <c r="Y409">
        <v>0.212626</v>
      </c>
      <c r="Z409">
        <v>0.7958833619210978</v>
      </c>
      <c r="AA409">
        <v>0.4838187702265372</v>
      </c>
      <c r="AB409">
        <v>0.1567043618739903</v>
      </c>
      <c r="AC409">
        <v>0.6009693053311793</v>
      </c>
      <c r="AD409">
        <v>0.4991922455573505</v>
      </c>
    </row>
    <row r="410" spans="1:30">
      <c r="A410" s="1" t="s">
        <v>417</v>
      </c>
      <c r="B410">
        <f>HYPERLINK("https://www.suredividend.com/sure-analysis-HST","Host Hotels &amp; Resorts, Inc.")</f>
        <v>0</v>
      </c>
      <c r="C410">
        <v>18.71</v>
      </c>
      <c r="D410">
        <v>13418.40038</v>
      </c>
      <c r="E410" t="s">
        <v>659</v>
      </c>
      <c r="F410" t="s">
        <v>630</v>
      </c>
      <c r="G410" t="s">
        <v>673</v>
      </c>
      <c r="H410" t="s">
        <v>703</v>
      </c>
      <c r="I410" t="s">
        <v>1113</v>
      </c>
      <c r="J410" t="s">
        <v>1309</v>
      </c>
      <c r="K410">
        <v>43783</v>
      </c>
      <c r="L410">
        <v>0.042757883484767</v>
      </c>
      <c r="M410">
        <v>0.00308090403544603</v>
      </c>
      <c r="N410">
        <v>0.02</v>
      </c>
      <c r="O410">
        <v>0.06197917571194966</v>
      </c>
      <c r="P410" t="s">
        <v>405</v>
      </c>
      <c r="Q410" t="s">
        <v>634</v>
      </c>
      <c r="R410">
        <v>0</v>
      </c>
      <c r="S410">
        <v>0.4545454545454546</v>
      </c>
      <c r="T410">
        <v>19</v>
      </c>
      <c r="U410">
        <v>0.9847368421052632</v>
      </c>
      <c r="V410">
        <v>1.5546</v>
      </c>
      <c r="W410">
        <v>1.76</v>
      </c>
      <c r="X410">
        <v>0.8</v>
      </c>
      <c r="Y410">
        <v>0.131197</v>
      </c>
      <c r="Z410">
        <v>0.6895368782161235</v>
      </c>
      <c r="AA410">
        <v>0.3220064724919094</v>
      </c>
      <c r="AB410">
        <v>0.1219709208400646</v>
      </c>
      <c r="AC410">
        <v>0.7366720516962844</v>
      </c>
      <c r="AD410">
        <v>0.4894991922455574</v>
      </c>
    </row>
    <row r="411" spans="1:30">
      <c r="A411" s="1" t="s">
        <v>418</v>
      </c>
      <c r="B411">
        <f>HYPERLINK("https://www.suredividend.com/sure-analysis-STOR","STORE Capital Corp.")</f>
        <v>0</v>
      </c>
      <c r="C411">
        <v>37.13</v>
      </c>
      <c r="D411">
        <v>8718.27252</v>
      </c>
      <c r="E411" t="s">
        <v>667</v>
      </c>
      <c r="F411" t="s">
        <v>630</v>
      </c>
      <c r="G411" t="s">
        <v>673</v>
      </c>
      <c r="H411" t="s">
        <v>703</v>
      </c>
      <c r="I411" t="s">
        <v>1114</v>
      </c>
      <c r="J411" t="s">
        <v>1309</v>
      </c>
      <c r="K411">
        <v>43733</v>
      </c>
      <c r="L411">
        <v>0.03608941556692701</v>
      </c>
      <c r="M411">
        <v>-0.02330762293384014</v>
      </c>
      <c r="N411">
        <v>0.05</v>
      </c>
      <c r="O411">
        <v>0.06086439707899594</v>
      </c>
      <c r="P411" t="s">
        <v>405</v>
      </c>
      <c r="Q411" t="s">
        <v>405</v>
      </c>
      <c r="R411">
        <v>4</v>
      </c>
      <c r="S411">
        <v>0.6943005181347151</v>
      </c>
      <c r="T411">
        <v>33</v>
      </c>
      <c r="U411">
        <v>1.125151515151515</v>
      </c>
      <c r="V411">
        <v>1.245</v>
      </c>
      <c r="W411">
        <v>1.93</v>
      </c>
      <c r="X411">
        <v>1.34</v>
      </c>
      <c r="Y411">
        <v>0.278141</v>
      </c>
      <c r="Z411">
        <v>0.5986277873070326</v>
      </c>
      <c r="AA411">
        <v>0.598705501618123</v>
      </c>
      <c r="AB411">
        <v>0.4588045234248789</v>
      </c>
      <c r="AC411">
        <v>0.531502423263328</v>
      </c>
      <c r="AD411">
        <v>0.481421647819063</v>
      </c>
    </row>
    <row r="412" spans="1:30">
      <c r="A412" s="1" t="s">
        <v>419</v>
      </c>
      <c r="B412">
        <f>HYPERLINK("https://www.suredividend.com/sure-analysis-KHC","The Kraft Heinz Co.")</f>
        <v>0</v>
      </c>
      <c r="C412">
        <v>32.22</v>
      </c>
      <c r="D412">
        <v>39345.7752</v>
      </c>
      <c r="E412" t="s">
        <v>663</v>
      </c>
      <c r="F412" t="s">
        <v>629</v>
      </c>
      <c r="G412" t="s">
        <v>673</v>
      </c>
      <c r="H412" t="s">
        <v>704</v>
      </c>
      <c r="I412" t="s">
        <v>1115</v>
      </c>
      <c r="J412" t="s">
        <v>1322</v>
      </c>
      <c r="K412">
        <v>43782</v>
      </c>
      <c r="L412">
        <v>0.05664183736809401</v>
      </c>
      <c r="M412">
        <v>-0.02083813158549364</v>
      </c>
      <c r="N412">
        <v>0.033</v>
      </c>
      <c r="O412">
        <v>0.06077622787270553</v>
      </c>
      <c r="P412" t="s">
        <v>405</v>
      </c>
      <c r="Q412" t="s">
        <v>494</v>
      </c>
      <c r="R412">
        <v>4</v>
      </c>
      <c r="S412">
        <v>0.6809701492537313</v>
      </c>
      <c r="T412">
        <v>29</v>
      </c>
      <c r="U412">
        <v>1.111034482758621</v>
      </c>
      <c r="V412">
        <v>-8.9057</v>
      </c>
      <c r="W412">
        <v>2.68</v>
      </c>
      <c r="X412">
        <v>1.825</v>
      </c>
      <c r="Y412">
        <v>-0.268558</v>
      </c>
      <c r="Z412">
        <v>0.8198970840480274</v>
      </c>
      <c r="AA412">
        <v>0.04045307443365696</v>
      </c>
      <c r="AB412">
        <v>0.2374798061389337</v>
      </c>
      <c r="AC412">
        <v>0.555735056542811</v>
      </c>
      <c r="AD412">
        <v>0.4798061389337642</v>
      </c>
    </row>
    <row r="413" spans="1:30">
      <c r="A413" s="1" t="s">
        <v>420</v>
      </c>
      <c r="B413">
        <f>HYPERLINK("https://www.suredividend.com/sure-analysis-RCI","Rogers Communications, Inc.")</f>
        <v>0</v>
      </c>
      <c r="C413">
        <v>49.25</v>
      </c>
      <c r="D413">
        <v>25147.09925</v>
      </c>
      <c r="E413" t="s">
        <v>659</v>
      </c>
      <c r="F413" t="s">
        <v>629</v>
      </c>
      <c r="G413" t="s">
        <v>675</v>
      </c>
      <c r="H413" t="s">
        <v>703</v>
      </c>
      <c r="I413" t="s">
        <v>1116</v>
      </c>
      <c r="J413" t="s">
        <v>1318</v>
      </c>
      <c r="K413">
        <v>43763</v>
      </c>
      <c r="L413">
        <v>0.030292464422807</v>
      </c>
      <c r="M413">
        <v>-0.009308755944702374</v>
      </c>
      <c r="N413">
        <v>0.04</v>
      </c>
      <c r="O413">
        <v>0.05832475079528043</v>
      </c>
      <c r="P413" t="s">
        <v>405</v>
      </c>
      <c r="Q413" t="s">
        <v>405</v>
      </c>
      <c r="R413">
        <v>0</v>
      </c>
      <c r="S413">
        <v>0.473620277086746</v>
      </c>
      <c r="T413">
        <v>47</v>
      </c>
      <c r="U413">
        <v>1.047872340425532</v>
      </c>
      <c r="V413">
        <v>3.0521</v>
      </c>
      <c r="W413">
        <v>3.15</v>
      </c>
      <c r="X413">
        <v>1.49190387282325</v>
      </c>
      <c r="Y413">
        <v>-0.027449</v>
      </c>
      <c r="Z413">
        <v>0.516295025728988</v>
      </c>
      <c r="AA413">
        <v>0.1391585760517799</v>
      </c>
      <c r="AB413">
        <v>0.3182552504038772</v>
      </c>
      <c r="AC413">
        <v>0.6316639741518578</v>
      </c>
      <c r="AD413">
        <v>0.4668820678513732</v>
      </c>
    </row>
    <row r="414" spans="1:30">
      <c r="A414" s="1" t="s">
        <v>421</v>
      </c>
      <c r="B414">
        <f>HYPERLINK("https://www.suredividend.com/sure-analysis-QSR","Restaurant Brands International, Inc.")</f>
        <v>0</v>
      </c>
      <c r="C414">
        <v>64.86</v>
      </c>
      <c r="D414">
        <v>30071.938295</v>
      </c>
      <c r="E414" t="s">
        <v>659</v>
      </c>
      <c r="F414" t="s">
        <v>629</v>
      </c>
      <c r="G414" t="s">
        <v>675</v>
      </c>
      <c r="H414" t="s">
        <v>703</v>
      </c>
      <c r="I414" t="s">
        <v>1117</v>
      </c>
      <c r="J414" t="s">
        <v>1324</v>
      </c>
      <c r="K414">
        <v>43767</v>
      </c>
      <c r="L414">
        <v>0.030187639135164</v>
      </c>
      <c r="M414">
        <v>-0.05842946687154338</v>
      </c>
      <c r="N414">
        <v>0.09</v>
      </c>
      <c r="O414">
        <v>0.05772545410064778</v>
      </c>
      <c r="P414" t="s">
        <v>405</v>
      </c>
      <c r="Q414" t="s">
        <v>382</v>
      </c>
      <c r="R414">
        <v>2</v>
      </c>
      <c r="S414">
        <v>0.6992750979666965</v>
      </c>
      <c r="T414">
        <v>48</v>
      </c>
      <c r="U414">
        <v>1.35125</v>
      </c>
      <c r="V414">
        <v>2.4948</v>
      </c>
      <c r="W414">
        <v>2.8</v>
      </c>
      <c r="X414">
        <v>1.95797027430675</v>
      </c>
      <c r="Y414">
        <v>0.255031</v>
      </c>
      <c r="Z414">
        <v>0.5094339622641509</v>
      </c>
      <c r="AA414">
        <v>0.5614886731391586</v>
      </c>
      <c r="AB414">
        <v>0.8877221324717286</v>
      </c>
      <c r="AC414">
        <v>0.221324717285945</v>
      </c>
      <c r="AD414">
        <v>0.4636510500807754</v>
      </c>
    </row>
    <row r="415" spans="1:30">
      <c r="A415" s="1" t="s">
        <v>422</v>
      </c>
      <c r="B415">
        <f>HYPERLINK("https://www.suredividend.com/sure-analysis-OUT","OUTFRONT Media, Inc.")</f>
        <v>0</v>
      </c>
      <c r="C415">
        <v>26.76</v>
      </c>
      <c r="D415">
        <v>3840.729</v>
      </c>
      <c r="E415" t="s">
        <v>663</v>
      </c>
      <c r="F415" t="s">
        <v>629</v>
      </c>
      <c r="G415" t="s">
        <v>673</v>
      </c>
      <c r="H415" t="s">
        <v>703</v>
      </c>
      <c r="I415" t="s">
        <v>1118</v>
      </c>
      <c r="J415" t="s">
        <v>1309</v>
      </c>
      <c r="K415">
        <v>43776</v>
      </c>
      <c r="L415">
        <v>0.053811659192825</v>
      </c>
      <c r="M415">
        <v>-0.005745769013187796</v>
      </c>
      <c r="N415">
        <v>0.015</v>
      </c>
      <c r="O415">
        <v>0.05748684737206311</v>
      </c>
      <c r="P415" t="s">
        <v>405</v>
      </c>
      <c r="Q415" t="s">
        <v>494</v>
      </c>
      <c r="R415">
        <v>0</v>
      </c>
      <c r="S415">
        <v>0.6127659574468085</v>
      </c>
      <c r="T415">
        <v>26</v>
      </c>
      <c r="U415">
        <v>1.029230769230769</v>
      </c>
      <c r="V415">
        <v>1.0599</v>
      </c>
      <c r="W415">
        <v>2.35</v>
      </c>
      <c r="X415">
        <v>1.44</v>
      </c>
      <c r="Y415">
        <v>0.516147</v>
      </c>
      <c r="Z415">
        <v>0.7993138936535163</v>
      </c>
      <c r="AA415">
        <v>0.8818770226537217</v>
      </c>
      <c r="AB415">
        <v>0.07592891760904685</v>
      </c>
      <c r="AC415">
        <v>0.6591276252019387</v>
      </c>
      <c r="AD415">
        <v>0.4604200323101778</v>
      </c>
    </row>
    <row r="416" spans="1:30">
      <c r="A416" s="1" t="s">
        <v>423</v>
      </c>
      <c r="B416">
        <f>HYPERLINK("https://www.suredividend.com/sure-analysis-SU","Suncor Energy, Inc.")</f>
        <v>0</v>
      </c>
      <c r="C416">
        <v>32.2</v>
      </c>
      <c r="D416">
        <v>49493.654</v>
      </c>
      <c r="E416" t="s">
        <v>659</v>
      </c>
      <c r="F416" t="s">
        <v>629</v>
      </c>
      <c r="G416" t="s">
        <v>675</v>
      </c>
      <c r="H416" t="s">
        <v>703</v>
      </c>
      <c r="I416" t="s">
        <v>1119</v>
      </c>
      <c r="J416" t="s">
        <v>1312</v>
      </c>
      <c r="K416">
        <v>43784</v>
      </c>
      <c r="L416">
        <v>0.03790334671768601</v>
      </c>
      <c r="M416">
        <v>-0.02071652677940605</v>
      </c>
      <c r="N416">
        <v>0.04</v>
      </c>
      <c r="O416">
        <v>0.05686460254339876</v>
      </c>
      <c r="P416" t="s">
        <v>405</v>
      </c>
      <c r="Q416" t="s">
        <v>405</v>
      </c>
      <c r="R416">
        <v>0</v>
      </c>
      <c r="S416">
        <v>0.5811846496711952</v>
      </c>
      <c r="T416">
        <v>29</v>
      </c>
      <c r="U416">
        <v>1.110344827586207</v>
      </c>
      <c r="V416">
        <v>2.3727</v>
      </c>
      <c r="W416">
        <v>2.1</v>
      </c>
      <c r="X416">
        <v>1.22048776430951</v>
      </c>
      <c r="Y416">
        <v>0.204639</v>
      </c>
      <c r="Z416">
        <v>0.6260720411663808</v>
      </c>
      <c r="AA416">
        <v>0.4611650485436893</v>
      </c>
      <c r="AB416">
        <v>0.3182552504038772</v>
      </c>
      <c r="AC416">
        <v>0.5573505654281099</v>
      </c>
      <c r="AD416">
        <v>0.4539579967689822</v>
      </c>
    </row>
    <row r="417" spans="1:30">
      <c r="A417" s="1" t="s">
        <v>424</v>
      </c>
      <c r="B417">
        <f>HYPERLINK("https://www.suredividend.com/sure-analysis-UFS","Domtar Corp.")</f>
        <v>0</v>
      </c>
      <c r="C417">
        <v>38.83</v>
      </c>
      <c r="D417">
        <v>2223.914473</v>
      </c>
      <c r="E417" t="s">
        <v>663</v>
      </c>
      <c r="F417" t="s">
        <v>629</v>
      </c>
      <c r="G417" t="s">
        <v>673</v>
      </c>
      <c r="H417" t="s">
        <v>703</v>
      </c>
      <c r="I417" t="s">
        <v>1120</v>
      </c>
      <c r="J417" t="s">
        <v>1314</v>
      </c>
      <c r="K417">
        <v>43766</v>
      </c>
      <c r="L417">
        <v>0.0458408447077</v>
      </c>
      <c r="M417">
        <v>-0.02055482583435009</v>
      </c>
      <c r="N417">
        <v>0.03</v>
      </c>
      <c r="O417">
        <v>0.05365787148570789</v>
      </c>
      <c r="P417" t="s">
        <v>405</v>
      </c>
      <c r="Q417" t="s">
        <v>634</v>
      </c>
      <c r="R417">
        <v>10</v>
      </c>
      <c r="S417">
        <v>0.55625</v>
      </c>
      <c r="T417">
        <v>35</v>
      </c>
      <c r="U417">
        <v>1.109428571428571</v>
      </c>
      <c r="V417">
        <v>3.2639</v>
      </c>
      <c r="W417">
        <v>3.2</v>
      </c>
      <c r="X417">
        <v>1.78</v>
      </c>
      <c r="Y417">
        <v>0.113884</v>
      </c>
      <c r="Z417">
        <v>0.7238421955403088</v>
      </c>
      <c r="AA417">
        <v>0.2993527508090615</v>
      </c>
      <c r="AB417">
        <v>0.2003231017770598</v>
      </c>
      <c r="AC417">
        <v>0.5638126009693053</v>
      </c>
      <c r="AD417">
        <v>0.431340872374798</v>
      </c>
    </row>
    <row r="418" spans="1:30">
      <c r="A418" s="1" t="s">
        <v>425</v>
      </c>
      <c r="B418">
        <f>HYPERLINK("https://www.suredividend.com/sure-analysis-BEP","Brookfield Renewable Partners LP")</f>
        <v>0</v>
      </c>
      <c r="C418">
        <v>46.24</v>
      </c>
      <c r="D418">
        <v>14269.831528</v>
      </c>
      <c r="E418" t="s">
        <v>659</v>
      </c>
      <c r="F418" t="s">
        <v>631</v>
      </c>
      <c r="G418" t="s">
        <v>684</v>
      </c>
      <c r="H418" t="s">
        <v>703</v>
      </c>
      <c r="I418" t="s">
        <v>1121</v>
      </c>
      <c r="J418" t="s">
        <v>1321</v>
      </c>
      <c r="K418">
        <v>43781</v>
      </c>
      <c r="L418">
        <v>0.044131541935203</v>
      </c>
      <c r="M418">
        <v>-0.04883264802522513</v>
      </c>
      <c r="N418">
        <v>0.06</v>
      </c>
      <c r="O418">
        <v>0.05364201593588946</v>
      </c>
      <c r="P418" t="s">
        <v>405</v>
      </c>
      <c r="Q418" t="s">
        <v>405</v>
      </c>
      <c r="R418">
        <v>10</v>
      </c>
      <c r="S418">
        <v>0.7848624996476191</v>
      </c>
      <c r="T418">
        <v>36</v>
      </c>
      <c r="U418">
        <v>1.284444444444444</v>
      </c>
      <c r="V418">
        <v>0.3119</v>
      </c>
      <c r="W418">
        <v>2.6</v>
      </c>
      <c r="X418">
        <v>2.04064249908381</v>
      </c>
      <c r="Y418">
        <v>0.837108</v>
      </c>
      <c r="Z418">
        <v>0.7101200686106347</v>
      </c>
      <c r="AA418">
        <v>0.9724919093851133</v>
      </c>
      <c r="AB418">
        <v>0.6130856219709209</v>
      </c>
      <c r="AC418">
        <v>0.2956381260096931</v>
      </c>
      <c r="AD418">
        <v>0.4297253634894991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328</v>
      </c>
      <c r="D419">
        <v>184595.448</v>
      </c>
      <c r="E419" t="s">
        <v>660</v>
      </c>
      <c r="F419" t="s">
        <v>629</v>
      </c>
      <c r="G419" t="s">
        <v>673</v>
      </c>
      <c r="H419" t="s">
        <v>703</v>
      </c>
      <c r="I419" t="s">
        <v>1122</v>
      </c>
      <c r="J419" t="s">
        <v>1308</v>
      </c>
      <c r="K419">
        <v>43762</v>
      </c>
      <c r="L419">
        <v>0.024009146341463</v>
      </c>
      <c r="M419">
        <v>-0.05135146708850935</v>
      </c>
      <c r="N419">
        <v>0.08</v>
      </c>
      <c r="O419">
        <v>0.0518682157691317</v>
      </c>
      <c r="P419" t="s">
        <v>405</v>
      </c>
      <c r="Q419" t="s">
        <v>382</v>
      </c>
      <c r="R419">
        <v>8</v>
      </c>
      <c r="S419">
        <v>0.5625</v>
      </c>
      <c r="T419">
        <v>252</v>
      </c>
      <c r="U419">
        <v>1.301587301587302</v>
      </c>
      <c r="V419">
        <v>6.6452</v>
      </c>
      <c r="W419">
        <v>14</v>
      </c>
      <c r="X419">
        <v>7.875</v>
      </c>
      <c r="Y419">
        <v>0.076999</v>
      </c>
      <c r="Z419">
        <v>0.3825042881646655</v>
      </c>
      <c r="AA419">
        <v>0.2524271844660194</v>
      </c>
      <c r="AB419">
        <v>0.8182552504038771</v>
      </c>
      <c r="AC419">
        <v>0.2778675282714055</v>
      </c>
      <c r="AD419">
        <v>0.4184168012924072</v>
      </c>
    </row>
    <row r="420" spans="1:30">
      <c r="A420" s="1" t="s">
        <v>427</v>
      </c>
      <c r="B420">
        <f>HYPERLINK("https://www.suredividend.com/sure-analysis-KIM","Kimco Realty Corp.")</f>
        <v>0</v>
      </c>
      <c r="C420">
        <v>20.53</v>
      </c>
      <c r="D420">
        <v>8668.44349</v>
      </c>
      <c r="E420" t="s">
        <v>667</v>
      </c>
      <c r="F420" t="s">
        <v>630</v>
      </c>
      <c r="G420" t="s">
        <v>673</v>
      </c>
      <c r="H420" t="s">
        <v>703</v>
      </c>
      <c r="I420" t="s">
        <v>1123</v>
      </c>
      <c r="J420" t="s">
        <v>1309</v>
      </c>
      <c r="K420">
        <v>43699</v>
      </c>
      <c r="L420">
        <v>0.05455431076473401</v>
      </c>
      <c r="M420">
        <v>-0.03703169201161172</v>
      </c>
      <c r="N420">
        <v>0.034</v>
      </c>
      <c r="O420">
        <v>0.05153932948686135</v>
      </c>
      <c r="P420" t="s">
        <v>405</v>
      </c>
      <c r="Q420" t="s">
        <v>494</v>
      </c>
      <c r="R420">
        <v>8</v>
      </c>
      <c r="S420">
        <v>0.7671232876712329</v>
      </c>
      <c r="T420">
        <v>17</v>
      </c>
      <c r="U420">
        <v>1.20764705882353</v>
      </c>
      <c r="V420">
        <v>0.7501</v>
      </c>
      <c r="W420">
        <v>1.46</v>
      </c>
      <c r="X420">
        <v>1.12</v>
      </c>
      <c r="Y420">
        <v>0.394701</v>
      </c>
      <c r="Z420">
        <v>0.804459691252144</v>
      </c>
      <c r="AA420">
        <v>0.7508090614886731</v>
      </c>
      <c r="AB420">
        <v>0.241518578352181</v>
      </c>
      <c r="AC420">
        <v>0.3925686591276252</v>
      </c>
      <c r="AD420">
        <v>0.4151857835218094</v>
      </c>
    </row>
    <row r="421" spans="1:30">
      <c r="A421" s="1" t="s">
        <v>428</v>
      </c>
      <c r="B421">
        <f>HYPERLINK("https://www.suredividend.com/sure-analysis-KDP","Keurig Dr Pepper, Inc.")</f>
        <v>0</v>
      </c>
      <c r="C421">
        <v>28.87</v>
      </c>
      <c r="D421">
        <v>40614.0273</v>
      </c>
      <c r="E421" t="s">
        <v>657</v>
      </c>
      <c r="F421" t="s">
        <v>629</v>
      </c>
      <c r="G421" t="s">
        <v>673</v>
      </c>
      <c r="H421" t="s">
        <v>703</v>
      </c>
      <c r="I421" t="s">
        <v>1124</v>
      </c>
      <c r="J421" t="s">
        <v>1322</v>
      </c>
      <c r="K421">
        <v>43712</v>
      </c>
      <c r="L421">
        <v>0.02078281953585</v>
      </c>
      <c r="M421">
        <v>-0.06167237557610861</v>
      </c>
      <c r="N421">
        <v>0.1</v>
      </c>
      <c r="O421">
        <v>0.04985440535515462</v>
      </c>
      <c r="P421" t="s">
        <v>405</v>
      </c>
      <c r="Q421" t="s">
        <v>382</v>
      </c>
      <c r="R421">
        <v>0</v>
      </c>
      <c r="S421">
        <v>0.5263157894736843</v>
      </c>
      <c r="T421">
        <v>21</v>
      </c>
      <c r="U421">
        <v>1.374761904761905</v>
      </c>
      <c r="V421">
        <v>0.7936000000000001</v>
      </c>
      <c r="W421">
        <v>1.14</v>
      </c>
      <c r="X421">
        <v>0.6000000000000001</v>
      </c>
      <c r="Y421">
        <v>0.149283</v>
      </c>
      <c r="Z421">
        <v>0.3241852487135506</v>
      </c>
      <c r="AA421">
        <v>0.3592233009708737</v>
      </c>
      <c r="AB421">
        <v>0.931340872374798</v>
      </c>
      <c r="AC421">
        <v>0.1954765751211632</v>
      </c>
      <c r="AD421">
        <v>0.4038772213247173</v>
      </c>
    </row>
    <row r="422" spans="1:30">
      <c r="A422" s="1" t="s">
        <v>429</v>
      </c>
      <c r="B422">
        <f>HYPERLINK("https://www.suredividend.com/sure-analysis-OPI","Office Properties Income Trust")</f>
        <v>0</v>
      </c>
      <c r="C422">
        <v>31.83</v>
      </c>
      <c r="D422">
        <v>1534.30149</v>
      </c>
      <c r="E422" t="s">
        <v>659</v>
      </c>
      <c r="F422" t="s">
        <v>630</v>
      </c>
      <c r="G422" t="s">
        <v>673</v>
      </c>
      <c r="H422" t="s">
        <v>704</v>
      </c>
      <c r="I422" t="s">
        <v>1125</v>
      </c>
      <c r="J422" t="s">
        <v>1309</v>
      </c>
      <c r="K422">
        <v>43788</v>
      </c>
      <c r="L422">
        <v>0.105874960728872</v>
      </c>
      <c r="M422">
        <v>-0.03965486226204795</v>
      </c>
      <c r="N422">
        <v>0.02</v>
      </c>
      <c r="O422">
        <v>0.04982792351329879</v>
      </c>
      <c r="P422" t="s">
        <v>405</v>
      </c>
      <c r="Q422" t="s">
        <v>633</v>
      </c>
      <c r="R422">
        <v>1</v>
      </c>
      <c r="S422">
        <v>0.5760683760683761</v>
      </c>
      <c r="T422">
        <v>26</v>
      </c>
      <c r="U422">
        <v>1.224230769230769</v>
      </c>
      <c r="V422">
        <v>-3.0271</v>
      </c>
      <c r="W422">
        <v>5.85</v>
      </c>
      <c r="X422">
        <v>3.37</v>
      </c>
      <c r="Y422">
        <v>0.205871</v>
      </c>
      <c r="Z422">
        <v>0.9571183533447685</v>
      </c>
      <c r="AA422">
        <v>0.4692556634304207</v>
      </c>
      <c r="AB422">
        <v>0.1219709208400646</v>
      </c>
      <c r="AC422">
        <v>0.3715670436187399</v>
      </c>
      <c r="AD422">
        <v>0.4006462035541196</v>
      </c>
    </row>
    <row r="423" spans="1:30">
      <c r="A423" s="1" t="s">
        <v>430</v>
      </c>
      <c r="B423">
        <f>HYPERLINK("https://www.suredividend.com/sure-analysis-JWN","Nordstrom, Inc.")</f>
        <v>0</v>
      </c>
      <c r="C423">
        <v>40.66</v>
      </c>
      <c r="D423">
        <v>6312.58698</v>
      </c>
      <c r="E423" t="s">
        <v>661</v>
      </c>
      <c r="F423" t="s">
        <v>629</v>
      </c>
      <c r="G423" t="s">
        <v>673</v>
      </c>
      <c r="H423" t="s">
        <v>703</v>
      </c>
      <c r="I423" t="s">
        <v>1126</v>
      </c>
      <c r="J423" t="s">
        <v>1310</v>
      </c>
      <c r="K423">
        <v>43709</v>
      </c>
      <c r="L423">
        <v>0.036399409739301</v>
      </c>
      <c r="M423">
        <v>-0.003267720160250454</v>
      </c>
      <c r="N423">
        <v>0.02</v>
      </c>
      <c r="O423">
        <v>0.04865963533830842</v>
      </c>
      <c r="P423" t="s">
        <v>405</v>
      </c>
      <c r="Q423" t="s">
        <v>494</v>
      </c>
      <c r="R423">
        <v>0</v>
      </c>
      <c r="S423">
        <v>0.4484848484848485</v>
      </c>
      <c r="T423">
        <v>40</v>
      </c>
      <c r="U423">
        <v>1.0165</v>
      </c>
      <c r="V423">
        <v>3.4651</v>
      </c>
      <c r="W423">
        <v>3.3</v>
      </c>
      <c r="X423">
        <v>1.48</v>
      </c>
      <c r="Y423">
        <v>-0.082581</v>
      </c>
      <c r="Z423">
        <v>0.6054888507718696</v>
      </c>
      <c r="AA423">
        <v>0.09061488673139159</v>
      </c>
      <c r="AB423">
        <v>0.1219709208400646</v>
      </c>
      <c r="AC423">
        <v>0.6849757673667205</v>
      </c>
      <c r="AD423">
        <v>0.3925686591276252</v>
      </c>
    </row>
    <row r="424" spans="1:30">
      <c r="A424" s="1" t="s">
        <v>431</v>
      </c>
      <c r="B424">
        <f>HYPERLINK("https://www.suredividend.com/sure-analysis-AEP","American Electric Power Co., Inc.")</f>
        <v>0</v>
      </c>
      <c r="C424">
        <v>94.90000000000001</v>
      </c>
      <c r="D424">
        <v>46876.0448</v>
      </c>
      <c r="E424" t="s">
        <v>667</v>
      </c>
      <c r="F424" t="s">
        <v>629</v>
      </c>
      <c r="G424" t="s">
        <v>673</v>
      </c>
      <c r="H424" t="s">
        <v>703</v>
      </c>
      <c r="I424" t="s">
        <v>1127</v>
      </c>
      <c r="J424" t="s">
        <v>1321</v>
      </c>
      <c r="K424">
        <v>43789</v>
      </c>
      <c r="L424">
        <v>0.028240252897787</v>
      </c>
      <c r="M424">
        <v>-0.02879808964133312</v>
      </c>
      <c r="N424">
        <v>0.05</v>
      </c>
      <c r="O424">
        <v>0.04840675878283207</v>
      </c>
      <c r="P424" t="s">
        <v>405</v>
      </c>
      <c r="Q424" t="s">
        <v>405</v>
      </c>
      <c r="R424">
        <v>9</v>
      </c>
      <c r="S424">
        <v>0.653658536585366</v>
      </c>
      <c r="T424">
        <v>82</v>
      </c>
      <c r="U424">
        <v>1.157317073170732</v>
      </c>
      <c r="V424">
        <v>4.3178</v>
      </c>
      <c r="W424">
        <v>4.1</v>
      </c>
      <c r="X424">
        <v>2.68</v>
      </c>
      <c r="Y424">
        <v>0.241659</v>
      </c>
      <c r="Z424">
        <v>0.4716981132075472</v>
      </c>
      <c r="AA424">
        <v>0.5436893203883495</v>
      </c>
      <c r="AB424">
        <v>0.4588045234248789</v>
      </c>
      <c r="AC424">
        <v>0.4749596122778675</v>
      </c>
      <c r="AD424">
        <v>0.3877221324717286</v>
      </c>
    </row>
    <row r="425" spans="1:30">
      <c r="A425" s="1" t="s">
        <v>432</v>
      </c>
      <c r="B425">
        <f>HYPERLINK("https://www.suredividend.com/sure-analysis-BHP","BHP Group Ltd.")</f>
        <v>0</v>
      </c>
      <c r="C425">
        <v>54.36</v>
      </c>
      <c r="D425">
        <v>80036.991798</v>
      </c>
      <c r="E425" t="s">
        <v>659</v>
      </c>
      <c r="F425" t="s">
        <v>629</v>
      </c>
      <c r="G425" t="s">
        <v>697</v>
      </c>
      <c r="H425" t="s">
        <v>703</v>
      </c>
      <c r="I425" t="s">
        <v>1128</v>
      </c>
      <c r="J425" t="s">
        <v>1323</v>
      </c>
      <c r="K425">
        <v>43803</v>
      </c>
      <c r="L425">
        <v>0.048933038999264</v>
      </c>
      <c r="M425">
        <v>-0.005054517862385755</v>
      </c>
      <c r="N425">
        <v>0.01</v>
      </c>
      <c r="O425">
        <v>0.04733282419588147</v>
      </c>
      <c r="P425" t="s">
        <v>405</v>
      </c>
      <c r="Q425" t="s">
        <v>494</v>
      </c>
      <c r="R425">
        <v>1</v>
      </c>
      <c r="S425">
        <v>0.7000000000000001</v>
      </c>
      <c r="T425">
        <v>53</v>
      </c>
      <c r="U425">
        <v>1.02566037735849</v>
      </c>
      <c r="V425">
        <v>3.4095</v>
      </c>
      <c r="W425">
        <v>3.8</v>
      </c>
      <c r="X425">
        <v>2.66</v>
      </c>
      <c r="Y425">
        <v>0.1399</v>
      </c>
      <c r="Z425">
        <v>0.7615780445969125</v>
      </c>
      <c r="AA425">
        <v>0.3381877022653722</v>
      </c>
      <c r="AB425">
        <v>0.05411954765751212</v>
      </c>
      <c r="AC425">
        <v>0.6672051696284329</v>
      </c>
      <c r="AD425">
        <v>0.3780290791599354</v>
      </c>
    </row>
    <row r="426" spans="1:30">
      <c r="A426" s="1" t="s">
        <v>433</v>
      </c>
      <c r="B426">
        <f>HYPERLINK("https://www.suredividend.com/sure-analysis-CNQ","Canadian Natural Resources Ltd.")</f>
        <v>0</v>
      </c>
      <c r="C426">
        <v>31.6</v>
      </c>
      <c r="D426">
        <v>37386.908</v>
      </c>
      <c r="E426" t="s">
        <v>659</v>
      </c>
      <c r="F426" t="s">
        <v>629</v>
      </c>
      <c r="G426" t="s">
        <v>675</v>
      </c>
      <c r="H426" t="s">
        <v>703</v>
      </c>
      <c r="J426" t="s">
        <v>1312</v>
      </c>
      <c r="K426">
        <v>43780</v>
      </c>
      <c r="L426">
        <v>0.03481005205251</v>
      </c>
      <c r="M426">
        <v>-0.04577545121441184</v>
      </c>
      <c r="N426">
        <v>0.057</v>
      </c>
      <c r="O426">
        <v>0.04567478478033893</v>
      </c>
      <c r="P426" t="s">
        <v>405</v>
      </c>
      <c r="Q426" t="s">
        <v>494</v>
      </c>
      <c r="R426">
        <v>10</v>
      </c>
      <c r="S426">
        <v>0.5851051302443192</v>
      </c>
      <c r="T426">
        <v>25</v>
      </c>
      <c r="U426">
        <v>1.264</v>
      </c>
      <c r="V426">
        <v>2.5436</v>
      </c>
      <c r="W426">
        <v>1.88</v>
      </c>
      <c r="X426">
        <v>1.09999764485932</v>
      </c>
      <c r="Y426">
        <v>0.358555</v>
      </c>
      <c r="Z426">
        <v>0.5849056603773585</v>
      </c>
      <c r="AA426">
        <v>0.6957928802588996</v>
      </c>
      <c r="AB426">
        <v>0.555735056542811</v>
      </c>
      <c r="AC426">
        <v>0.3117932148626817</v>
      </c>
      <c r="AD426">
        <v>0.3667205169628433</v>
      </c>
    </row>
    <row r="427" spans="1:30">
      <c r="A427" s="1" t="s">
        <v>434</v>
      </c>
      <c r="B427">
        <f>HYPERLINK("https://www.suredividend.com/sure-analysis-SRE","Sempra Energy")</f>
        <v>0</v>
      </c>
      <c r="C427">
        <v>151.38</v>
      </c>
      <c r="D427">
        <v>42673.41648</v>
      </c>
      <c r="E427" t="s">
        <v>659</v>
      </c>
      <c r="F427" t="s">
        <v>629</v>
      </c>
      <c r="G427" t="s">
        <v>673</v>
      </c>
      <c r="H427" t="s">
        <v>703</v>
      </c>
      <c r="I427" t="s">
        <v>1129</v>
      </c>
      <c r="J427" t="s">
        <v>1321</v>
      </c>
      <c r="K427">
        <v>43788</v>
      </c>
      <c r="L427">
        <v>0.025085876601928</v>
      </c>
      <c r="M427">
        <v>-0.06016655549445882</v>
      </c>
      <c r="N427">
        <v>0.08</v>
      </c>
      <c r="O427">
        <v>0.04386583544353684</v>
      </c>
      <c r="P427" t="s">
        <v>405</v>
      </c>
      <c r="Q427" t="s">
        <v>405</v>
      </c>
      <c r="R427">
        <v>16</v>
      </c>
      <c r="S427">
        <v>0.6276859504132232</v>
      </c>
      <c r="T427">
        <v>111</v>
      </c>
      <c r="U427">
        <v>1.363783783783784</v>
      </c>
      <c r="V427">
        <v>8.9741</v>
      </c>
      <c r="W427">
        <v>6.05</v>
      </c>
      <c r="X427">
        <v>3.7975</v>
      </c>
      <c r="Y427">
        <v>0.353783</v>
      </c>
      <c r="Z427">
        <v>0.4065180102915952</v>
      </c>
      <c r="AA427">
        <v>0.6925566343042071</v>
      </c>
      <c r="AB427">
        <v>0.8182552504038771</v>
      </c>
      <c r="AC427">
        <v>0.2084006462035541</v>
      </c>
      <c r="AD427">
        <v>0.345718901453958</v>
      </c>
    </row>
    <row r="428" spans="1:30">
      <c r="A428" s="1" t="s">
        <v>435</v>
      </c>
      <c r="B428">
        <f>HYPERLINK("https://www.suredividend.com/sure-analysis-VOD","Vodafone Group Plc")</f>
        <v>0</v>
      </c>
      <c r="C428">
        <v>19.54</v>
      </c>
      <c r="D428">
        <v>52306.0398</v>
      </c>
      <c r="E428" t="s">
        <v>661</v>
      </c>
      <c r="F428" t="s">
        <v>629</v>
      </c>
      <c r="G428" t="s">
        <v>677</v>
      </c>
      <c r="H428" t="s">
        <v>704</v>
      </c>
      <c r="I428" t="s">
        <v>1130</v>
      </c>
      <c r="J428" t="s">
        <v>1318</v>
      </c>
      <c r="K428">
        <v>43794</v>
      </c>
      <c r="L428">
        <v>0.048055680655066</v>
      </c>
      <c r="M428">
        <v>-0.05150872568126719</v>
      </c>
      <c r="N428">
        <v>0.05</v>
      </c>
      <c r="O428">
        <v>0.04322440048015275</v>
      </c>
      <c r="P428" t="s">
        <v>405</v>
      </c>
      <c r="Q428" t="s">
        <v>494</v>
      </c>
      <c r="R428">
        <v>1</v>
      </c>
      <c r="S428">
        <v>0.6955614814814814</v>
      </c>
      <c r="T428">
        <v>15</v>
      </c>
      <c r="U428">
        <v>1.302666666666667</v>
      </c>
      <c r="V428">
        <v>-0.9099</v>
      </c>
      <c r="W428">
        <v>1.35</v>
      </c>
      <c r="X428">
        <v>0.939008</v>
      </c>
      <c r="Y428">
        <v>-0.0274</v>
      </c>
      <c r="Z428">
        <v>0.7530017152658662</v>
      </c>
      <c r="AA428">
        <v>0.1407766990291262</v>
      </c>
      <c r="AB428">
        <v>0.4588045234248789</v>
      </c>
      <c r="AC428">
        <v>0.2762520193861066</v>
      </c>
      <c r="AD428">
        <v>0.3408723747980614</v>
      </c>
    </row>
    <row r="429" spans="1:30">
      <c r="A429" s="1" t="s">
        <v>436</v>
      </c>
      <c r="B429">
        <f>HYPERLINK("https://www.suredividend.com/sure-analysis-FLO","Flowers Foods, Inc.")</f>
        <v>0</v>
      </c>
      <c r="C429">
        <v>22.08</v>
      </c>
      <c r="D429">
        <v>4670.22912</v>
      </c>
      <c r="E429" t="s">
        <v>658</v>
      </c>
      <c r="F429" t="s">
        <v>629</v>
      </c>
      <c r="G429" t="s">
        <v>673</v>
      </c>
      <c r="H429" t="s">
        <v>703</v>
      </c>
      <c r="I429" t="s">
        <v>1131</v>
      </c>
      <c r="J429" t="s">
        <v>1322</v>
      </c>
      <c r="K429">
        <v>43776</v>
      </c>
      <c r="L429">
        <v>0.033514492753623</v>
      </c>
      <c r="M429">
        <v>-0.02959973517411063</v>
      </c>
      <c r="N429">
        <v>0.04</v>
      </c>
      <c r="O429">
        <v>0.04295944290206566</v>
      </c>
      <c r="P429" t="s">
        <v>405</v>
      </c>
      <c r="Q429" t="s">
        <v>405</v>
      </c>
      <c r="R429">
        <v>18</v>
      </c>
      <c r="S429">
        <v>0.7708333333333334</v>
      </c>
      <c r="T429">
        <v>19</v>
      </c>
      <c r="U429">
        <v>1.162105263157895</v>
      </c>
      <c r="V429">
        <v>0.866</v>
      </c>
      <c r="W429">
        <v>0.96</v>
      </c>
      <c r="X429">
        <v>0.74</v>
      </c>
      <c r="Y429">
        <v>0.213187</v>
      </c>
      <c r="Z429">
        <v>0.5746140651801029</v>
      </c>
      <c r="AA429">
        <v>0.4854368932038835</v>
      </c>
      <c r="AB429">
        <v>0.3182552504038772</v>
      </c>
      <c r="AC429">
        <v>0.4652665589660743</v>
      </c>
      <c r="AD429">
        <v>0.3392568659127626</v>
      </c>
    </row>
    <row r="430" spans="1:30">
      <c r="A430" s="1" t="s">
        <v>437</v>
      </c>
      <c r="B430">
        <f>HYPERLINK("https://www.suredividend.com/sure-analysis-OTTR","Otter Tail Corp.")</f>
        <v>0</v>
      </c>
      <c r="C430">
        <v>52.2</v>
      </c>
      <c r="D430">
        <v>2075.4198</v>
      </c>
      <c r="E430" t="s">
        <v>667</v>
      </c>
      <c r="F430" t="s">
        <v>629</v>
      </c>
      <c r="G430" t="s">
        <v>673</v>
      </c>
      <c r="H430" t="s">
        <v>704</v>
      </c>
      <c r="I430" t="s">
        <v>1132</v>
      </c>
      <c r="J430" t="s">
        <v>1321</v>
      </c>
      <c r="K430">
        <v>43699</v>
      </c>
      <c r="L430">
        <v>0.026532567049808</v>
      </c>
      <c r="M430">
        <v>-0.03360108274668594</v>
      </c>
      <c r="N430">
        <v>0.05</v>
      </c>
      <c r="O430">
        <v>0.04262949141907413</v>
      </c>
      <c r="P430" t="s">
        <v>405</v>
      </c>
      <c r="Q430" t="s">
        <v>382</v>
      </c>
      <c r="R430">
        <v>4</v>
      </c>
      <c r="S430">
        <v>0.6353211009174311</v>
      </c>
      <c r="T430">
        <v>44</v>
      </c>
      <c r="U430">
        <v>1.186363636363637</v>
      </c>
      <c r="V430">
        <v>2.0327</v>
      </c>
      <c r="W430">
        <v>2.18</v>
      </c>
      <c r="X430">
        <v>1.385</v>
      </c>
      <c r="Y430">
        <v>0.048193</v>
      </c>
      <c r="Z430">
        <v>0.444253859348199</v>
      </c>
      <c r="AA430">
        <v>0.2200647249190938</v>
      </c>
      <c r="AB430">
        <v>0.4588045234248789</v>
      </c>
      <c r="AC430">
        <v>0.4184168012924072</v>
      </c>
      <c r="AD430">
        <v>0.3360258481421648</v>
      </c>
    </row>
    <row r="431" spans="1:30">
      <c r="A431" s="1" t="s">
        <v>438</v>
      </c>
      <c r="B431">
        <f>HYPERLINK("https://www.suredividend.com/sure-analysis-WPC","W.P. Carey, Inc.")</f>
        <v>0</v>
      </c>
      <c r="C431">
        <v>78.51000000000001</v>
      </c>
      <c r="D431">
        <v>13525.38876</v>
      </c>
      <c r="E431" t="s">
        <v>663</v>
      </c>
      <c r="F431" t="s">
        <v>630</v>
      </c>
      <c r="G431" t="s">
        <v>673</v>
      </c>
      <c r="H431" t="s">
        <v>703</v>
      </c>
      <c r="I431" t="s">
        <v>1133</v>
      </c>
      <c r="J431" t="s">
        <v>1309</v>
      </c>
      <c r="K431">
        <v>43734</v>
      </c>
      <c r="L431">
        <v>0.052630238186218</v>
      </c>
      <c r="M431">
        <v>-0.04306351229283545</v>
      </c>
      <c r="N431">
        <v>0.033</v>
      </c>
      <c r="O431">
        <v>0.04110306519743268</v>
      </c>
      <c r="P431" t="s">
        <v>405</v>
      </c>
      <c r="Q431" t="s">
        <v>494</v>
      </c>
      <c r="R431">
        <v>22</v>
      </c>
      <c r="S431">
        <v>0.8182178217821782</v>
      </c>
      <c r="T431">
        <v>63</v>
      </c>
      <c r="U431">
        <v>1.246190476190476</v>
      </c>
      <c r="V431">
        <v>2.3628</v>
      </c>
      <c r="W431">
        <v>5.05</v>
      </c>
      <c r="X431">
        <v>4.132</v>
      </c>
      <c r="Y431">
        <v>0.147807</v>
      </c>
      <c r="Z431">
        <v>0.7941680960548885</v>
      </c>
      <c r="AA431">
        <v>0.3543689320388349</v>
      </c>
      <c r="AB431">
        <v>0.2374798061389337</v>
      </c>
      <c r="AC431">
        <v>0.3505654281098546</v>
      </c>
      <c r="AD431">
        <v>0.3247172859450727</v>
      </c>
    </row>
    <row r="432" spans="1:30">
      <c r="A432" s="1" t="s">
        <v>439</v>
      </c>
      <c r="B432">
        <f>HYPERLINK("https://www.suredividend.com/sure-analysis-CF","CF Industries Holdings, Inc.")</f>
        <v>0</v>
      </c>
      <c r="C432">
        <v>48.28</v>
      </c>
      <c r="D432">
        <v>10497.61696</v>
      </c>
      <c r="E432" t="s">
        <v>661</v>
      </c>
      <c r="F432" t="s">
        <v>629</v>
      </c>
      <c r="G432" t="s">
        <v>673</v>
      </c>
      <c r="H432" t="s">
        <v>703</v>
      </c>
      <c r="I432" t="s">
        <v>1134</v>
      </c>
      <c r="J432" t="s">
        <v>1314</v>
      </c>
      <c r="K432">
        <v>43777</v>
      </c>
      <c r="L432">
        <v>0.024855012427506</v>
      </c>
      <c r="M432">
        <v>-0.04179271332776668</v>
      </c>
      <c r="N432">
        <v>0.06</v>
      </c>
      <c r="O432">
        <v>0.04013618209038605</v>
      </c>
      <c r="P432" t="s">
        <v>405</v>
      </c>
      <c r="Q432" t="s">
        <v>382</v>
      </c>
      <c r="R432">
        <v>0</v>
      </c>
      <c r="S432">
        <v>0.5714285714285714</v>
      </c>
      <c r="T432">
        <v>39</v>
      </c>
      <c r="U432">
        <v>1.237948717948718</v>
      </c>
      <c r="V432">
        <v>2.1935</v>
      </c>
      <c r="W432">
        <v>2.1</v>
      </c>
      <c r="X432">
        <v>1.2</v>
      </c>
      <c r="Y432">
        <v>0.1767</v>
      </c>
      <c r="Z432">
        <v>0.3996569468267582</v>
      </c>
      <c r="AA432">
        <v>0.412621359223301</v>
      </c>
      <c r="AB432">
        <v>0.6130856219709209</v>
      </c>
      <c r="AC432">
        <v>0.3618739903069467</v>
      </c>
      <c r="AD432">
        <v>0.3166397415185784</v>
      </c>
    </row>
    <row r="433" spans="1:30">
      <c r="A433" s="1" t="s">
        <v>440</v>
      </c>
      <c r="B433">
        <f>HYPERLINK("https://www.suredividend.com/sure-analysis-TCP","TC Pipelines LP")</f>
        <v>0</v>
      </c>
      <c r="C433">
        <v>40.27</v>
      </c>
      <c r="D433">
        <v>2948.00562</v>
      </c>
      <c r="E433" t="s">
        <v>659</v>
      </c>
      <c r="F433" t="s">
        <v>631</v>
      </c>
      <c r="G433" t="s">
        <v>673</v>
      </c>
      <c r="H433" t="s">
        <v>703</v>
      </c>
      <c r="I433" t="s">
        <v>1135</v>
      </c>
      <c r="J433" t="s">
        <v>1325</v>
      </c>
      <c r="K433">
        <v>43795</v>
      </c>
      <c r="L433">
        <v>0.064564191705984</v>
      </c>
      <c r="M433">
        <v>-0.04493337297125111</v>
      </c>
      <c r="N433">
        <v>0.02</v>
      </c>
      <c r="O433">
        <v>0.03970284680845904</v>
      </c>
      <c r="P433" t="s">
        <v>405</v>
      </c>
      <c r="Q433" t="s">
        <v>634</v>
      </c>
      <c r="R433">
        <v>0</v>
      </c>
      <c r="S433">
        <v>0.4727272727272727</v>
      </c>
      <c r="T433">
        <v>32</v>
      </c>
      <c r="U433">
        <v>1.2584375</v>
      </c>
      <c r="V433">
        <v>-3.0154</v>
      </c>
      <c r="W433">
        <v>5.5</v>
      </c>
      <c r="X433">
        <v>2.6</v>
      </c>
      <c r="Y433">
        <v>0.411002</v>
      </c>
      <c r="Z433">
        <v>0.8696397941680961</v>
      </c>
      <c r="AA433">
        <v>0.7766990291262136</v>
      </c>
      <c r="AB433">
        <v>0.1219709208400646</v>
      </c>
      <c r="AC433">
        <v>0.3182552504038772</v>
      </c>
      <c r="AD433">
        <v>0.3134087237479806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55.24</v>
      </c>
      <c r="D434">
        <v>59097.9616</v>
      </c>
      <c r="E434" t="s">
        <v>663</v>
      </c>
      <c r="F434" t="s">
        <v>629</v>
      </c>
      <c r="G434" t="s">
        <v>682</v>
      </c>
      <c r="H434" t="s">
        <v>705</v>
      </c>
      <c r="I434" t="s">
        <v>1136</v>
      </c>
      <c r="J434" t="s">
        <v>1317</v>
      </c>
      <c r="K434">
        <v>43766</v>
      </c>
      <c r="L434">
        <v>0.058834178131788</v>
      </c>
      <c r="M434">
        <v>-0.07702569476252563</v>
      </c>
      <c r="N434">
        <v>0.05</v>
      </c>
      <c r="O434">
        <v>0.03815248372365931</v>
      </c>
      <c r="P434" t="s">
        <v>405</v>
      </c>
      <c r="Q434" t="s">
        <v>494</v>
      </c>
      <c r="R434">
        <v>0</v>
      </c>
      <c r="S434">
        <v>0.6565656565656566</v>
      </c>
      <c r="T434">
        <v>37</v>
      </c>
      <c r="U434">
        <v>1.492972972972973</v>
      </c>
      <c r="V434">
        <v>4.2804</v>
      </c>
      <c r="W434">
        <v>4.95</v>
      </c>
      <c r="X434">
        <v>3.25</v>
      </c>
      <c r="Y434">
        <v>0.05219000000000001</v>
      </c>
      <c r="Z434">
        <v>0.8284734133790738</v>
      </c>
      <c r="AA434">
        <v>0.2281553398058253</v>
      </c>
      <c r="AB434">
        <v>0.4588045234248789</v>
      </c>
      <c r="AC434">
        <v>0.1292407108239095</v>
      </c>
      <c r="AD434">
        <v>0.3053311793214863</v>
      </c>
    </row>
    <row r="435" spans="1:30">
      <c r="A435" s="1" t="s">
        <v>442</v>
      </c>
      <c r="B435">
        <f>HYPERLINK("https://www.suredividend.com/sure-analysis-O","Realty Income Corp.")</f>
        <v>0</v>
      </c>
      <c r="C435">
        <v>72.5</v>
      </c>
      <c r="D435">
        <v>23628.475</v>
      </c>
      <c r="E435" t="s">
        <v>663</v>
      </c>
      <c r="F435" t="s">
        <v>630</v>
      </c>
      <c r="G435" t="s">
        <v>673</v>
      </c>
      <c r="H435" t="s">
        <v>703</v>
      </c>
      <c r="I435" t="s">
        <v>1137</v>
      </c>
      <c r="J435" t="s">
        <v>1309</v>
      </c>
      <c r="K435">
        <v>43714</v>
      </c>
      <c r="L435">
        <v>0.037206896551724</v>
      </c>
      <c r="M435">
        <v>-0.05033593643519441</v>
      </c>
      <c r="N435">
        <v>0.05</v>
      </c>
      <c r="O435">
        <v>0.03775246965121881</v>
      </c>
      <c r="P435" t="s">
        <v>405</v>
      </c>
      <c r="Q435" t="s">
        <v>494</v>
      </c>
      <c r="R435">
        <v>27</v>
      </c>
      <c r="S435">
        <v>0.8149546827794562</v>
      </c>
      <c r="T435">
        <v>56</v>
      </c>
      <c r="U435">
        <v>1.294642857142857</v>
      </c>
      <c r="V435">
        <v>1.2858</v>
      </c>
      <c r="W435">
        <v>3.31</v>
      </c>
      <c r="X435">
        <v>2.6975</v>
      </c>
      <c r="Y435">
        <v>0.136542</v>
      </c>
      <c r="Z435">
        <v>0.6209262435677531</v>
      </c>
      <c r="AA435">
        <v>0.3333333333333334</v>
      </c>
      <c r="AB435">
        <v>0.4588045234248789</v>
      </c>
      <c r="AC435">
        <v>0.2859450726978998</v>
      </c>
      <c r="AD435">
        <v>0.2988691437802908</v>
      </c>
    </row>
    <row r="436" spans="1:30">
      <c r="A436" s="1" t="s">
        <v>443</v>
      </c>
      <c r="B436">
        <f>HYPERLINK("https://www.suredividend.com/sure-analysis-UBA","Urstadt Biddle Properties, Inc.")</f>
        <v>0</v>
      </c>
      <c r="C436">
        <v>23.85</v>
      </c>
      <c r="D436">
        <v>950.54175</v>
      </c>
      <c r="E436" t="s">
        <v>667</v>
      </c>
      <c r="F436" t="s">
        <v>630</v>
      </c>
      <c r="G436" t="s">
        <v>673</v>
      </c>
      <c r="H436" t="s">
        <v>703</v>
      </c>
      <c r="I436" t="s">
        <v>1138</v>
      </c>
      <c r="J436" t="s">
        <v>1309</v>
      </c>
      <c r="K436">
        <v>43733</v>
      </c>
      <c r="L436">
        <v>0.046121593291404</v>
      </c>
      <c r="M436">
        <v>-0.02513117541455956</v>
      </c>
      <c r="N436">
        <v>0.018</v>
      </c>
      <c r="O436">
        <v>0.03769497090680951</v>
      </c>
      <c r="P436" t="s">
        <v>405</v>
      </c>
      <c r="Q436" t="s">
        <v>634</v>
      </c>
      <c r="R436">
        <v>25</v>
      </c>
      <c r="S436">
        <v>0.7333333333333334</v>
      </c>
      <c r="T436">
        <v>21</v>
      </c>
      <c r="U436">
        <v>1.135714285714286</v>
      </c>
      <c r="W436">
        <v>1.5</v>
      </c>
      <c r="X436">
        <v>1.1</v>
      </c>
      <c r="Y436">
        <v>0.215596</v>
      </c>
      <c r="Z436">
        <v>0.7289879931389365</v>
      </c>
      <c r="AA436">
        <v>0.4886731391585761</v>
      </c>
      <c r="AB436">
        <v>0.09127625201938611</v>
      </c>
      <c r="AC436">
        <v>0.518578352180937</v>
      </c>
      <c r="AD436">
        <v>0.2972536348949919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23.84</v>
      </c>
      <c r="D437">
        <v>50847.605638</v>
      </c>
      <c r="E437" t="s">
        <v>659</v>
      </c>
      <c r="F437" t="s">
        <v>629</v>
      </c>
      <c r="G437" t="s">
        <v>678</v>
      </c>
      <c r="H437" t="s">
        <v>703</v>
      </c>
      <c r="I437" t="s">
        <v>1139</v>
      </c>
      <c r="J437" t="s">
        <v>1316</v>
      </c>
      <c r="K437">
        <v>43762</v>
      </c>
      <c r="L437">
        <v>0.032982382550335</v>
      </c>
      <c r="M437">
        <v>-0.05464864547507764</v>
      </c>
      <c r="N437">
        <v>0.06</v>
      </c>
      <c r="O437">
        <v>0.0375880658288148</v>
      </c>
      <c r="P437" t="s">
        <v>405</v>
      </c>
      <c r="Q437" t="s">
        <v>405</v>
      </c>
      <c r="R437">
        <v>6</v>
      </c>
      <c r="S437">
        <v>0.6837391304347826</v>
      </c>
      <c r="T437">
        <v>18</v>
      </c>
      <c r="U437">
        <v>1.324444444444445</v>
      </c>
      <c r="V437">
        <v>0.6701</v>
      </c>
      <c r="W437">
        <v>1.15</v>
      </c>
      <c r="X437">
        <v>0.7863</v>
      </c>
      <c r="Y437">
        <v>0.2034</v>
      </c>
      <c r="Z437">
        <v>0.5591766723842195</v>
      </c>
      <c r="AA437">
        <v>0.4595469255663431</v>
      </c>
      <c r="AB437">
        <v>0.6130856219709209</v>
      </c>
      <c r="AC437">
        <v>0.2536348949919224</v>
      </c>
      <c r="AD437">
        <v>0.2940226171243942</v>
      </c>
    </row>
    <row r="438" spans="1:30">
      <c r="A438" s="1" t="s">
        <v>445</v>
      </c>
      <c r="B438">
        <f>HYPERLINK("https://www.suredividend.com/sure-analysis-DOW","Dow, Inc.")</f>
        <v>0</v>
      </c>
      <c r="C438">
        <v>54.61</v>
      </c>
      <c r="D438">
        <v>40493.09656</v>
      </c>
      <c r="E438" t="s">
        <v>661</v>
      </c>
      <c r="F438" t="s">
        <v>629</v>
      </c>
      <c r="G438" t="s">
        <v>673</v>
      </c>
      <c r="H438" t="s">
        <v>703</v>
      </c>
      <c r="I438" t="s">
        <v>1140</v>
      </c>
      <c r="J438" t="s">
        <v>1314</v>
      </c>
      <c r="K438">
        <v>43772</v>
      </c>
      <c r="L438">
        <v>0.038454495513642</v>
      </c>
      <c r="M438">
        <v>-0.0511546736383468</v>
      </c>
      <c r="N438">
        <v>0.03</v>
      </c>
      <c r="O438">
        <v>0.03547710344993882</v>
      </c>
      <c r="P438" t="s">
        <v>405</v>
      </c>
      <c r="Q438" t="s">
        <v>405</v>
      </c>
      <c r="R438">
        <v>2</v>
      </c>
      <c r="S438">
        <v>0.6</v>
      </c>
      <c r="T438">
        <v>42</v>
      </c>
      <c r="U438">
        <v>1.300238095238095</v>
      </c>
      <c r="W438">
        <v>3.5</v>
      </c>
      <c r="X438">
        <v>2.1</v>
      </c>
      <c r="Y438">
        <v>-0.029156</v>
      </c>
      <c r="Z438">
        <v>0.6312178387650086</v>
      </c>
      <c r="AA438">
        <v>0.1359223300970874</v>
      </c>
      <c r="AB438">
        <v>0.2003231017770598</v>
      </c>
      <c r="AC438">
        <v>0.2794830371567044</v>
      </c>
      <c r="AD438">
        <v>0.2794830371567044</v>
      </c>
    </row>
    <row r="439" spans="1:30">
      <c r="A439" s="1" t="s">
        <v>446</v>
      </c>
      <c r="B439">
        <f>HYPERLINK("https://www.suredividend.com/sure-analysis-SIEGY","Siemens AG")</f>
        <v>0</v>
      </c>
      <c r="C439">
        <v>65.17</v>
      </c>
      <c r="D439">
        <v>105936.174864</v>
      </c>
      <c r="E439" t="s">
        <v>663</v>
      </c>
      <c r="F439" t="s">
        <v>629</v>
      </c>
      <c r="G439" t="s">
        <v>682</v>
      </c>
      <c r="H439" t="s">
        <v>705</v>
      </c>
      <c r="I439" t="s">
        <v>1141</v>
      </c>
      <c r="J439" t="s">
        <v>1316</v>
      </c>
      <c r="K439">
        <v>43711</v>
      </c>
      <c r="L439">
        <v>0.033372717508055</v>
      </c>
      <c r="M439">
        <v>-0.04414696263408457</v>
      </c>
      <c r="N439">
        <v>0.045</v>
      </c>
      <c r="O439">
        <v>0.03497704173308613</v>
      </c>
      <c r="P439" t="s">
        <v>405</v>
      </c>
      <c r="Q439" t="s">
        <v>405</v>
      </c>
      <c r="R439">
        <v>4</v>
      </c>
      <c r="S439">
        <v>0.5894037940379404</v>
      </c>
      <c r="T439">
        <v>52</v>
      </c>
      <c r="U439">
        <v>1.253269230769231</v>
      </c>
      <c r="V439">
        <v>3.615</v>
      </c>
      <c r="W439">
        <v>3.69</v>
      </c>
      <c r="X439">
        <v>2.1749</v>
      </c>
      <c r="Y439">
        <v>0.1459</v>
      </c>
      <c r="Z439">
        <v>0.5694682675814752</v>
      </c>
      <c r="AA439">
        <v>0.3495145631067961</v>
      </c>
      <c r="AB439">
        <v>0.3820678513731826</v>
      </c>
      <c r="AC439">
        <v>0.3344103392568659</v>
      </c>
      <c r="AD439">
        <v>0.2746365105008077</v>
      </c>
    </row>
    <row r="440" spans="1:30">
      <c r="A440" s="1" t="s">
        <v>447</v>
      </c>
      <c r="B440">
        <f>HYPERLINK("https://www.suredividend.com/sure-analysis-RIO","Rio Tinto Plc")</f>
        <v>0</v>
      </c>
      <c r="C440">
        <v>58.77</v>
      </c>
      <c r="D440">
        <v>74028.416841</v>
      </c>
      <c r="E440" t="s">
        <v>659</v>
      </c>
      <c r="F440" t="s">
        <v>629</v>
      </c>
      <c r="G440" t="s">
        <v>677</v>
      </c>
      <c r="H440" t="s">
        <v>703</v>
      </c>
      <c r="I440" t="s">
        <v>1142</v>
      </c>
      <c r="J440" t="s">
        <v>1323</v>
      </c>
      <c r="K440">
        <v>43804</v>
      </c>
      <c r="L440">
        <v>0.056491407180534</v>
      </c>
      <c r="M440">
        <v>-0.03180493932044526</v>
      </c>
      <c r="N440">
        <v>0.01</v>
      </c>
      <c r="O440">
        <v>0.0337192901865484</v>
      </c>
      <c r="P440" t="s">
        <v>405</v>
      </c>
      <c r="Q440" t="s">
        <v>634</v>
      </c>
      <c r="R440">
        <v>3</v>
      </c>
      <c r="S440">
        <v>0.526984126984127</v>
      </c>
      <c r="T440">
        <v>50</v>
      </c>
      <c r="U440">
        <v>1.1754</v>
      </c>
      <c r="V440">
        <v>7.9311</v>
      </c>
      <c r="W440">
        <v>6.3</v>
      </c>
      <c r="X440">
        <v>3.32</v>
      </c>
      <c r="Y440">
        <v>0.2321</v>
      </c>
      <c r="Z440">
        <v>0.8181818181818181</v>
      </c>
      <c r="AA440">
        <v>0.5242718446601942</v>
      </c>
      <c r="AB440">
        <v>0.05411954765751212</v>
      </c>
      <c r="AC440">
        <v>0.4458804523424879</v>
      </c>
      <c r="AD440">
        <v>0.2697899838449112</v>
      </c>
    </row>
    <row r="441" spans="1:30">
      <c r="A441" s="1" t="s">
        <v>448</v>
      </c>
      <c r="B441">
        <f>HYPERLINK("https://www.suredividend.com/sure-analysis-DTE","DTE Energy Co.")</f>
        <v>0</v>
      </c>
      <c r="C441">
        <v>129.86</v>
      </c>
      <c r="D441">
        <v>24946.7553</v>
      </c>
      <c r="E441" t="s">
        <v>659</v>
      </c>
      <c r="F441" t="s">
        <v>629</v>
      </c>
      <c r="G441" t="s">
        <v>673</v>
      </c>
      <c r="H441" t="s">
        <v>703</v>
      </c>
      <c r="I441" t="s">
        <v>1143</v>
      </c>
      <c r="J441" t="s">
        <v>1321</v>
      </c>
      <c r="K441">
        <v>43731</v>
      </c>
      <c r="L441">
        <v>0.029108270445094</v>
      </c>
      <c r="M441">
        <v>-0.05474249229451433</v>
      </c>
      <c r="N441">
        <v>0.06</v>
      </c>
      <c r="O441">
        <v>0.0334278396836718</v>
      </c>
      <c r="P441" t="s">
        <v>405</v>
      </c>
      <c r="Q441" t="s">
        <v>405</v>
      </c>
      <c r="R441">
        <v>10</v>
      </c>
      <c r="S441">
        <v>0.6048</v>
      </c>
      <c r="T441">
        <v>98</v>
      </c>
      <c r="U441">
        <v>1.325102040816327</v>
      </c>
      <c r="V441">
        <v>5.9799</v>
      </c>
      <c r="W441">
        <v>6.25</v>
      </c>
      <c r="X441">
        <v>3.78</v>
      </c>
      <c r="Y441">
        <v>0.138623</v>
      </c>
      <c r="Z441">
        <v>0.4939965694682676</v>
      </c>
      <c r="AA441">
        <v>0.3365695792880259</v>
      </c>
      <c r="AB441">
        <v>0.6130856219709209</v>
      </c>
      <c r="AC441">
        <v>0.2520193861066236</v>
      </c>
      <c r="AD441">
        <v>0.2665589660743134</v>
      </c>
    </row>
    <row r="442" spans="1:30">
      <c r="A442" s="1" t="s">
        <v>449</v>
      </c>
      <c r="B442">
        <f>HYPERLINK("https://www.suredividend.com/sure-analysis-VLO","Valero Energy Corp.")</f>
        <v>0</v>
      </c>
      <c r="C442">
        <v>95.27</v>
      </c>
      <c r="D442">
        <v>39122.91131</v>
      </c>
      <c r="E442" t="s">
        <v>659</v>
      </c>
      <c r="F442" t="s">
        <v>629</v>
      </c>
      <c r="G442" t="s">
        <v>673</v>
      </c>
      <c r="H442" t="s">
        <v>703</v>
      </c>
      <c r="I442" t="s">
        <v>1144</v>
      </c>
      <c r="J442" t="s">
        <v>1312</v>
      </c>
      <c r="K442">
        <v>43763</v>
      </c>
      <c r="L442">
        <v>0.036737692872887</v>
      </c>
      <c r="M442">
        <v>-0.09763189146030204</v>
      </c>
      <c r="N442">
        <v>0.096</v>
      </c>
      <c r="O442">
        <v>0.03111688529310719</v>
      </c>
      <c r="P442" t="s">
        <v>405</v>
      </c>
      <c r="Q442" t="s">
        <v>494</v>
      </c>
      <c r="R442">
        <v>9</v>
      </c>
      <c r="S442">
        <v>0.6140350877192983</v>
      </c>
      <c r="T442">
        <v>57</v>
      </c>
      <c r="U442">
        <v>1.67140350877193</v>
      </c>
      <c r="V442">
        <v>5.5457</v>
      </c>
      <c r="W442">
        <v>5.7</v>
      </c>
      <c r="X442">
        <v>3.5</v>
      </c>
      <c r="Y442">
        <v>0.329844</v>
      </c>
      <c r="Z442">
        <v>0.6106346483704974</v>
      </c>
      <c r="AA442">
        <v>0.6634304207119741</v>
      </c>
      <c r="AB442">
        <v>0.9095315024232633</v>
      </c>
      <c r="AC442">
        <v>0.06946688206785137</v>
      </c>
      <c r="AD442">
        <v>0.2536348949919224</v>
      </c>
    </row>
    <row r="443" spans="1:30">
      <c r="A443" s="1" t="s">
        <v>450</v>
      </c>
      <c r="B443">
        <f>HYPERLINK("https://www.suredividend.com/sure-analysis-CODI","Compass Diversified Holdings")</f>
        <v>0</v>
      </c>
      <c r="C443">
        <v>24.8</v>
      </c>
      <c r="D443">
        <v>1485.52</v>
      </c>
      <c r="E443" t="s">
        <v>663</v>
      </c>
      <c r="F443" t="s">
        <v>629</v>
      </c>
      <c r="G443" t="s">
        <v>673</v>
      </c>
      <c r="H443" t="s">
        <v>703</v>
      </c>
      <c r="J443" t="s">
        <v>1309</v>
      </c>
      <c r="K443">
        <v>43773</v>
      </c>
      <c r="L443">
        <v>0.058064516129032</v>
      </c>
      <c r="M443">
        <v>-0.07274443575124789</v>
      </c>
      <c r="N443">
        <v>0.045</v>
      </c>
      <c r="O443">
        <v>0.02737200629154879</v>
      </c>
      <c r="P443" t="s">
        <v>405</v>
      </c>
      <c r="Q443" t="s">
        <v>494</v>
      </c>
      <c r="R443">
        <v>0</v>
      </c>
      <c r="S443">
        <v>0.6857142857142856</v>
      </c>
      <c r="T443">
        <v>17</v>
      </c>
      <c r="U443">
        <v>1.458823529411765</v>
      </c>
      <c r="V443">
        <v>-1.9251</v>
      </c>
      <c r="W443">
        <v>2.1</v>
      </c>
      <c r="X443">
        <v>1.44</v>
      </c>
      <c r="Y443">
        <v>1.001614</v>
      </c>
      <c r="Z443">
        <v>0.8250428816466553</v>
      </c>
      <c r="AA443">
        <v>0.9854368932038835</v>
      </c>
      <c r="AB443">
        <v>0.3820678513731826</v>
      </c>
      <c r="AC443">
        <v>0.1453957996768982</v>
      </c>
      <c r="AD443">
        <v>0.2358642972536349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85.53</v>
      </c>
      <c r="D444">
        <v>30653.952</v>
      </c>
      <c r="E444" t="s">
        <v>660</v>
      </c>
      <c r="F444" t="s">
        <v>629</v>
      </c>
      <c r="G444" t="s">
        <v>673</v>
      </c>
      <c r="H444" t="s">
        <v>704</v>
      </c>
      <c r="I444" t="s">
        <v>1145</v>
      </c>
      <c r="J444" t="s">
        <v>1320</v>
      </c>
      <c r="K444">
        <v>43740</v>
      </c>
      <c r="L444">
        <v>0.028294165789781</v>
      </c>
      <c r="M444">
        <v>-0.05341639764830286</v>
      </c>
      <c r="N444">
        <v>0.05</v>
      </c>
      <c r="O444">
        <v>0.02624953477869396</v>
      </c>
      <c r="P444" t="s">
        <v>405</v>
      </c>
      <c r="Q444" t="s">
        <v>382</v>
      </c>
      <c r="R444">
        <v>9</v>
      </c>
      <c r="S444">
        <v>0.7806451612903226</v>
      </c>
      <c r="T444">
        <v>65</v>
      </c>
      <c r="U444">
        <v>1.315846153846154</v>
      </c>
      <c r="V444">
        <v>2.9992</v>
      </c>
      <c r="W444">
        <v>3.1</v>
      </c>
      <c r="X444">
        <v>2.42</v>
      </c>
      <c r="Y444">
        <v>0.339756</v>
      </c>
      <c r="Z444">
        <v>0.4734133790737565</v>
      </c>
      <c r="AA444">
        <v>0.6763754045307444</v>
      </c>
      <c r="AB444">
        <v>0.4588045234248789</v>
      </c>
      <c r="AC444">
        <v>0.2649434571890145</v>
      </c>
      <c r="AD444">
        <v>0.2261712439418417</v>
      </c>
    </row>
    <row r="445" spans="1:30">
      <c r="A445" s="1" t="s">
        <v>452</v>
      </c>
      <c r="B445">
        <f>HYPERLINK("https://www.suredividend.com/sure-analysis-TRSWF","TransAlta Renewables, Inc.")</f>
        <v>0</v>
      </c>
      <c r="C445">
        <v>11.8</v>
      </c>
      <c r="D445">
        <v>3129.8438</v>
      </c>
      <c r="E445" t="s">
        <v>667</v>
      </c>
      <c r="F445" t="s">
        <v>629</v>
      </c>
      <c r="G445" t="s">
        <v>675</v>
      </c>
      <c r="H445" t="s">
        <v>705</v>
      </c>
      <c r="J445" t="s">
        <v>1321</v>
      </c>
      <c r="K445">
        <v>43754</v>
      </c>
      <c r="L445">
        <v>0.06002393702833501</v>
      </c>
      <c r="M445">
        <v>-0.0527336709209334</v>
      </c>
      <c r="N445">
        <v>0.015</v>
      </c>
      <c r="O445">
        <v>0.02476100190150032</v>
      </c>
      <c r="P445" t="s">
        <v>405</v>
      </c>
      <c r="Q445" t="s">
        <v>634</v>
      </c>
      <c r="R445">
        <v>5</v>
      </c>
      <c r="S445">
        <v>0.7012697593409536</v>
      </c>
      <c r="T445">
        <v>9</v>
      </c>
      <c r="U445">
        <v>1.311111111111111</v>
      </c>
      <c r="V445">
        <v>0.6407</v>
      </c>
      <c r="W445">
        <v>1.01</v>
      </c>
      <c r="X445">
        <v>0.7082824569343631</v>
      </c>
      <c r="Y445">
        <v>0.5641929999999999</v>
      </c>
      <c r="Z445">
        <v>0.8353344768439108</v>
      </c>
      <c r="AA445">
        <v>0.9142394822006473</v>
      </c>
      <c r="AB445">
        <v>0.07592891760904685</v>
      </c>
      <c r="AC445">
        <v>0.2697899838449112</v>
      </c>
      <c r="AD445">
        <v>0.2132471728594507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22.26</v>
      </c>
      <c r="D446">
        <v>5120.84622</v>
      </c>
      <c r="E446" t="s">
        <v>665</v>
      </c>
      <c r="F446" t="s">
        <v>629</v>
      </c>
      <c r="G446" t="s">
        <v>673</v>
      </c>
      <c r="H446" t="s">
        <v>704</v>
      </c>
      <c r="I446" t="s">
        <v>1146</v>
      </c>
      <c r="J446" t="s">
        <v>1324</v>
      </c>
      <c r="K446">
        <v>43781</v>
      </c>
      <c r="L446">
        <v>0.017295597484276</v>
      </c>
      <c r="M446">
        <v>-0.06390707138229468</v>
      </c>
      <c r="N446">
        <v>0.07000000000000001</v>
      </c>
      <c r="O446">
        <v>0.02355795079972145</v>
      </c>
      <c r="P446" t="s">
        <v>405</v>
      </c>
      <c r="Q446" t="s">
        <v>382</v>
      </c>
      <c r="R446">
        <v>10</v>
      </c>
      <c r="S446">
        <v>0.6111111111111112</v>
      </c>
      <c r="T446">
        <v>16</v>
      </c>
      <c r="U446">
        <v>1.39125</v>
      </c>
      <c r="V446">
        <v>0.5587</v>
      </c>
      <c r="W446">
        <v>0.63</v>
      </c>
      <c r="X446">
        <v>0.385</v>
      </c>
      <c r="Y446">
        <v>0.418738</v>
      </c>
      <c r="Z446">
        <v>0.2315608919382504</v>
      </c>
      <c r="AA446">
        <v>0.7944983818770227</v>
      </c>
      <c r="AB446">
        <v>0.7245557350565428</v>
      </c>
      <c r="AC446">
        <v>0.1760904684975768</v>
      </c>
      <c r="AD446">
        <v>0.210016155088853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59.62</v>
      </c>
      <c r="D447">
        <v>15662.82982</v>
      </c>
      <c r="E447" t="s">
        <v>663</v>
      </c>
      <c r="F447" t="s">
        <v>629</v>
      </c>
      <c r="G447" t="s">
        <v>676</v>
      </c>
      <c r="H447" t="s">
        <v>704</v>
      </c>
      <c r="I447" t="s">
        <v>1147</v>
      </c>
      <c r="J447" t="s">
        <v>1308</v>
      </c>
      <c r="K447">
        <v>43770</v>
      </c>
      <c r="L447">
        <v>0.042267695404226</v>
      </c>
      <c r="M447">
        <v>-0.05895120926801756</v>
      </c>
      <c r="N447">
        <v>0.038</v>
      </c>
      <c r="O447">
        <v>0.02192307998753762</v>
      </c>
      <c r="P447" t="s">
        <v>405</v>
      </c>
      <c r="Q447" t="s">
        <v>494</v>
      </c>
      <c r="R447">
        <v>7</v>
      </c>
      <c r="S447">
        <v>0.5688487584650114</v>
      </c>
      <c r="T447">
        <v>44</v>
      </c>
      <c r="U447">
        <v>1.355</v>
      </c>
      <c r="V447">
        <v>6.3704</v>
      </c>
      <c r="W447">
        <v>4.43</v>
      </c>
      <c r="X447">
        <v>2.52</v>
      </c>
      <c r="Y447">
        <v>0.639714</v>
      </c>
      <c r="Z447">
        <v>0.6861063464837049</v>
      </c>
      <c r="AA447">
        <v>0.9401294498381877</v>
      </c>
      <c r="AB447">
        <v>0.2665589660743134</v>
      </c>
      <c r="AC447">
        <v>0.2148626817447496</v>
      </c>
      <c r="AD447">
        <v>0.2019386106623587</v>
      </c>
    </row>
    <row r="448" spans="1:30">
      <c r="A448" s="1" t="s">
        <v>455</v>
      </c>
      <c r="B448">
        <f>HYPERLINK("https://www.suredividend.com/sure-analysis-AVB","AvalonBay Communities, Inc.")</f>
        <v>0</v>
      </c>
      <c r="C448">
        <v>208.01</v>
      </c>
      <c r="D448">
        <v>29051.09262</v>
      </c>
      <c r="E448" t="s">
        <v>667</v>
      </c>
      <c r="F448" t="s">
        <v>630</v>
      </c>
      <c r="G448" t="s">
        <v>673</v>
      </c>
      <c r="H448" t="s">
        <v>703</v>
      </c>
      <c r="I448" t="s">
        <v>1148</v>
      </c>
      <c r="J448" t="s">
        <v>1309</v>
      </c>
      <c r="K448">
        <v>43789</v>
      </c>
      <c r="L448">
        <v>0.028988990913898</v>
      </c>
      <c r="M448">
        <v>-0.04182460691159462</v>
      </c>
      <c r="N448">
        <v>0.03</v>
      </c>
      <c r="O448">
        <v>0.01896740515770534</v>
      </c>
      <c r="P448" t="s">
        <v>405</v>
      </c>
      <c r="Q448" t="s">
        <v>382</v>
      </c>
      <c r="R448">
        <v>0</v>
      </c>
      <c r="S448">
        <v>0.6449197860962568</v>
      </c>
      <c r="T448">
        <v>168</v>
      </c>
      <c r="U448">
        <v>1.238154761904762</v>
      </c>
      <c r="V448">
        <v>7.2227</v>
      </c>
      <c r="W448">
        <v>9.35</v>
      </c>
      <c r="X448">
        <v>6.03</v>
      </c>
      <c r="Y448">
        <v>0.174932</v>
      </c>
      <c r="Z448">
        <v>0.4888507718696398</v>
      </c>
      <c r="AA448">
        <v>0.4061488673139159</v>
      </c>
      <c r="AB448">
        <v>0.2003231017770598</v>
      </c>
      <c r="AC448">
        <v>0.3602584814216478</v>
      </c>
      <c r="AD448">
        <v>0.18578352180937</v>
      </c>
    </row>
    <row r="449" spans="1:30">
      <c r="A449" s="1" t="s">
        <v>456</v>
      </c>
      <c r="B449">
        <f>HYPERLINK("https://www.suredividend.com/sure-analysis-NNN","National Retail Properties, Inc.")</f>
        <v>0</v>
      </c>
      <c r="C449">
        <v>52.27</v>
      </c>
      <c r="D449">
        <v>8971.518260000001</v>
      </c>
      <c r="E449" t="s">
        <v>667</v>
      </c>
      <c r="F449" t="s">
        <v>630</v>
      </c>
      <c r="G449" t="s">
        <v>673</v>
      </c>
      <c r="H449" t="s">
        <v>703</v>
      </c>
      <c r="I449" t="s">
        <v>1149</v>
      </c>
      <c r="J449" t="s">
        <v>1309</v>
      </c>
      <c r="K449">
        <v>43699</v>
      </c>
      <c r="L449">
        <v>0.038549837382819</v>
      </c>
      <c r="M449">
        <v>-0.0617766887352732</v>
      </c>
      <c r="N449">
        <v>0.04</v>
      </c>
      <c r="O449">
        <v>0.01819918189466163</v>
      </c>
      <c r="P449" t="s">
        <v>405</v>
      </c>
      <c r="Q449" t="s">
        <v>494</v>
      </c>
      <c r="R449">
        <v>29</v>
      </c>
      <c r="S449">
        <v>0.7354014598540146</v>
      </c>
      <c r="T449">
        <v>38</v>
      </c>
      <c r="U449">
        <v>1.375526315789474</v>
      </c>
      <c r="V449">
        <v>1.4012</v>
      </c>
      <c r="W449">
        <v>2.74</v>
      </c>
      <c r="X449">
        <v>2.015</v>
      </c>
      <c r="Y449">
        <v>0.079736</v>
      </c>
      <c r="Z449">
        <v>0.6329331046312179</v>
      </c>
      <c r="AA449">
        <v>0.2572815533980582</v>
      </c>
      <c r="AB449">
        <v>0.3182552504038772</v>
      </c>
      <c r="AC449">
        <v>0.1938610662358643</v>
      </c>
      <c r="AD449">
        <v>0.1825525040387722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80.3</v>
      </c>
      <c r="D450">
        <v>29819.7262</v>
      </c>
      <c r="E450" t="s">
        <v>667</v>
      </c>
      <c r="F450" t="s">
        <v>630</v>
      </c>
      <c r="G450" t="s">
        <v>673</v>
      </c>
      <c r="H450" t="s">
        <v>703</v>
      </c>
      <c r="I450" t="s">
        <v>1150</v>
      </c>
      <c r="J450" t="s">
        <v>1309</v>
      </c>
      <c r="K450">
        <v>43798</v>
      </c>
      <c r="L450">
        <v>0.027926525529265</v>
      </c>
      <c r="M450">
        <v>-0.04736836200621553</v>
      </c>
      <c r="N450">
        <v>0.035</v>
      </c>
      <c r="O450">
        <v>0.01615040682207813</v>
      </c>
      <c r="P450" t="s">
        <v>405</v>
      </c>
      <c r="Q450" t="s">
        <v>382</v>
      </c>
      <c r="R450">
        <v>0</v>
      </c>
      <c r="S450">
        <v>0.661504424778761</v>
      </c>
      <c r="T450">
        <v>63</v>
      </c>
      <c r="U450">
        <v>1.274603174603175</v>
      </c>
      <c r="V450">
        <v>2.1996</v>
      </c>
      <c r="W450">
        <v>3.39</v>
      </c>
      <c r="X450">
        <v>2.2425</v>
      </c>
      <c r="Y450">
        <v>0.19423</v>
      </c>
      <c r="Z450">
        <v>0.4648370497427101</v>
      </c>
      <c r="AA450">
        <v>0.4466019417475728</v>
      </c>
      <c r="AB450">
        <v>0.2520193861066236</v>
      </c>
      <c r="AC450">
        <v>0.3037156704361874</v>
      </c>
      <c r="AD450">
        <v>0.172859450726979</v>
      </c>
    </row>
    <row r="451" spans="1:30">
      <c r="A451" s="1" t="s">
        <v>458</v>
      </c>
      <c r="B451">
        <f>HYPERLINK("https://www.suredividend.com/sure-analysis-SO","The Southern Co.")</f>
        <v>0</v>
      </c>
      <c r="C451">
        <v>63.86</v>
      </c>
      <c r="D451">
        <v>66971.89780000001</v>
      </c>
      <c r="E451" t="s">
        <v>659</v>
      </c>
      <c r="F451" t="s">
        <v>629</v>
      </c>
      <c r="G451" t="s">
        <v>673</v>
      </c>
      <c r="H451" t="s">
        <v>703</v>
      </c>
      <c r="I451" t="s">
        <v>1151</v>
      </c>
      <c r="J451" t="s">
        <v>1321</v>
      </c>
      <c r="K451">
        <v>43773</v>
      </c>
      <c r="L451">
        <v>0.038208581271531</v>
      </c>
      <c r="M451">
        <v>-0.05159587733826809</v>
      </c>
      <c r="N451">
        <v>0.025</v>
      </c>
      <c r="O451">
        <v>0.01535252020872524</v>
      </c>
      <c r="P451" t="s">
        <v>405</v>
      </c>
      <c r="Q451" t="s">
        <v>405</v>
      </c>
      <c r="R451">
        <v>19</v>
      </c>
      <c r="S451">
        <v>0.7845659163987139</v>
      </c>
      <c r="T451">
        <v>49</v>
      </c>
      <c r="U451">
        <v>1.303265306122449</v>
      </c>
      <c r="V451">
        <v>4.3968</v>
      </c>
      <c r="W451">
        <v>3.11</v>
      </c>
      <c r="X451">
        <v>2.44</v>
      </c>
      <c r="Y451">
        <v>0.416279</v>
      </c>
      <c r="Z451">
        <v>0.6277873070325901</v>
      </c>
      <c r="AA451">
        <v>0.7896440129449839</v>
      </c>
      <c r="AB451">
        <v>0.1502423263327948</v>
      </c>
      <c r="AC451">
        <v>0.2746365105008077</v>
      </c>
      <c r="AD451">
        <v>0.1680129240710824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667</v>
      </c>
      <c r="F452" t="s">
        <v>629</v>
      </c>
      <c r="G452" t="s">
        <v>675</v>
      </c>
      <c r="H452" t="s">
        <v>705</v>
      </c>
      <c r="I452" t="s">
        <v>1152</v>
      </c>
      <c r="J452" t="s">
        <v>1309</v>
      </c>
      <c r="K452">
        <v>43754</v>
      </c>
      <c r="L452">
        <v>0.032450210997125</v>
      </c>
      <c r="M452">
        <v>-0.04965332858499649</v>
      </c>
      <c r="N452">
        <v>0.03</v>
      </c>
      <c r="O452">
        <v>0.01497984019824972</v>
      </c>
      <c r="P452" t="s">
        <v>405</v>
      </c>
      <c r="Q452" t="s">
        <v>405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0.390657</v>
      </c>
      <c r="Z452">
        <v>0.548885077186964</v>
      </c>
      <c r="AA452">
        <v>0.7411003236245954</v>
      </c>
      <c r="AB452">
        <v>0.2003231017770598</v>
      </c>
      <c r="AC452">
        <v>0.2907915993537964</v>
      </c>
      <c r="AD452">
        <v>0.1647819063004847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33.3</v>
      </c>
      <c r="D453">
        <v>17148.9672</v>
      </c>
      <c r="E453" t="s">
        <v>659</v>
      </c>
      <c r="F453" t="s">
        <v>629</v>
      </c>
      <c r="G453" t="s">
        <v>673</v>
      </c>
      <c r="H453" t="s">
        <v>703</v>
      </c>
      <c r="I453" t="s">
        <v>1153</v>
      </c>
      <c r="J453" t="s">
        <v>1324</v>
      </c>
      <c r="K453">
        <v>43776</v>
      </c>
      <c r="L453">
        <v>0.015315315315315</v>
      </c>
      <c r="M453">
        <v>-0.1258198563822377</v>
      </c>
      <c r="N453">
        <v>0.135</v>
      </c>
      <c r="O453">
        <v>0.01112807524269388</v>
      </c>
      <c r="P453" t="s">
        <v>405</v>
      </c>
      <c r="Q453" t="s">
        <v>382</v>
      </c>
      <c r="R453">
        <v>1</v>
      </c>
      <c r="S453">
        <v>0.4857142857142857</v>
      </c>
      <c r="T453">
        <v>17</v>
      </c>
      <c r="U453">
        <v>1.958823529411765</v>
      </c>
      <c r="V453">
        <v>0.0133</v>
      </c>
      <c r="W453">
        <v>1.05</v>
      </c>
      <c r="X453">
        <v>0.51</v>
      </c>
      <c r="Y453">
        <v>0.487936</v>
      </c>
      <c r="Z453">
        <v>0.1783876500857633</v>
      </c>
      <c r="AA453">
        <v>0.8673139158576052</v>
      </c>
      <c r="AB453">
        <v>0.9693053311793214</v>
      </c>
      <c r="AC453">
        <v>0.03715670436187399</v>
      </c>
      <c r="AD453">
        <v>0.1518578352180937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49.17</v>
      </c>
      <c r="D454">
        <v>14832.37635</v>
      </c>
      <c r="E454" t="s">
        <v>665</v>
      </c>
      <c r="F454" t="s">
        <v>629</v>
      </c>
      <c r="G454" t="s">
        <v>673</v>
      </c>
      <c r="H454" t="s">
        <v>703</v>
      </c>
      <c r="I454" t="s">
        <v>1154</v>
      </c>
      <c r="J454" t="s">
        <v>1322</v>
      </c>
      <c r="K454">
        <v>43812</v>
      </c>
      <c r="L454">
        <v>0.02847264592231</v>
      </c>
      <c r="M454">
        <v>-0.05528610482403551</v>
      </c>
      <c r="N454">
        <v>0.03</v>
      </c>
      <c r="O454">
        <v>0.004116392883623865</v>
      </c>
      <c r="P454" t="s">
        <v>405</v>
      </c>
      <c r="Q454" t="s">
        <v>382</v>
      </c>
      <c r="R454">
        <v>0</v>
      </c>
      <c r="S454">
        <v>0.6086956521739131</v>
      </c>
      <c r="T454">
        <v>37</v>
      </c>
      <c r="U454">
        <v>1.328918918918919</v>
      </c>
      <c r="V454">
        <v>0.8837</v>
      </c>
      <c r="W454">
        <v>2.3</v>
      </c>
      <c r="X454">
        <v>1.4</v>
      </c>
      <c r="Y454">
        <v>0.375385</v>
      </c>
      <c r="Z454">
        <v>0.4802744425385935</v>
      </c>
      <c r="AA454">
        <v>0.7216828478964402</v>
      </c>
      <c r="AB454">
        <v>0.2003231017770598</v>
      </c>
      <c r="AC454">
        <v>0.2439418416801292</v>
      </c>
      <c r="AD454">
        <v>0.1163166397415186</v>
      </c>
    </row>
    <row r="455" spans="1:30">
      <c r="A455" s="1" t="s">
        <v>462</v>
      </c>
      <c r="B455">
        <f>HYPERLINK("https://www.suredividend.com/sure-analysis-HAS","Hasbro, Inc.")</f>
        <v>0</v>
      </c>
      <c r="C455">
        <v>103.59</v>
      </c>
      <c r="D455">
        <v>14174.53047</v>
      </c>
      <c r="E455" t="s">
        <v>661</v>
      </c>
      <c r="F455" t="s">
        <v>629</v>
      </c>
      <c r="G455" t="s">
        <v>673</v>
      </c>
      <c r="H455" t="s">
        <v>704</v>
      </c>
      <c r="I455" t="s">
        <v>1155</v>
      </c>
      <c r="J455" t="s">
        <v>1317</v>
      </c>
      <c r="K455">
        <v>43763</v>
      </c>
      <c r="L455">
        <v>0.025774688676513</v>
      </c>
      <c r="M455">
        <v>-0.06760270392231615</v>
      </c>
      <c r="N455">
        <v>0.04</v>
      </c>
      <c r="O455">
        <v>0.001003577758522445</v>
      </c>
      <c r="P455" t="s">
        <v>405</v>
      </c>
      <c r="Q455" t="s">
        <v>405</v>
      </c>
      <c r="R455">
        <v>16</v>
      </c>
      <c r="S455">
        <v>0.6209302325581395</v>
      </c>
      <c r="T455">
        <v>73</v>
      </c>
      <c r="U455">
        <v>1.419041095890411</v>
      </c>
      <c r="V455">
        <v>2.0712</v>
      </c>
      <c r="W455">
        <v>4.3</v>
      </c>
      <c r="X455">
        <v>2.67</v>
      </c>
      <c r="Y455">
        <v>0.326207</v>
      </c>
      <c r="Z455">
        <v>0.4288164665523156</v>
      </c>
      <c r="AA455">
        <v>0.6569579288025891</v>
      </c>
      <c r="AB455">
        <v>0.3182552504038772</v>
      </c>
      <c r="AC455">
        <v>0.1680129240710824</v>
      </c>
      <c r="AD455">
        <v>0.111470113085622</v>
      </c>
    </row>
    <row r="456" spans="1:30">
      <c r="A456" s="1" t="s">
        <v>463</v>
      </c>
      <c r="B456">
        <f>HYPERLINK("https://www.suredividend.com/sure-analysis-WEC","WEC Energy Group, Inc.")</f>
        <v>0</v>
      </c>
      <c r="C456">
        <v>92.84999999999999</v>
      </c>
      <c r="D456">
        <v>29288.2326</v>
      </c>
      <c r="E456" t="s">
        <v>660</v>
      </c>
      <c r="F456" t="s">
        <v>629</v>
      </c>
      <c r="G456" t="s">
        <v>673</v>
      </c>
      <c r="H456" t="s">
        <v>703</v>
      </c>
      <c r="I456" t="s">
        <v>1156</v>
      </c>
      <c r="J456" t="s">
        <v>1321</v>
      </c>
      <c r="K456">
        <v>43775</v>
      </c>
      <c r="L456">
        <v>0.025013462574044</v>
      </c>
      <c r="M456">
        <v>-0.08058923294935083</v>
      </c>
      <c r="N456">
        <v>0.052</v>
      </c>
      <c r="O456">
        <v>-0.001038944414582188</v>
      </c>
      <c r="P456" t="s">
        <v>405</v>
      </c>
      <c r="Q456" t="s">
        <v>382</v>
      </c>
      <c r="R456">
        <v>16</v>
      </c>
      <c r="S456">
        <v>0.6598011363636364</v>
      </c>
      <c r="T456">
        <v>61</v>
      </c>
      <c r="U456">
        <v>1.522131147540984</v>
      </c>
      <c r="V456">
        <v>3.4729</v>
      </c>
      <c r="W456">
        <v>3.52</v>
      </c>
      <c r="X456">
        <v>2.3225</v>
      </c>
      <c r="Y456">
        <v>0.299692</v>
      </c>
      <c r="Z456">
        <v>0.4048027444253859</v>
      </c>
      <c r="AA456">
        <v>0.627831715210356</v>
      </c>
      <c r="AB456">
        <v>0.5323101777059773</v>
      </c>
      <c r="AC456">
        <v>0.111470113085622</v>
      </c>
      <c r="AD456">
        <v>0.1082390953150242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138.05</v>
      </c>
      <c r="D457">
        <v>14820.35775</v>
      </c>
      <c r="E457" t="s">
        <v>660</v>
      </c>
      <c r="F457" t="s">
        <v>629</v>
      </c>
      <c r="G457" t="s">
        <v>673</v>
      </c>
      <c r="H457" t="s">
        <v>704</v>
      </c>
      <c r="I457" t="s">
        <v>1157</v>
      </c>
      <c r="J457" t="s">
        <v>1324</v>
      </c>
      <c r="K457">
        <v>43776</v>
      </c>
      <c r="L457">
        <v>0.025353132922854</v>
      </c>
      <c r="M457">
        <v>-0.07202251593857156</v>
      </c>
      <c r="N457">
        <v>0.04</v>
      </c>
      <c r="O457">
        <v>-0.00118690086500961</v>
      </c>
      <c r="P457" t="s">
        <v>405</v>
      </c>
      <c r="Q457" t="s">
        <v>382</v>
      </c>
      <c r="R457">
        <v>1</v>
      </c>
      <c r="S457">
        <v>0.6603773584905661</v>
      </c>
      <c r="T457">
        <v>95</v>
      </c>
      <c r="U457">
        <v>1.453157894736842</v>
      </c>
      <c r="V457">
        <v>6.26</v>
      </c>
      <c r="W457">
        <v>5.3</v>
      </c>
      <c r="X457">
        <v>3.5</v>
      </c>
      <c r="Y457">
        <v>0.477893</v>
      </c>
      <c r="Z457">
        <v>0.411663807890223</v>
      </c>
      <c r="AA457">
        <v>0.8576051779935275</v>
      </c>
      <c r="AB457">
        <v>0.3182552504038772</v>
      </c>
      <c r="AC457">
        <v>0.148626817447496</v>
      </c>
      <c r="AD457">
        <v>0.1066235864297254</v>
      </c>
    </row>
    <row r="458" spans="1:30">
      <c r="A458" s="1" t="s">
        <v>465</v>
      </c>
      <c r="B458">
        <f>HYPERLINK("https://www.suredividend.com/sure-analysis-PPL","PPL Corp.")</f>
        <v>0</v>
      </c>
      <c r="C458">
        <v>35.83</v>
      </c>
      <c r="D458">
        <v>25906.27239</v>
      </c>
      <c r="E458" t="s">
        <v>660</v>
      </c>
      <c r="F458" t="s">
        <v>629</v>
      </c>
      <c r="G458" t="s">
        <v>673</v>
      </c>
      <c r="H458" t="s">
        <v>703</v>
      </c>
      <c r="I458" t="s">
        <v>1158</v>
      </c>
      <c r="J458" t="s">
        <v>1321</v>
      </c>
      <c r="K458">
        <v>43774</v>
      </c>
      <c r="L458">
        <v>0.045981021490371</v>
      </c>
      <c r="M458">
        <v>-0.07701873275438409</v>
      </c>
      <c r="N458">
        <v>0.02</v>
      </c>
      <c r="O458">
        <v>-0.003251484678651662</v>
      </c>
      <c r="P458" t="s">
        <v>405</v>
      </c>
      <c r="Q458" t="s">
        <v>634</v>
      </c>
      <c r="R458">
        <v>18</v>
      </c>
      <c r="S458">
        <v>0.6864583333333334</v>
      </c>
      <c r="T458">
        <v>24</v>
      </c>
      <c r="U458">
        <v>1.492916666666667</v>
      </c>
      <c r="V458">
        <v>2.4939</v>
      </c>
      <c r="W458">
        <v>2.4</v>
      </c>
      <c r="X458">
        <v>1.6475</v>
      </c>
      <c r="Y458">
        <v>0.26162</v>
      </c>
      <c r="Z458">
        <v>0.7255574614065181</v>
      </c>
      <c r="AA458">
        <v>0.576051779935275</v>
      </c>
      <c r="AB458">
        <v>0.1219709208400646</v>
      </c>
      <c r="AC458">
        <v>0.1324717285945073</v>
      </c>
      <c r="AD458">
        <v>0.1001615508885299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64.15000000000001</v>
      </c>
      <c r="D459">
        <v>33639.4902</v>
      </c>
      <c r="E459" t="s">
        <v>658</v>
      </c>
      <c r="F459" t="s">
        <v>629</v>
      </c>
      <c r="G459" t="s">
        <v>673</v>
      </c>
      <c r="H459" t="s">
        <v>704</v>
      </c>
      <c r="I459" t="s">
        <v>1159</v>
      </c>
      <c r="J459" t="s">
        <v>1321</v>
      </c>
      <c r="K459">
        <v>43762</v>
      </c>
      <c r="L459">
        <v>0.024863600935307</v>
      </c>
      <c r="M459">
        <v>-0.08122213030719783</v>
      </c>
      <c r="N459">
        <v>0.04</v>
      </c>
      <c r="O459">
        <v>-0.01314518090659844</v>
      </c>
      <c r="P459" t="s">
        <v>405</v>
      </c>
      <c r="Q459" t="s">
        <v>405</v>
      </c>
      <c r="R459">
        <v>16</v>
      </c>
      <c r="S459">
        <v>0.6087786259541984</v>
      </c>
      <c r="T459">
        <v>42</v>
      </c>
      <c r="U459">
        <v>1.527380952380953</v>
      </c>
      <c r="V459">
        <v>2.5054</v>
      </c>
      <c r="W459">
        <v>2.62</v>
      </c>
      <c r="X459">
        <v>1.595</v>
      </c>
      <c r="Y459">
        <v>0.260314</v>
      </c>
      <c r="Z459">
        <v>0.4013722126929674</v>
      </c>
      <c r="AA459">
        <v>0.5728155339805825</v>
      </c>
      <c r="AB459">
        <v>0.3182552504038772</v>
      </c>
      <c r="AC459">
        <v>0.1098546042003231</v>
      </c>
      <c r="AD459">
        <v>0.07269789983844911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41.76</v>
      </c>
      <c r="D460">
        <v>1451.24352</v>
      </c>
      <c r="E460" t="s">
        <v>663</v>
      </c>
      <c r="F460" t="s">
        <v>629</v>
      </c>
      <c r="G460" t="s">
        <v>673</v>
      </c>
      <c r="H460" t="s">
        <v>704</v>
      </c>
      <c r="I460" t="s">
        <v>1160</v>
      </c>
      <c r="J460" t="s">
        <v>1324</v>
      </c>
      <c r="K460">
        <v>43766</v>
      </c>
      <c r="L460">
        <v>0.014367816091954</v>
      </c>
      <c r="M460">
        <v>-0.1124486902749792</v>
      </c>
      <c r="N460">
        <v>0.08</v>
      </c>
      <c r="O460">
        <v>-0.0219610357890756</v>
      </c>
      <c r="P460" t="s">
        <v>405</v>
      </c>
      <c r="Q460" t="s">
        <v>382</v>
      </c>
      <c r="R460">
        <v>0</v>
      </c>
      <c r="S460">
        <v>0.4651162790697675</v>
      </c>
      <c r="T460">
        <v>23</v>
      </c>
      <c r="U460">
        <v>1.815652173913043</v>
      </c>
      <c r="V460">
        <v>0.5173</v>
      </c>
      <c r="W460">
        <v>1.29</v>
      </c>
      <c r="X460">
        <v>0.6000000000000001</v>
      </c>
      <c r="Y460">
        <v>0.117773</v>
      </c>
      <c r="Z460">
        <v>0.1560891938250429</v>
      </c>
      <c r="AA460">
        <v>0.3042071197411003</v>
      </c>
      <c r="AB460">
        <v>0.8182552504038771</v>
      </c>
      <c r="AC460">
        <v>0.05169628432956382</v>
      </c>
      <c r="AD460">
        <v>0.05169628432956382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98.68000000000001</v>
      </c>
      <c r="D461">
        <v>18759.36404</v>
      </c>
      <c r="E461" t="s">
        <v>661</v>
      </c>
      <c r="F461" t="s">
        <v>629</v>
      </c>
      <c r="G461" t="s">
        <v>678</v>
      </c>
      <c r="H461" t="s">
        <v>704</v>
      </c>
      <c r="I461" t="s">
        <v>1161</v>
      </c>
      <c r="J461" t="s">
        <v>1308</v>
      </c>
      <c r="K461">
        <v>43679</v>
      </c>
      <c r="L461">
        <v>0.022294284556141</v>
      </c>
      <c r="M461">
        <v>-0.09775481267153441</v>
      </c>
      <c r="N461">
        <v>0.043</v>
      </c>
      <c r="O461">
        <v>-0.02701356221286699</v>
      </c>
      <c r="P461" t="s">
        <v>405</v>
      </c>
      <c r="Q461" t="s">
        <v>382</v>
      </c>
      <c r="R461">
        <v>2</v>
      </c>
      <c r="S461">
        <v>0.5641025641025642</v>
      </c>
      <c r="T461">
        <v>59</v>
      </c>
      <c r="U461">
        <v>1.672542372881356</v>
      </c>
      <c r="V461">
        <v>4.1286</v>
      </c>
      <c r="W461">
        <v>3.9</v>
      </c>
      <c r="X461">
        <v>2.2</v>
      </c>
      <c r="Y461">
        <v>0.609</v>
      </c>
      <c r="Z461">
        <v>0.3447684391080618</v>
      </c>
      <c r="AA461">
        <v>0.9320388349514563</v>
      </c>
      <c r="AB461">
        <v>0.3723747980613893</v>
      </c>
      <c r="AC461">
        <v>0.06785137318255251</v>
      </c>
      <c r="AD461">
        <v>0.04523424878836834</v>
      </c>
    </row>
    <row r="462" spans="1:30">
      <c r="A462" s="1" t="s">
        <v>469</v>
      </c>
      <c r="B462">
        <f>HYPERLINK("https://www.suredividend.com/sure-analysis-WPM","Wheaton Precious Metals Corp.")</f>
        <v>0</v>
      </c>
      <c r="C462">
        <v>27.19</v>
      </c>
      <c r="D462">
        <v>12159.58552</v>
      </c>
      <c r="E462" t="s">
        <v>661</v>
      </c>
      <c r="F462" t="s">
        <v>629</v>
      </c>
      <c r="G462" t="s">
        <v>675</v>
      </c>
      <c r="H462" t="s">
        <v>703</v>
      </c>
      <c r="I462" t="s">
        <v>1162</v>
      </c>
      <c r="J462" t="s">
        <v>1323</v>
      </c>
      <c r="K462">
        <v>43787</v>
      </c>
      <c r="L462">
        <v>0.01332024995318</v>
      </c>
      <c r="M462">
        <v>-0.1372065708608455</v>
      </c>
      <c r="N462">
        <v>0.07000000000000001</v>
      </c>
      <c r="O462">
        <v>-0.05926326195875231</v>
      </c>
      <c r="P462" t="s">
        <v>405</v>
      </c>
      <c r="Q462" t="s">
        <v>382</v>
      </c>
      <c r="R462">
        <v>0</v>
      </c>
      <c r="S462">
        <v>0.6833539551452567</v>
      </c>
      <c r="T462">
        <v>13</v>
      </c>
      <c r="U462">
        <v>2.091538461538462</v>
      </c>
      <c r="V462">
        <v>0.0347</v>
      </c>
      <c r="W462">
        <v>0.53</v>
      </c>
      <c r="X462">
        <v>0.362177596226986</v>
      </c>
      <c r="Y462">
        <v>0.437864</v>
      </c>
      <c r="Z462">
        <v>0.1337907375643225</v>
      </c>
      <c r="AA462">
        <v>0.8122977346278317</v>
      </c>
      <c r="AB462">
        <v>0.7245557350565428</v>
      </c>
      <c r="AC462">
        <v>0.03069466882067852</v>
      </c>
      <c r="AD462">
        <v>0.02261712439418417</v>
      </c>
    </row>
    <row r="463" spans="1:30">
      <c r="A463" s="1" t="s">
        <v>470</v>
      </c>
      <c r="B463">
        <f>HYPERLINK("https://www.suredividend.com/sure-analysis-UHT","Universal Health Realty Income Trust")</f>
        <v>0</v>
      </c>
      <c r="C463">
        <v>117.75</v>
      </c>
      <c r="D463">
        <v>1619.88675</v>
      </c>
      <c r="E463" t="s">
        <v>667</v>
      </c>
      <c r="F463" t="s">
        <v>630</v>
      </c>
      <c r="G463" t="s">
        <v>673</v>
      </c>
      <c r="H463" t="s">
        <v>703</v>
      </c>
      <c r="I463" t="s">
        <v>1163</v>
      </c>
      <c r="J463" t="s">
        <v>1309</v>
      </c>
      <c r="K463">
        <v>43789</v>
      </c>
      <c r="L463">
        <v>0.023014861995753</v>
      </c>
      <c r="M463">
        <v>-0.1320525819759397</v>
      </c>
      <c r="N463">
        <v>0.03</v>
      </c>
      <c r="O463">
        <v>-0.07110404330537912</v>
      </c>
      <c r="P463" t="s">
        <v>405</v>
      </c>
      <c r="Q463" t="s">
        <v>382</v>
      </c>
      <c r="R463">
        <v>33</v>
      </c>
      <c r="S463">
        <v>0.8089552238805969</v>
      </c>
      <c r="T463">
        <v>58</v>
      </c>
      <c r="U463">
        <v>2.030172413793104</v>
      </c>
      <c r="V463">
        <v>1.2774</v>
      </c>
      <c r="W463">
        <v>3.35</v>
      </c>
      <c r="X463">
        <v>2.71</v>
      </c>
      <c r="Y463">
        <v>0.948213</v>
      </c>
      <c r="Z463">
        <v>0.3619210977701544</v>
      </c>
      <c r="AA463">
        <v>0.982200647249191</v>
      </c>
      <c r="AB463">
        <v>0.2003231017770598</v>
      </c>
      <c r="AC463">
        <v>0.03231017770597738</v>
      </c>
      <c r="AD463">
        <v>0.01615508885298869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26.92</v>
      </c>
      <c r="D464">
        <v>1706.94336</v>
      </c>
      <c r="E464" t="s">
        <v>660</v>
      </c>
      <c r="F464" t="s">
        <v>629</v>
      </c>
      <c r="G464" t="s">
        <v>698</v>
      </c>
      <c r="H464" t="s">
        <v>704</v>
      </c>
      <c r="I464" t="s">
        <v>1164</v>
      </c>
      <c r="J464" t="s">
        <v>1308</v>
      </c>
      <c r="K464">
        <v>43786</v>
      </c>
      <c r="L464">
        <v>0.017830609212481</v>
      </c>
      <c r="M464">
        <v>-0.2154818667086039</v>
      </c>
      <c r="N464">
        <v>0.02</v>
      </c>
      <c r="O464">
        <v>-0.1581814016644222</v>
      </c>
      <c r="P464" t="s">
        <v>405</v>
      </c>
      <c r="Q464" t="s">
        <v>382</v>
      </c>
      <c r="R464">
        <v>0</v>
      </c>
      <c r="S464">
        <v>0.48</v>
      </c>
      <c r="T464">
        <v>8</v>
      </c>
      <c r="U464">
        <v>3.365</v>
      </c>
      <c r="V464">
        <v>0.1789</v>
      </c>
      <c r="W464">
        <v>1</v>
      </c>
      <c r="X464">
        <v>0.48</v>
      </c>
      <c r="Y464">
        <v>0.473454</v>
      </c>
      <c r="Z464">
        <v>0.2452830188679245</v>
      </c>
      <c r="AA464">
        <v>0.8511326860841425</v>
      </c>
      <c r="AB464">
        <v>0.1219709208400646</v>
      </c>
      <c r="AC464">
        <v>0.006462035541195477</v>
      </c>
      <c r="AD464">
        <v>0.003231017770597738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27.73</v>
      </c>
      <c r="D465">
        <v>5558.70034</v>
      </c>
      <c r="E465" t="s">
        <v>659</v>
      </c>
      <c r="F465" t="s">
        <v>631</v>
      </c>
      <c r="G465" t="s">
        <v>673</v>
      </c>
      <c r="H465" t="s">
        <v>703</v>
      </c>
      <c r="I465" t="s">
        <v>1165</v>
      </c>
      <c r="J465" t="s">
        <v>1325</v>
      </c>
      <c r="K465">
        <v>43787</v>
      </c>
      <c r="L465">
        <v>0.164082221420843</v>
      </c>
      <c r="M465">
        <v>0.07602416417296753</v>
      </c>
      <c r="N465">
        <v>0.037</v>
      </c>
      <c r="O465">
        <v>0.2107742919865139</v>
      </c>
      <c r="P465" t="s">
        <v>382</v>
      </c>
      <c r="Q465" t="s">
        <v>634</v>
      </c>
      <c r="R465">
        <v>8</v>
      </c>
      <c r="S465">
        <v>0.9099999999999999</v>
      </c>
      <c r="T465">
        <v>40</v>
      </c>
      <c r="U465">
        <v>0.69325</v>
      </c>
      <c r="V465">
        <v>1.205</v>
      </c>
      <c r="W465">
        <v>5</v>
      </c>
      <c r="X465">
        <v>4.55</v>
      </c>
      <c r="Y465">
        <v>-0.331163</v>
      </c>
      <c r="Z465">
        <v>0.9982847341337907</v>
      </c>
      <c r="AA465">
        <v>0.02427184466019417</v>
      </c>
      <c r="AB465">
        <v>0.2649434571890145</v>
      </c>
      <c r="AC465">
        <v>0.988691437802908</v>
      </c>
      <c r="AD465">
        <v>0.9919224555735056</v>
      </c>
    </row>
    <row r="466" spans="1:30">
      <c r="A466" s="1" t="s">
        <v>473</v>
      </c>
      <c r="B466">
        <f>HYPERLINK("https://www.suredividend.com/sure-analysis-PRT","PermRock Royalty Trust")</f>
        <v>0</v>
      </c>
      <c r="C466">
        <v>5.9</v>
      </c>
      <c r="D466">
        <v>71.7794</v>
      </c>
      <c r="E466" t="s">
        <v>661</v>
      </c>
      <c r="F466" t="s">
        <v>629</v>
      </c>
      <c r="G466" t="s">
        <v>673</v>
      </c>
      <c r="H466" t="s">
        <v>703</v>
      </c>
      <c r="J466" t="s">
        <v>1312</v>
      </c>
      <c r="K466">
        <v>43727</v>
      </c>
      <c r="L466">
        <v>0.151814220338983</v>
      </c>
      <c r="M466">
        <v>0.04062941312869106</v>
      </c>
      <c r="N466">
        <v>0.04</v>
      </c>
      <c r="O466">
        <v>0.1859900011819002</v>
      </c>
      <c r="P466" t="s">
        <v>382</v>
      </c>
      <c r="Q466" t="s">
        <v>494</v>
      </c>
      <c r="R466">
        <v>0</v>
      </c>
      <c r="S466">
        <v>0.9952265555555555</v>
      </c>
      <c r="T466">
        <v>7.2</v>
      </c>
      <c r="U466">
        <v>0.8194444444444444</v>
      </c>
      <c r="V466">
        <v>0.8957000000000001</v>
      </c>
      <c r="W466">
        <v>0.9</v>
      </c>
      <c r="X466">
        <v>0.8957039</v>
      </c>
      <c r="Y466">
        <v>-0.005059</v>
      </c>
      <c r="Z466">
        <v>0.9931389365351628</v>
      </c>
      <c r="AA466">
        <v>0.1634304207119741</v>
      </c>
      <c r="AB466">
        <v>0.3182552504038772</v>
      </c>
      <c r="AC466">
        <v>0.9466882067851372</v>
      </c>
      <c r="AD466">
        <v>0.9854604200323103</v>
      </c>
    </row>
    <row r="467" spans="1:30">
      <c r="A467" s="1" t="s">
        <v>474</v>
      </c>
      <c r="B467">
        <f>HYPERLINK("https://www.suredividend.com/sure-analysis-FCAU","Fiat Chrysler Automobiles NV")</f>
        <v>0</v>
      </c>
      <c r="C467">
        <v>14.96</v>
      </c>
      <c r="D467">
        <v>23450.0992</v>
      </c>
      <c r="E467" t="s">
        <v>661</v>
      </c>
      <c r="F467" t="s">
        <v>629</v>
      </c>
      <c r="G467" t="s">
        <v>677</v>
      </c>
      <c r="H467" t="s">
        <v>703</v>
      </c>
      <c r="I467" t="s">
        <v>1166</v>
      </c>
      <c r="J467" t="s">
        <v>1317</v>
      </c>
      <c r="K467">
        <v>43780</v>
      </c>
      <c r="L467">
        <v>0.04957851057198501</v>
      </c>
      <c r="M467">
        <v>0.04897322137525006</v>
      </c>
      <c r="N467">
        <v>0.08</v>
      </c>
      <c r="O467">
        <v>0.1667305103005843</v>
      </c>
      <c r="P467" t="s">
        <v>382</v>
      </c>
      <c r="Q467" t="s">
        <v>494</v>
      </c>
      <c r="R467">
        <v>0</v>
      </c>
      <c r="S467">
        <v>0.2472315060523023</v>
      </c>
      <c r="T467">
        <v>19</v>
      </c>
      <c r="U467">
        <v>0.7873684210526316</v>
      </c>
      <c r="V467">
        <v>1.8725</v>
      </c>
      <c r="W467">
        <v>3</v>
      </c>
      <c r="X467">
        <v>0.741694518156907</v>
      </c>
      <c r="Y467">
        <v>0.012864</v>
      </c>
      <c r="Z467">
        <v>0.7684391080617496</v>
      </c>
      <c r="AA467">
        <v>0.1844660194174757</v>
      </c>
      <c r="AB467">
        <v>0.8182552504038771</v>
      </c>
      <c r="AC467">
        <v>0.9660743134087239</v>
      </c>
      <c r="AD467">
        <v>0.9838449111470113</v>
      </c>
    </row>
    <row r="468" spans="1:30">
      <c r="A468" s="1" t="s">
        <v>475</v>
      </c>
      <c r="B468">
        <f>HYPERLINK("https://www.suredividend.com/sure-analysis-SIX","Six Flags Entertainment Corp.")</f>
        <v>0</v>
      </c>
      <c r="C468">
        <v>46.29</v>
      </c>
      <c r="D468">
        <v>3912.61596</v>
      </c>
      <c r="E468" t="s">
        <v>659</v>
      </c>
      <c r="F468" t="s">
        <v>629</v>
      </c>
      <c r="G468" t="s">
        <v>673</v>
      </c>
      <c r="H468" t="s">
        <v>703</v>
      </c>
      <c r="I468" t="s">
        <v>1167</v>
      </c>
      <c r="J468" t="s">
        <v>1324</v>
      </c>
      <c r="K468">
        <v>43762</v>
      </c>
      <c r="L468">
        <v>0.07085763663858201</v>
      </c>
      <c r="M468">
        <v>0.03881968163606375</v>
      </c>
      <c r="N468">
        <v>0.08</v>
      </c>
      <c r="O468">
        <v>0.1657814470548395</v>
      </c>
      <c r="P468" t="s">
        <v>382</v>
      </c>
      <c r="Q468" t="s">
        <v>405</v>
      </c>
      <c r="R468">
        <v>9</v>
      </c>
      <c r="S468">
        <v>1.171428571428571</v>
      </c>
      <c r="T468">
        <v>56</v>
      </c>
      <c r="U468">
        <v>0.8266071428571429</v>
      </c>
      <c r="V468">
        <v>3.196</v>
      </c>
      <c r="W468">
        <v>2.8</v>
      </c>
      <c r="X468">
        <v>3.28</v>
      </c>
      <c r="Y468">
        <v>-0.11694</v>
      </c>
      <c r="Z468">
        <v>0.8850771869639794</v>
      </c>
      <c r="AA468">
        <v>0.07766990291262137</v>
      </c>
      <c r="AB468">
        <v>0.8182552504038771</v>
      </c>
      <c r="AC468">
        <v>0.938610662358643</v>
      </c>
      <c r="AD468">
        <v>0.9806138933764136</v>
      </c>
    </row>
    <row r="469" spans="1:30">
      <c r="A469" s="1" t="s">
        <v>476</v>
      </c>
      <c r="B469">
        <f>HYPERLINK("https://www.suredividend.com/sure-analysis-BPR","Brookfield Property REIT, Inc.")</f>
        <v>0</v>
      </c>
      <c r="C469">
        <v>18.39</v>
      </c>
      <c r="D469">
        <v>13050.74437</v>
      </c>
      <c r="E469" t="s">
        <v>662</v>
      </c>
      <c r="F469" t="s">
        <v>630</v>
      </c>
      <c r="G469" t="s">
        <v>673</v>
      </c>
      <c r="H469" t="s">
        <v>704</v>
      </c>
      <c r="I469" t="s">
        <v>1065</v>
      </c>
      <c r="J469" t="s">
        <v>1309</v>
      </c>
      <c r="K469">
        <v>43775</v>
      </c>
      <c r="L469">
        <v>0.07096247960848201</v>
      </c>
      <c r="M469">
        <v>0.05469260873672188</v>
      </c>
      <c r="N469">
        <v>0.05</v>
      </c>
      <c r="O469">
        <v>0.1599160404197613</v>
      </c>
      <c r="P469" t="s">
        <v>382</v>
      </c>
      <c r="Q469" t="s">
        <v>494</v>
      </c>
      <c r="R469">
        <v>5</v>
      </c>
      <c r="S469">
        <v>0.8817567567567567</v>
      </c>
      <c r="T469">
        <v>24</v>
      </c>
      <c r="U469">
        <v>0.76625</v>
      </c>
      <c r="V469">
        <v>-4.2991</v>
      </c>
      <c r="W469">
        <v>1.48</v>
      </c>
      <c r="X469">
        <v>1.305</v>
      </c>
      <c r="Y469">
        <v>0.205902</v>
      </c>
      <c r="Z469">
        <v>0.8867924528301887</v>
      </c>
      <c r="AA469">
        <v>0.470873786407767</v>
      </c>
      <c r="AB469">
        <v>0.4588045234248789</v>
      </c>
      <c r="AC469">
        <v>0.9725363489499191</v>
      </c>
      <c r="AD469">
        <v>0.9773828756058158</v>
      </c>
    </row>
    <row r="470" spans="1:30">
      <c r="A470" s="1" t="s">
        <v>477</v>
      </c>
      <c r="B470">
        <f>HYPERLINK("https://www.suredividend.com/sure-analysis-SLB","Schlumberger NV")</f>
        <v>0</v>
      </c>
      <c r="C470">
        <v>39.43</v>
      </c>
      <c r="D470">
        <v>54586.4977</v>
      </c>
      <c r="E470" t="s">
        <v>659</v>
      </c>
      <c r="F470" t="s">
        <v>629</v>
      </c>
      <c r="G470" t="s">
        <v>673</v>
      </c>
      <c r="H470" t="s">
        <v>703</v>
      </c>
      <c r="I470" t="s">
        <v>1168</v>
      </c>
      <c r="J470" t="s">
        <v>1325</v>
      </c>
      <c r="K470">
        <v>43759</v>
      </c>
      <c r="L470">
        <v>0.050722799898554</v>
      </c>
      <c r="M470">
        <v>-0.0291985239217325</v>
      </c>
      <c r="N470">
        <v>0.155</v>
      </c>
      <c r="O470">
        <v>0.153374252336417</v>
      </c>
      <c r="P470" t="s">
        <v>382</v>
      </c>
      <c r="Q470" t="s">
        <v>405</v>
      </c>
      <c r="R470">
        <v>0</v>
      </c>
      <c r="S470">
        <v>1.333333333333333</v>
      </c>
      <c r="T470">
        <v>34</v>
      </c>
      <c r="U470">
        <v>1.159705882352941</v>
      </c>
      <c r="V470">
        <v>-7.1688</v>
      </c>
      <c r="W470">
        <v>1.5</v>
      </c>
      <c r="X470">
        <v>2</v>
      </c>
      <c r="Y470">
        <v>0.104482</v>
      </c>
      <c r="Z470">
        <v>0.7753001715265866</v>
      </c>
      <c r="AA470">
        <v>0.2880258899676375</v>
      </c>
      <c r="AB470">
        <v>0.9789983844911148</v>
      </c>
      <c r="AC470">
        <v>0.4684975767366721</v>
      </c>
      <c r="AD470">
        <v>0.9725363489499191</v>
      </c>
    </row>
    <row r="471" spans="1:30">
      <c r="A471" s="1" t="s">
        <v>478</v>
      </c>
      <c r="B471">
        <f>HYPERLINK("https://www.suredividend.com/sure-analysis-PTR","PetroChina Co., Ltd.")</f>
        <v>0</v>
      </c>
      <c r="C471">
        <v>49.12</v>
      </c>
      <c r="D471">
        <v>10363.77968</v>
      </c>
      <c r="E471" t="s">
        <v>659</v>
      </c>
      <c r="F471" t="s">
        <v>629</v>
      </c>
      <c r="G471" t="s">
        <v>674</v>
      </c>
      <c r="H471" t="s">
        <v>703</v>
      </c>
      <c r="J471" t="s">
        <v>1312</v>
      </c>
      <c r="K471">
        <v>43711</v>
      </c>
      <c r="L471">
        <v>0.077621213355048</v>
      </c>
      <c r="M471">
        <v>0.02287100098932981</v>
      </c>
      <c r="N471">
        <v>0.097</v>
      </c>
      <c r="O471">
        <v>0.1500797985965174</v>
      </c>
      <c r="P471" t="s">
        <v>382</v>
      </c>
      <c r="Q471" t="s">
        <v>494</v>
      </c>
      <c r="R471">
        <v>1</v>
      </c>
      <c r="S471">
        <v>0.8665349999999999</v>
      </c>
      <c r="T471">
        <v>55</v>
      </c>
      <c r="U471">
        <v>0.893090909090909</v>
      </c>
      <c r="W471">
        <v>4.4</v>
      </c>
      <c r="X471">
        <v>3.812754</v>
      </c>
      <c r="Y471">
        <v>-0.2958</v>
      </c>
      <c r="Z471">
        <v>0.9108061749571184</v>
      </c>
      <c r="AA471">
        <v>0.03236245954692557</v>
      </c>
      <c r="AB471">
        <v>0.9119547657512116</v>
      </c>
      <c r="AC471">
        <v>0.8820678513731824</v>
      </c>
      <c r="AD471">
        <v>0.9693053311793214</v>
      </c>
    </row>
    <row r="472" spans="1:30">
      <c r="A472" s="1" t="s">
        <v>479</v>
      </c>
      <c r="B472">
        <f>HYPERLINK("https://www.suredividend.com/sure-analysis-MAC","Macerich Co.")</f>
        <v>0</v>
      </c>
      <c r="C472">
        <v>26.47</v>
      </c>
      <c r="D472">
        <v>4014.9759</v>
      </c>
      <c r="E472" t="s">
        <v>659</v>
      </c>
      <c r="F472" t="s">
        <v>630</v>
      </c>
      <c r="G472" t="s">
        <v>673</v>
      </c>
      <c r="H472" t="s">
        <v>703</v>
      </c>
      <c r="I472" t="s">
        <v>1169</v>
      </c>
      <c r="J472" t="s">
        <v>1309</v>
      </c>
      <c r="K472">
        <v>43775</v>
      </c>
      <c r="L472">
        <v>0.11333585190782</v>
      </c>
      <c r="M472">
        <v>0.03867387293165736</v>
      </c>
      <c r="N472">
        <v>0.02</v>
      </c>
      <c r="O472">
        <v>0.141874123787854</v>
      </c>
      <c r="P472" t="s">
        <v>382</v>
      </c>
      <c r="Q472" t="s">
        <v>634</v>
      </c>
      <c r="R472">
        <v>9</v>
      </c>
      <c r="S472">
        <v>0.8333333333333333</v>
      </c>
      <c r="T472">
        <v>32</v>
      </c>
      <c r="U472">
        <v>0.8271875</v>
      </c>
      <c r="V472">
        <v>0.9012</v>
      </c>
      <c r="W472">
        <v>3.6</v>
      </c>
      <c r="X472">
        <v>3</v>
      </c>
      <c r="Y472">
        <v>-0.365532</v>
      </c>
      <c r="Z472">
        <v>0.967409948542024</v>
      </c>
      <c r="AA472">
        <v>0.02103559870550162</v>
      </c>
      <c r="AB472">
        <v>0.1219709208400646</v>
      </c>
      <c r="AC472">
        <v>0.9369951534733442</v>
      </c>
      <c r="AD472">
        <v>0.9644588045234249</v>
      </c>
    </row>
    <row r="473" spans="1:30">
      <c r="A473" s="1" t="s">
        <v>480</v>
      </c>
      <c r="B473">
        <f>HYPERLINK("https://www.suredividend.com/sure-analysis-CRT","Cross Timbers Royalty Trust")</f>
        <v>0</v>
      </c>
      <c r="C473">
        <v>7.57</v>
      </c>
      <c r="D473">
        <v>45.42</v>
      </c>
      <c r="E473" t="s">
        <v>669</v>
      </c>
      <c r="F473" t="s">
        <v>629</v>
      </c>
      <c r="G473" t="s">
        <v>673</v>
      </c>
      <c r="H473" t="s">
        <v>703</v>
      </c>
      <c r="J473" t="s">
        <v>1312</v>
      </c>
      <c r="K473">
        <v>43732</v>
      </c>
      <c r="L473">
        <v>0.13522998678996</v>
      </c>
      <c r="M473">
        <v>-0.01553465652281982</v>
      </c>
      <c r="N473">
        <v>0.053</v>
      </c>
      <c r="O473">
        <v>0.1393170428080377</v>
      </c>
      <c r="P473" t="s">
        <v>382</v>
      </c>
      <c r="Q473" t="s">
        <v>494</v>
      </c>
      <c r="R473">
        <v>1</v>
      </c>
      <c r="S473">
        <v>1.096028907922912</v>
      </c>
      <c r="T473">
        <v>7</v>
      </c>
      <c r="U473">
        <v>1.081428571428571</v>
      </c>
      <c r="V473">
        <v>1.0237</v>
      </c>
      <c r="W473">
        <v>0.9340000000000001</v>
      </c>
      <c r="X473">
        <v>1.023691</v>
      </c>
      <c r="Y473">
        <v>-0.379508</v>
      </c>
      <c r="Z473">
        <v>0.9897084048027445</v>
      </c>
      <c r="AA473">
        <v>0.01779935275080906</v>
      </c>
      <c r="AB473">
        <v>0.5347334410339257</v>
      </c>
      <c r="AC473">
        <v>0.5961227786752827</v>
      </c>
      <c r="AD473">
        <v>0.9612277867528272</v>
      </c>
    </row>
    <row r="474" spans="1:30">
      <c r="A474" s="1" t="s">
        <v>481</v>
      </c>
      <c r="B474">
        <f>HYPERLINK("https://www.suredividend.com/sure-analysis-CMA","Comerica, Inc.")</f>
        <v>0</v>
      </c>
      <c r="C474">
        <v>71.81</v>
      </c>
      <c r="D474">
        <v>10351.69874</v>
      </c>
      <c r="E474" t="s">
        <v>658</v>
      </c>
      <c r="F474" t="s">
        <v>629</v>
      </c>
      <c r="G474" t="s">
        <v>673</v>
      </c>
      <c r="H474" t="s">
        <v>703</v>
      </c>
      <c r="I474" t="s">
        <v>1170</v>
      </c>
      <c r="J474" t="s">
        <v>1309</v>
      </c>
      <c r="K474">
        <v>43754</v>
      </c>
      <c r="L474">
        <v>0.036345912825511</v>
      </c>
      <c r="M474">
        <v>0.03912277880759185</v>
      </c>
      <c r="N474">
        <v>0.06</v>
      </c>
      <c r="O474">
        <v>0.1304829609601315</v>
      </c>
      <c r="P474" t="s">
        <v>382</v>
      </c>
      <c r="Q474" t="s">
        <v>405</v>
      </c>
      <c r="R474">
        <v>10</v>
      </c>
      <c r="S474">
        <v>0.332484076433121</v>
      </c>
      <c r="T474">
        <v>87</v>
      </c>
      <c r="U474">
        <v>0.8254022988505747</v>
      </c>
      <c r="V474">
        <v>7.9696</v>
      </c>
      <c r="W474">
        <v>7.85</v>
      </c>
      <c r="X474">
        <v>2.61</v>
      </c>
      <c r="Y474">
        <v>0.095333</v>
      </c>
      <c r="Z474">
        <v>0.6037735849056604</v>
      </c>
      <c r="AA474">
        <v>0.2750809061488673</v>
      </c>
      <c r="AB474">
        <v>0.6130856219709209</v>
      </c>
      <c r="AC474">
        <v>0.9418416801292407</v>
      </c>
      <c r="AD474">
        <v>0.9466882067851372</v>
      </c>
    </row>
    <row r="475" spans="1:30">
      <c r="A475" s="1" t="s">
        <v>482</v>
      </c>
      <c r="B475">
        <f>HYPERLINK("https://www.suredividend.com/sure-analysis-HEP","Holly Energy Partners LP")</f>
        <v>0</v>
      </c>
      <c r="C475">
        <v>22.28</v>
      </c>
      <c r="D475">
        <v>2349.2032</v>
      </c>
      <c r="E475" t="s">
        <v>659</v>
      </c>
      <c r="F475" t="s">
        <v>631</v>
      </c>
      <c r="G475" t="s">
        <v>673</v>
      </c>
      <c r="H475" t="s">
        <v>703</v>
      </c>
      <c r="I475" t="s">
        <v>849</v>
      </c>
      <c r="J475" t="s">
        <v>1325</v>
      </c>
      <c r="K475">
        <v>43770</v>
      </c>
      <c r="L475">
        <v>0.120062836624775</v>
      </c>
      <c r="M475">
        <v>0.01498403474804477</v>
      </c>
      <c r="N475">
        <v>0.02</v>
      </c>
      <c r="O475">
        <v>0.1288182304831138</v>
      </c>
      <c r="P475" t="s">
        <v>382</v>
      </c>
      <c r="Q475" t="s">
        <v>634</v>
      </c>
      <c r="R475">
        <v>15</v>
      </c>
      <c r="S475">
        <v>0.9944237918215613</v>
      </c>
      <c r="T475">
        <v>24</v>
      </c>
      <c r="U475">
        <v>0.9283333333333333</v>
      </c>
      <c r="V475">
        <v>2.1505</v>
      </c>
      <c r="W475">
        <v>2.69</v>
      </c>
      <c r="X475">
        <v>2.675</v>
      </c>
      <c r="Y475">
        <v>-0.201434</v>
      </c>
      <c r="Z475">
        <v>0.9759862778730704</v>
      </c>
      <c r="AA475">
        <v>0.04854368932038835</v>
      </c>
      <c r="AB475">
        <v>0.1219709208400646</v>
      </c>
      <c r="AC475">
        <v>0.8174474959612277</v>
      </c>
      <c r="AD475">
        <v>0.9450726978998385</v>
      </c>
    </row>
    <row r="476" spans="1:30">
      <c r="A476" s="1" t="s">
        <v>483</v>
      </c>
      <c r="B476">
        <f>HYPERLINK("https://www.suredividend.com/sure-analysis-OXY","Occidental Petroleum Corp.")</f>
        <v>0</v>
      </c>
      <c r="C476">
        <v>39.01</v>
      </c>
      <c r="D476">
        <v>34848.29617</v>
      </c>
      <c r="E476" t="s">
        <v>659</v>
      </c>
      <c r="F476" t="s">
        <v>629</v>
      </c>
      <c r="G476" t="s">
        <v>673</v>
      </c>
      <c r="H476" t="s">
        <v>703</v>
      </c>
      <c r="I476" t="s">
        <v>1171</v>
      </c>
      <c r="J476" t="s">
        <v>1312</v>
      </c>
      <c r="K476">
        <v>43775</v>
      </c>
      <c r="L476">
        <v>0.08023583696488</v>
      </c>
      <c r="M476">
        <v>-0.04492572227811331</v>
      </c>
      <c r="N476">
        <v>0.122</v>
      </c>
      <c r="O476">
        <v>0.1285618370047639</v>
      </c>
      <c r="P476" t="s">
        <v>382</v>
      </c>
      <c r="Q476" t="s">
        <v>494</v>
      </c>
      <c r="R476">
        <v>15</v>
      </c>
      <c r="S476">
        <v>1.391111111111111</v>
      </c>
      <c r="T476">
        <v>31</v>
      </c>
      <c r="U476">
        <v>1.258387096774193</v>
      </c>
      <c r="V476">
        <v>1.54</v>
      </c>
      <c r="W476">
        <v>2.25</v>
      </c>
      <c r="X476">
        <v>3.13</v>
      </c>
      <c r="Y476">
        <v>-0.349617</v>
      </c>
      <c r="Z476">
        <v>0.9142367066895369</v>
      </c>
      <c r="AA476">
        <v>0.0226537216828479</v>
      </c>
      <c r="AB476">
        <v>0.9628432956381261</v>
      </c>
      <c r="AC476">
        <v>0.3198707592891761</v>
      </c>
      <c r="AD476">
        <v>0.9434571890145397</v>
      </c>
    </row>
    <row r="477" spans="1:30">
      <c r="A477" s="1" t="s">
        <v>484</v>
      </c>
      <c r="B477">
        <f>HYPERLINK("https://www.suredividend.com/sure-analysis-OXLC","Oxford Lane Capital Corp.")</f>
        <v>0</v>
      </c>
      <c r="C477">
        <v>8.25</v>
      </c>
      <c r="D477">
        <v>488.334</v>
      </c>
      <c r="E477" t="s">
        <v>659</v>
      </c>
      <c r="F477" t="s">
        <v>629</v>
      </c>
      <c r="G477" t="s">
        <v>673</v>
      </c>
      <c r="H477" t="s">
        <v>704</v>
      </c>
      <c r="I477" t="s">
        <v>1172</v>
      </c>
      <c r="J477" t="s">
        <v>1327</v>
      </c>
      <c r="K477">
        <v>43788</v>
      </c>
      <c r="L477">
        <v>0.212727272727272</v>
      </c>
      <c r="M477">
        <v>0.01755457717558762</v>
      </c>
      <c r="N477">
        <v>-0.02</v>
      </c>
      <c r="O477">
        <v>0.1258791496289089</v>
      </c>
      <c r="P477" t="s">
        <v>382</v>
      </c>
      <c r="Q477" t="s">
        <v>494</v>
      </c>
      <c r="R477">
        <v>0</v>
      </c>
      <c r="S477">
        <v>1.253571428571429</v>
      </c>
      <c r="T477">
        <v>9</v>
      </c>
      <c r="U477">
        <v>0.9166666666666666</v>
      </c>
      <c r="V477">
        <v>-2.3655</v>
      </c>
      <c r="W477">
        <v>1.4</v>
      </c>
      <c r="X477">
        <v>1.755</v>
      </c>
      <c r="Y477">
        <v>-0.1616</v>
      </c>
      <c r="Z477">
        <v>1</v>
      </c>
      <c r="AA477">
        <v>0.06148867313915858</v>
      </c>
      <c r="AB477">
        <v>0.01292407108239095</v>
      </c>
      <c r="AC477">
        <v>0.8432956381260097</v>
      </c>
      <c r="AD477">
        <v>0.9321486268174475</v>
      </c>
    </row>
    <row r="478" spans="1:30">
      <c r="A478" s="1" t="s">
        <v>485</v>
      </c>
      <c r="B478">
        <f>HYPERLINK("https://www.suredividend.com/sure-analysis-EPR","EPR Properties")</f>
        <v>0</v>
      </c>
      <c r="C478">
        <v>70.3</v>
      </c>
      <c r="D478">
        <v>5515.5974</v>
      </c>
      <c r="E478" t="s">
        <v>661</v>
      </c>
      <c r="F478" t="s">
        <v>630</v>
      </c>
      <c r="G478" t="s">
        <v>673</v>
      </c>
      <c r="H478" t="s">
        <v>703</v>
      </c>
      <c r="I478" t="s">
        <v>1173</v>
      </c>
      <c r="J478" t="s">
        <v>1309</v>
      </c>
      <c r="K478">
        <v>43773</v>
      </c>
      <c r="L478">
        <v>0.063371266002844</v>
      </c>
      <c r="M478">
        <v>-0.003726099642102576</v>
      </c>
      <c r="N478">
        <v>0.08</v>
      </c>
      <c r="O478">
        <v>0.1252140123482759</v>
      </c>
      <c r="P478" t="s">
        <v>382</v>
      </c>
      <c r="Q478" t="s">
        <v>494</v>
      </c>
      <c r="R478">
        <v>9</v>
      </c>
      <c r="S478">
        <v>0.8100000000000001</v>
      </c>
      <c r="T478">
        <v>69</v>
      </c>
      <c r="U478">
        <v>1.018840579710145</v>
      </c>
      <c r="V478">
        <v>2.5953</v>
      </c>
      <c r="W478">
        <v>5.5</v>
      </c>
      <c r="X478">
        <v>4.455</v>
      </c>
      <c r="Y478">
        <v>0.04769</v>
      </c>
      <c r="Z478">
        <v>0.8593481989708406</v>
      </c>
      <c r="AA478">
        <v>0.2184466019417476</v>
      </c>
      <c r="AB478">
        <v>0.8182552504038771</v>
      </c>
      <c r="AC478">
        <v>0.6785137318255251</v>
      </c>
      <c r="AD478">
        <v>0.9289176090468497</v>
      </c>
    </row>
    <row r="479" spans="1:30">
      <c r="A479" s="1" t="s">
        <v>486</v>
      </c>
      <c r="B479">
        <f>HYPERLINK("https://www.suredividend.com/sure-analysis-RDS.B","Royal Dutch Shell Plc")</f>
        <v>0</v>
      </c>
      <c r="C479">
        <v>59.09</v>
      </c>
      <c r="D479">
        <v>109975.64895</v>
      </c>
      <c r="E479" t="s">
        <v>659</v>
      </c>
      <c r="F479" t="s">
        <v>629</v>
      </c>
      <c r="G479" t="s">
        <v>699</v>
      </c>
      <c r="H479" t="s">
        <v>703</v>
      </c>
      <c r="I479" t="s">
        <v>1174</v>
      </c>
      <c r="J479" t="s">
        <v>1312</v>
      </c>
      <c r="K479">
        <v>43784</v>
      </c>
      <c r="L479">
        <v>0.06363174818074101</v>
      </c>
      <c r="M479">
        <v>-0.003716814444002625</v>
      </c>
      <c r="N479">
        <v>0.082</v>
      </c>
      <c r="O479">
        <v>0.1229747802183079</v>
      </c>
      <c r="P479" t="s">
        <v>382</v>
      </c>
      <c r="Q479" t="s">
        <v>494</v>
      </c>
      <c r="R479">
        <v>0</v>
      </c>
      <c r="S479">
        <v>0.7752577319587629</v>
      </c>
      <c r="T479">
        <v>58</v>
      </c>
      <c r="U479">
        <v>1.018793103448276</v>
      </c>
      <c r="V479">
        <v>5.0293</v>
      </c>
      <c r="W479">
        <v>4.85</v>
      </c>
      <c r="X479">
        <v>3.76</v>
      </c>
      <c r="Y479">
        <v>-0.0244</v>
      </c>
      <c r="Z479">
        <v>0.8627787307032589</v>
      </c>
      <c r="AA479">
        <v>0.1440129449838188</v>
      </c>
      <c r="AB479">
        <v>0.8570274636510501</v>
      </c>
      <c r="AC479">
        <v>0.6801292407108239</v>
      </c>
      <c r="AD479">
        <v>0.925686591276252</v>
      </c>
    </row>
    <row r="480" spans="1:30">
      <c r="A480" s="1" t="s">
        <v>487</v>
      </c>
      <c r="B480">
        <f>HYPERLINK("https://www.suredividend.com/sure-analysis-HSBC","HSBC Holdings Plc")</f>
        <v>0</v>
      </c>
      <c r="C480">
        <v>38.89</v>
      </c>
      <c r="D480">
        <v>157991.4028</v>
      </c>
      <c r="E480" t="s">
        <v>664</v>
      </c>
      <c r="F480" t="s">
        <v>629</v>
      </c>
      <c r="G480" t="s">
        <v>677</v>
      </c>
      <c r="H480" t="s">
        <v>703</v>
      </c>
      <c r="I480" t="s">
        <v>1175</v>
      </c>
      <c r="J480" t="s">
        <v>1309</v>
      </c>
      <c r="K480">
        <v>43770</v>
      </c>
      <c r="L480">
        <v>0.065440987400359</v>
      </c>
      <c r="M480">
        <v>0.02029580841833178</v>
      </c>
      <c r="N480">
        <v>0.055</v>
      </c>
      <c r="O480">
        <v>0.1213426966070894</v>
      </c>
      <c r="P480" t="s">
        <v>382</v>
      </c>
      <c r="Q480" t="s">
        <v>405</v>
      </c>
      <c r="R480">
        <v>0</v>
      </c>
      <c r="S480">
        <v>0.7030386740331491</v>
      </c>
      <c r="T480">
        <v>43</v>
      </c>
      <c r="U480">
        <v>0.9044186046511627</v>
      </c>
      <c r="V480">
        <v>3.2548</v>
      </c>
      <c r="W480">
        <v>3.62</v>
      </c>
      <c r="X480">
        <v>2.545</v>
      </c>
      <c r="Y480">
        <v>-0.05880000000000001</v>
      </c>
      <c r="Z480">
        <v>0.8730703259005146</v>
      </c>
      <c r="AA480">
        <v>0.1067961165048544</v>
      </c>
      <c r="AB480">
        <v>0.5452342487883683</v>
      </c>
      <c r="AC480">
        <v>0.8659127625201939</v>
      </c>
      <c r="AD480">
        <v>0.9224555735056543</v>
      </c>
    </row>
    <row r="481" spans="1:30">
      <c r="A481" s="1" t="s">
        <v>488</v>
      </c>
      <c r="B481">
        <f>HYPERLINK("https://www.suredividend.com/sure-analysis-MFGP","Micro Focus International Plc")</f>
        <v>0</v>
      </c>
      <c r="C481">
        <v>13.89</v>
      </c>
      <c r="D481">
        <v>4630.67598</v>
      </c>
      <c r="E481" t="s">
        <v>660</v>
      </c>
      <c r="F481" t="s">
        <v>629</v>
      </c>
      <c r="G481" t="s">
        <v>677</v>
      </c>
      <c r="H481" t="s">
        <v>703</v>
      </c>
      <c r="I481" t="s">
        <v>1176</v>
      </c>
      <c r="J481" t="s">
        <v>1320</v>
      </c>
      <c r="K481">
        <v>43742</v>
      </c>
      <c r="L481">
        <v>0.136523389541537</v>
      </c>
      <c r="M481">
        <v>0.001578879689914547</v>
      </c>
      <c r="N481">
        <v>0.045</v>
      </c>
      <c r="O481">
        <v>0.1211533068650672</v>
      </c>
      <c r="P481" t="s">
        <v>382</v>
      </c>
      <c r="Q481" t="s">
        <v>494</v>
      </c>
      <c r="R481">
        <v>1</v>
      </c>
      <c r="S481">
        <v>1.089833264788477</v>
      </c>
      <c r="T481">
        <v>14</v>
      </c>
      <c r="U481">
        <v>0.9921428571428572</v>
      </c>
      <c r="V481">
        <v>-1.063</v>
      </c>
      <c r="W481">
        <v>1.74</v>
      </c>
      <c r="X481">
        <v>1.89630988073195</v>
      </c>
      <c r="Y481">
        <v>-0.3838</v>
      </c>
      <c r="Z481">
        <v>0.9914236706689538</v>
      </c>
      <c r="AA481">
        <v>0.01618122977346279</v>
      </c>
      <c r="AB481">
        <v>0.3820678513731826</v>
      </c>
      <c r="AC481">
        <v>0.7189014539579968</v>
      </c>
      <c r="AD481">
        <v>0.9208400646203555</v>
      </c>
    </row>
    <row r="482" spans="1:30">
      <c r="A482" s="1" t="s">
        <v>489</v>
      </c>
      <c r="B482">
        <f>HYPERLINK("https://www.suredividend.com/sure-analysis-NLSN","Nielsen Holdings Plc")</f>
        <v>0</v>
      </c>
      <c r="C482">
        <v>20.79</v>
      </c>
      <c r="D482">
        <v>7397.2899</v>
      </c>
      <c r="E482" t="s">
        <v>663</v>
      </c>
      <c r="F482" t="s">
        <v>629</v>
      </c>
      <c r="G482" t="s">
        <v>673</v>
      </c>
      <c r="H482" t="s">
        <v>703</v>
      </c>
      <c r="I482" t="s">
        <v>1177</v>
      </c>
      <c r="J482" t="s">
        <v>1319</v>
      </c>
      <c r="K482">
        <v>43735</v>
      </c>
      <c r="L482">
        <v>0.06734006734006701</v>
      </c>
      <c r="M482">
        <v>0.02913263516757247</v>
      </c>
      <c r="N482">
        <v>0.035</v>
      </c>
      <c r="O482">
        <v>0.1175373914787166</v>
      </c>
      <c r="P482" t="s">
        <v>382</v>
      </c>
      <c r="Q482" t="s">
        <v>494</v>
      </c>
      <c r="R482">
        <v>5</v>
      </c>
      <c r="S482">
        <v>0.7999999999999999</v>
      </c>
      <c r="T482">
        <v>24</v>
      </c>
      <c r="U482">
        <v>0.86625</v>
      </c>
      <c r="V482">
        <v>-3.5367</v>
      </c>
      <c r="W482">
        <v>1.75</v>
      </c>
      <c r="X482">
        <v>1.4</v>
      </c>
      <c r="Y482">
        <v>-0.095694</v>
      </c>
      <c r="Z482">
        <v>0.8782161234991424</v>
      </c>
      <c r="AA482">
        <v>0.08414239482200647</v>
      </c>
      <c r="AB482">
        <v>0.2520193861066236</v>
      </c>
      <c r="AC482">
        <v>0.9111470113085622</v>
      </c>
      <c r="AD482">
        <v>0.9063004846526656</v>
      </c>
    </row>
    <row r="483" spans="1:30">
      <c r="A483" s="1" t="s">
        <v>490</v>
      </c>
      <c r="B483">
        <f>HYPERLINK("https://www.suredividend.com/sure-analysis-XOM","Exxon Mobil Corp.")</f>
        <v>0</v>
      </c>
      <c r="C483">
        <v>69.94</v>
      </c>
      <c r="D483">
        <v>295923.8334</v>
      </c>
      <c r="E483" t="s">
        <v>659</v>
      </c>
      <c r="F483" t="s">
        <v>629</v>
      </c>
      <c r="G483" t="s">
        <v>673</v>
      </c>
      <c r="H483" t="s">
        <v>703</v>
      </c>
      <c r="I483" t="s">
        <v>1178</v>
      </c>
      <c r="J483" t="s">
        <v>1312</v>
      </c>
      <c r="K483">
        <v>43773</v>
      </c>
      <c r="L483">
        <v>0.048327137546468</v>
      </c>
      <c r="M483">
        <v>-0.0803841652125229</v>
      </c>
      <c r="N483">
        <v>0.174</v>
      </c>
      <c r="O483">
        <v>0.1160948783586619</v>
      </c>
      <c r="P483" t="s">
        <v>382</v>
      </c>
      <c r="Q483" t="s">
        <v>405</v>
      </c>
      <c r="R483">
        <v>37</v>
      </c>
      <c r="S483">
        <v>1.251851851851852</v>
      </c>
      <c r="T483">
        <v>46</v>
      </c>
      <c r="U483">
        <v>1.520434782608696</v>
      </c>
      <c r="V483">
        <v>3.4322</v>
      </c>
      <c r="W483">
        <v>2.7</v>
      </c>
      <c r="X483">
        <v>3.38</v>
      </c>
      <c r="Y483">
        <v>0.026718</v>
      </c>
      <c r="Z483">
        <v>0.7581475128644939</v>
      </c>
      <c r="AA483">
        <v>0.1925566343042071</v>
      </c>
      <c r="AB483">
        <v>0.9822294022617125</v>
      </c>
      <c r="AC483">
        <v>0.1147011308562197</v>
      </c>
      <c r="AD483">
        <v>0.8998384491114702</v>
      </c>
    </row>
    <row r="484" spans="1:30">
      <c r="A484" s="1" t="s">
        <v>491</v>
      </c>
      <c r="B484">
        <f>HYPERLINK("https://www.suredividend.com/sure-analysis-BGS","B&amp;G Foods, Inc.")</f>
        <v>0</v>
      </c>
      <c r="C484">
        <v>17.92</v>
      </c>
      <c r="D484">
        <v>1147.681024</v>
      </c>
      <c r="E484" t="s">
        <v>658</v>
      </c>
      <c r="F484" t="s">
        <v>629</v>
      </c>
      <c r="G484" t="s">
        <v>673</v>
      </c>
      <c r="H484" t="s">
        <v>703</v>
      </c>
      <c r="I484" t="s">
        <v>1179</v>
      </c>
      <c r="J484" t="s">
        <v>1322</v>
      </c>
      <c r="K484">
        <v>43770</v>
      </c>
      <c r="L484">
        <v>0.106026785714285</v>
      </c>
      <c r="M484">
        <v>0.01177307782550319</v>
      </c>
      <c r="N484">
        <v>0.02</v>
      </c>
      <c r="O484">
        <v>0.1145211065685752</v>
      </c>
      <c r="P484" t="s">
        <v>382</v>
      </c>
      <c r="Q484" t="s">
        <v>494</v>
      </c>
      <c r="R484">
        <v>8</v>
      </c>
      <c r="S484">
        <v>1.104651162790698</v>
      </c>
      <c r="T484">
        <v>19</v>
      </c>
      <c r="U484">
        <v>0.9431578947368422</v>
      </c>
      <c r="V484">
        <v>2.7133</v>
      </c>
      <c r="W484">
        <v>1.72</v>
      </c>
      <c r="X484">
        <v>1.9</v>
      </c>
      <c r="Y484">
        <v>-0.390061</v>
      </c>
      <c r="Z484">
        <v>0.9588336192109778</v>
      </c>
      <c r="AA484">
        <v>0.01456310679611651</v>
      </c>
      <c r="AB484">
        <v>0.1219709208400646</v>
      </c>
      <c r="AC484">
        <v>0.7996768982229402</v>
      </c>
      <c r="AD484">
        <v>0.8917609046849758</v>
      </c>
    </row>
    <row r="485" spans="1:30">
      <c r="A485" s="1" t="s">
        <v>492</v>
      </c>
      <c r="B485">
        <f>HYPERLINK("https://www.suredividend.com/sure-analysis-IPPLF","Inter Pipeline Ltd.")</f>
        <v>0</v>
      </c>
      <c r="C485">
        <v>17.1</v>
      </c>
      <c r="D485">
        <v>7147.3554</v>
      </c>
      <c r="E485" t="s">
        <v>662</v>
      </c>
      <c r="F485" t="s">
        <v>629</v>
      </c>
      <c r="G485" t="s">
        <v>675</v>
      </c>
      <c r="H485" t="s">
        <v>705</v>
      </c>
      <c r="I485" t="s">
        <v>1180</v>
      </c>
      <c r="J485" t="s">
        <v>1325</v>
      </c>
      <c r="K485">
        <v>43780</v>
      </c>
      <c r="L485">
        <v>0.07524170075804701</v>
      </c>
      <c r="M485">
        <v>-0.0011723361668875</v>
      </c>
      <c r="N485">
        <v>0.051</v>
      </c>
      <c r="O485">
        <v>0.1132945084751571</v>
      </c>
      <c r="P485" t="s">
        <v>382</v>
      </c>
      <c r="Q485" t="s">
        <v>634</v>
      </c>
      <c r="R485">
        <v>3</v>
      </c>
      <c r="S485">
        <v>0.7658530255729822</v>
      </c>
      <c r="T485">
        <v>17</v>
      </c>
      <c r="U485">
        <v>1.005882352941176</v>
      </c>
      <c r="V485">
        <v>1.0769</v>
      </c>
      <c r="W485">
        <v>1.68</v>
      </c>
      <c r="X485">
        <v>1.28663308296261</v>
      </c>
      <c r="Y485">
        <v>0.205769</v>
      </c>
      <c r="Z485">
        <v>0.8987993138936535</v>
      </c>
      <c r="AA485">
        <v>0.4676375404530744</v>
      </c>
      <c r="AB485">
        <v>0.5282714054927302</v>
      </c>
      <c r="AC485">
        <v>0.6995153473344103</v>
      </c>
      <c r="AD485">
        <v>0.8885298869143781</v>
      </c>
    </row>
    <row r="486" spans="1:30">
      <c r="A486" s="1" t="s">
        <v>493</v>
      </c>
      <c r="B486">
        <f>HYPERLINK("https://www.suredividend.com/sure-analysis-TEF","Telefónica SA")</f>
        <v>0</v>
      </c>
      <c r="C486">
        <v>7.26</v>
      </c>
      <c r="D486">
        <v>37138.2002</v>
      </c>
      <c r="E486" t="s">
        <v>663</v>
      </c>
      <c r="F486" t="s">
        <v>629</v>
      </c>
      <c r="G486" t="s">
        <v>681</v>
      </c>
      <c r="H486" t="s">
        <v>703</v>
      </c>
      <c r="I486" t="s">
        <v>1181</v>
      </c>
      <c r="J486" t="s">
        <v>1318</v>
      </c>
      <c r="K486">
        <v>43776</v>
      </c>
      <c r="L486">
        <v>0.09304407713498601</v>
      </c>
      <c r="M486">
        <v>0.04390548076893097</v>
      </c>
      <c r="N486">
        <v>0.02</v>
      </c>
      <c r="O486">
        <v>0.1122028168047844</v>
      </c>
      <c r="P486" t="s">
        <v>382</v>
      </c>
      <c r="Q486" t="s">
        <v>634</v>
      </c>
      <c r="R486">
        <v>0</v>
      </c>
      <c r="S486">
        <v>0.7110526315789474</v>
      </c>
      <c r="T486">
        <v>9</v>
      </c>
      <c r="U486">
        <v>0.8066666666666666</v>
      </c>
      <c r="V486">
        <v>0.3726</v>
      </c>
      <c r="W486">
        <v>0.95</v>
      </c>
      <c r="X486">
        <v>0.6755</v>
      </c>
      <c r="Y486">
        <v>-0.1806</v>
      </c>
      <c r="Z486">
        <v>0.9382504288164665</v>
      </c>
      <c r="AA486">
        <v>0.05663430420711973</v>
      </c>
      <c r="AB486">
        <v>0.1219709208400646</v>
      </c>
      <c r="AC486">
        <v>0.9563812600969306</v>
      </c>
      <c r="AD486">
        <v>0.8820678513731824</v>
      </c>
    </row>
    <row r="487" spans="1:30">
      <c r="A487" s="1" t="s">
        <v>494</v>
      </c>
      <c r="B487">
        <f>HYPERLINK("https://www.suredividend.com/sure-analysis-C","Citigroup, Inc.")</f>
        <v>0</v>
      </c>
      <c r="C487">
        <v>78.51000000000001</v>
      </c>
      <c r="D487">
        <v>171402.2469</v>
      </c>
      <c r="E487" t="s">
        <v>661</v>
      </c>
      <c r="F487" t="s">
        <v>629</v>
      </c>
      <c r="G487" t="s">
        <v>673</v>
      </c>
      <c r="H487" t="s">
        <v>703</v>
      </c>
      <c r="I487" t="s">
        <v>1182</v>
      </c>
      <c r="J487" t="s">
        <v>1309</v>
      </c>
      <c r="K487">
        <v>43755</v>
      </c>
      <c r="L487">
        <v>0.023691249522353</v>
      </c>
      <c r="M487">
        <v>0.006264168242450463</v>
      </c>
      <c r="N487">
        <v>0.08</v>
      </c>
      <c r="O487">
        <v>0.1097654273876183</v>
      </c>
      <c r="P487" t="s">
        <v>382</v>
      </c>
      <c r="Q487" t="s">
        <v>382</v>
      </c>
      <c r="R487">
        <v>3</v>
      </c>
      <c r="S487">
        <v>0.2415584415584415</v>
      </c>
      <c r="T487">
        <v>81</v>
      </c>
      <c r="U487">
        <v>0.9692592592592594</v>
      </c>
      <c r="V487">
        <v>7.5589</v>
      </c>
      <c r="W487">
        <v>7.7</v>
      </c>
      <c r="X487">
        <v>1.86</v>
      </c>
      <c r="Y487">
        <v>0.5626989999999999</v>
      </c>
      <c r="Z487">
        <v>0.3756432246998285</v>
      </c>
      <c r="AA487">
        <v>0.912621359223301</v>
      </c>
      <c r="AB487">
        <v>0.8182552504038771</v>
      </c>
      <c r="AC487">
        <v>0.7625201938610663</v>
      </c>
      <c r="AD487">
        <v>0.8675282714054927</v>
      </c>
    </row>
    <row r="488" spans="1:30">
      <c r="A488" s="1" t="s">
        <v>495</v>
      </c>
      <c r="B488">
        <f>HYPERLINK("https://www.suredividend.com/sure-analysis-AB","AllianceBernstein Holding LP")</f>
        <v>0</v>
      </c>
      <c r="C488">
        <v>29.98</v>
      </c>
      <c r="D488">
        <v>2877.84016</v>
      </c>
      <c r="E488" t="s">
        <v>666</v>
      </c>
      <c r="F488" t="s">
        <v>629</v>
      </c>
      <c r="G488" t="s">
        <v>673</v>
      </c>
      <c r="H488" t="s">
        <v>703</v>
      </c>
      <c r="I488" t="s">
        <v>1183</v>
      </c>
      <c r="J488" t="s">
        <v>1309</v>
      </c>
      <c r="K488">
        <v>43769</v>
      </c>
      <c r="L488">
        <v>0.079386257505003</v>
      </c>
      <c r="M488">
        <v>-0.01357225155415553</v>
      </c>
      <c r="N488">
        <v>0.054</v>
      </c>
      <c r="O488">
        <v>0.1069846502564529</v>
      </c>
      <c r="P488" t="s">
        <v>382</v>
      </c>
      <c r="Q488" t="s">
        <v>494</v>
      </c>
      <c r="R488">
        <v>1</v>
      </c>
      <c r="S488">
        <v>1.034782608695652</v>
      </c>
      <c r="T488">
        <v>28</v>
      </c>
      <c r="U488">
        <v>1.070714285714286</v>
      </c>
      <c r="V488">
        <v>2.2793</v>
      </c>
      <c r="W488">
        <v>2.3</v>
      </c>
      <c r="X488">
        <v>2.38</v>
      </c>
      <c r="Y488">
        <v>0.234253</v>
      </c>
      <c r="Z488">
        <v>0.9125214408233276</v>
      </c>
      <c r="AA488">
        <v>0.5275080906148868</v>
      </c>
      <c r="AB488">
        <v>0.5363489499192245</v>
      </c>
      <c r="AC488">
        <v>0.6106623586429726</v>
      </c>
      <c r="AD488">
        <v>0.852988691437803</v>
      </c>
    </row>
    <row r="489" spans="1:30">
      <c r="A489" s="1" t="s">
        <v>496</v>
      </c>
      <c r="B489">
        <f>HYPERLINK("https://www.suredividend.com/sure-analysis-BKR","Baker Hughes Co.")</f>
        <v>0</v>
      </c>
      <c r="C489">
        <v>25.09</v>
      </c>
      <c r="D489">
        <v>25764.14321</v>
      </c>
      <c r="E489" t="s">
        <v>659</v>
      </c>
      <c r="F489" t="s">
        <v>629</v>
      </c>
      <c r="G489" t="s">
        <v>673</v>
      </c>
      <c r="H489" t="s">
        <v>703</v>
      </c>
      <c r="I489" t="s">
        <v>1184</v>
      </c>
      <c r="J489" t="s">
        <v>1325</v>
      </c>
      <c r="K489">
        <v>43782</v>
      </c>
      <c r="L489">
        <v>0.028696691909127</v>
      </c>
      <c r="M489">
        <v>-0.07489793152918534</v>
      </c>
      <c r="N489">
        <v>0.171</v>
      </c>
      <c r="O489">
        <v>0.1058749059804374</v>
      </c>
      <c r="P489" t="s">
        <v>382</v>
      </c>
      <c r="Q489" t="s">
        <v>382</v>
      </c>
      <c r="R489">
        <v>0</v>
      </c>
      <c r="S489">
        <v>0.72</v>
      </c>
      <c r="T489">
        <v>17</v>
      </c>
      <c r="U489">
        <v>1.475882352941176</v>
      </c>
      <c r="V489">
        <v>0.426</v>
      </c>
      <c r="W489">
        <v>1</v>
      </c>
      <c r="X489">
        <v>0.72</v>
      </c>
      <c r="Y489">
        <v>0.202204</v>
      </c>
      <c r="Z489">
        <v>0.4819897084048027</v>
      </c>
      <c r="AA489">
        <v>0.4546925566343042</v>
      </c>
      <c r="AB489">
        <v>0.9806138933764136</v>
      </c>
      <c r="AC489">
        <v>0.1373182552504039</v>
      </c>
      <c r="AD489">
        <v>0.8465266558966075</v>
      </c>
    </row>
    <row r="490" spans="1:30">
      <c r="A490" s="1" t="s">
        <v>497</v>
      </c>
      <c r="B490">
        <f>HYPERLINK("https://www.suredividend.com/sure-analysis-APAM","Artisan Partners Asset Management, Inc.")</f>
        <v>0</v>
      </c>
      <c r="C490">
        <v>31.99</v>
      </c>
      <c r="D490">
        <v>2488.894041</v>
      </c>
      <c r="E490" t="s">
        <v>661</v>
      </c>
      <c r="F490" t="s">
        <v>629</v>
      </c>
      <c r="G490" t="s">
        <v>673</v>
      </c>
      <c r="H490" t="s">
        <v>703</v>
      </c>
      <c r="I490" t="s">
        <v>1185</v>
      </c>
      <c r="J490" t="s">
        <v>1309</v>
      </c>
      <c r="K490">
        <v>43780</v>
      </c>
      <c r="L490">
        <v>0.07221006564551401</v>
      </c>
      <c r="M490">
        <v>6.251172143634243e-05</v>
      </c>
      <c r="N490">
        <v>0.05</v>
      </c>
      <c r="O490">
        <v>0.1055830556292909</v>
      </c>
      <c r="P490" t="s">
        <v>382</v>
      </c>
      <c r="Q490" t="s">
        <v>494</v>
      </c>
      <c r="R490">
        <v>0</v>
      </c>
      <c r="S490">
        <v>0.8716981132075472</v>
      </c>
      <c r="T490">
        <v>32</v>
      </c>
      <c r="U490">
        <v>0.9996875</v>
      </c>
      <c r="V490">
        <v>2.425</v>
      </c>
      <c r="W490">
        <v>2.65</v>
      </c>
      <c r="X490">
        <v>2.31</v>
      </c>
      <c r="Y490">
        <v>0.5240589999999999</v>
      </c>
      <c r="Z490">
        <v>0.8936535162950257</v>
      </c>
      <c r="AA490">
        <v>0.8883495145631067</v>
      </c>
      <c r="AB490">
        <v>0.4588045234248789</v>
      </c>
      <c r="AC490">
        <v>0.7108239095315024</v>
      </c>
      <c r="AD490">
        <v>0.8432956381260097</v>
      </c>
    </row>
    <row r="491" spans="1:30">
      <c r="A491" s="1" t="s">
        <v>498</v>
      </c>
      <c r="B491">
        <f>HYPERLINK("https://www.suredividend.com/sure-analysis-AEG","AEGON NV")</f>
        <v>0</v>
      </c>
      <c r="C491">
        <v>4.53</v>
      </c>
      <c r="D491">
        <v>9252.878339999999</v>
      </c>
      <c r="E491" t="s">
        <v>659</v>
      </c>
      <c r="F491" t="s">
        <v>629</v>
      </c>
      <c r="G491" t="s">
        <v>699</v>
      </c>
      <c r="H491" t="s">
        <v>703</v>
      </c>
      <c r="I491" t="s">
        <v>1186</v>
      </c>
      <c r="J491" t="s">
        <v>1309</v>
      </c>
      <c r="K491">
        <v>43703</v>
      </c>
      <c r="L491">
        <v>0.062705077262693</v>
      </c>
      <c r="M491">
        <v>0.01206725779086915</v>
      </c>
      <c r="N491">
        <v>0.03</v>
      </c>
      <c r="O491">
        <v>0.1053108992488452</v>
      </c>
      <c r="P491" t="s">
        <v>382</v>
      </c>
      <c r="Q491" t="s">
        <v>494</v>
      </c>
      <c r="R491">
        <v>4</v>
      </c>
      <c r="S491">
        <v>0.3550674999999999</v>
      </c>
      <c r="T491">
        <v>4.81</v>
      </c>
      <c r="U491">
        <v>0.9417879417879419</v>
      </c>
      <c r="V491">
        <v>0.4637</v>
      </c>
      <c r="W491">
        <v>0.8</v>
      </c>
      <c r="X491">
        <v>0.284054</v>
      </c>
      <c r="Y491">
        <v>-0.066</v>
      </c>
      <c r="Z491">
        <v>0.8524871355060034</v>
      </c>
      <c r="AA491">
        <v>0.09870550161812298</v>
      </c>
      <c r="AB491">
        <v>0.2003231017770598</v>
      </c>
      <c r="AC491">
        <v>0.8045234248788369</v>
      </c>
      <c r="AD491">
        <v>0.8416801292407108</v>
      </c>
    </row>
    <row r="492" spans="1:30">
      <c r="A492" s="1" t="s">
        <v>499</v>
      </c>
      <c r="B492">
        <f>HYPERLINK("https://www.suredividend.com/sure-analysis-AGNC","AGNC Investment Corp.")</f>
        <v>0</v>
      </c>
      <c r="C492">
        <v>17.71</v>
      </c>
      <c r="D492">
        <v>9579.65778</v>
      </c>
      <c r="E492" t="s">
        <v>667</v>
      </c>
      <c r="F492" t="s">
        <v>630</v>
      </c>
      <c r="G492" t="s">
        <v>673</v>
      </c>
      <c r="H492" t="s">
        <v>704</v>
      </c>
      <c r="I492" t="s">
        <v>1187</v>
      </c>
      <c r="J492" t="s">
        <v>1309</v>
      </c>
      <c r="K492">
        <v>43732</v>
      </c>
      <c r="L492">
        <v>0.116318464144551</v>
      </c>
      <c r="M492">
        <v>0.0032537431883084</v>
      </c>
      <c r="N492">
        <v>0.004</v>
      </c>
      <c r="O492">
        <v>0.1048985517044778</v>
      </c>
      <c r="P492" t="s">
        <v>382</v>
      </c>
      <c r="Q492" t="s">
        <v>494</v>
      </c>
      <c r="R492">
        <v>0</v>
      </c>
      <c r="S492">
        <v>0.9115044247787611</v>
      </c>
      <c r="T492">
        <v>18</v>
      </c>
      <c r="U492">
        <v>0.9838888888888889</v>
      </c>
      <c r="V492">
        <v>-2.0182</v>
      </c>
      <c r="W492">
        <v>2.26</v>
      </c>
      <c r="X492">
        <v>2.06</v>
      </c>
      <c r="Y492">
        <v>0.0149</v>
      </c>
      <c r="Z492">
        <v>0.9725557461406518</v>
      </c>
      <c r="AA492">
        <v>0.186084142394822</v>
      </c>
      <c r="AB492">
        <v>0.04361873990306947</v>
      </c>
      <c r="AC492">
        <v>0.7382875605815832</v>
      </c>
      <c r="AD492">
        <v>0.8400646203554119</v>
      </c>
    </row>
    <row r="493" spans="1:30">
      <c r="A493" s="1" t="s">
        <v>500</v>
      </c>
      <c r="B493">
        <f>HYPERLINK("https://www.suredividend.com/sure-analysis-DX","Dynex Capital, Inc.")</f>
        <v>0</v>
      </c>
      <c r="C493">
        <v>16.94</v>
      </c>
      <c r="D493">
        <v>388.70524</v>
      </c>
      <c r="E493" t="s">
        <v>667</v>
      </c>
      <c r="F493" t="s">
        <v>630</v>
      </c>
      <c r="G493" t="s">
        <v>673</v>
      </c>
      <c r="H493" t="s">
        <v>703</v>
      </c>
      <c r="I493" t="s">
        <v>1188</v>
      </c>
      <c r="J493" t="s">
        <v>1309</v>
      </c>
      <c r="K493">
        <v>43746</v>
      </c>
      <c r="L493">
        <v>0.12396694214876</v>
      </c>
      <c r="M493">
        <v>0.0007073810425053395</v>
      </c>
      <c r="N493">
        <v>0</v>
      </c>
      <c r="O493">
        <v>0.1041454267348358</v>
      </c>
      <c r="P493" t="s">
        <v>382</v>
      </c>
      <c r="Q493" t="s">
        <v>494</v>
      </c>
      <c r="R493">
        <v>0</v>
      </c>
      <c r="S493">
        <v>0.9722222222222222</v>
      </c>
      <c r="T493">
        <v>17</v>
      </c>
      <c r="U493">
        <v>0.9964705882352942</v>
      </c>
      <c r="V493">
        <v>-13.0705</v>
      </c>
      <c r="W493">
        <v>2.16</v>
      </c>
      <c r="X493">
        <v>2.1</v>
      </c>
      <c r="Y493">
        <v>0.004745</v>
      </c>
      <c r="Z493">
        <v>0.9794168096054888</v>
      </c>
      <c r="AA493">
        <v>0.1747572815533981</v>
      </c>
      <c r="AB493">
        <v>0.02988691437802908</v>
      </c>
      <c r="AC493">
        <v>0.7140549273021002</v>
      </c>
      <c r="AD493">
        <v>0.8352180936995154</v>
      </c>
    </row>
    <row r="494" spans="1:30">
      <c r="A494" s="1" t="s">
        <v>501</v>
      </c>
      <c r="B494">
        <f>HYPERLINK("https://www.suredividend.com/sure-analysis-CTL","CenturyLink, Inc.")</f>
        <v>0</v>
      </c>
      <c r="C494">
        <v>13.22</v>
      </c>
      <c r="D494">
        <v>14412.8406</v>
      </c>
      <c r="E494" t="s">
        <v>665</v>
      </c>
      <c r="F494" t="s">
        <v>629</v>
      </c>
      <c r="G494" t="s">
        <v>673</v>
      </c>
      <c r="H494" t="s">
        <v>703</v>
      </c>
      <c r="I494" t="s">
        <v>1189</v>
      </c>
      <c r="J494" t="s">
        <v>1318</v>
      </c>
      <c r="K494">
        <v>43796</v>
      </c>
      <c r="L494">
        <v>0.09757942511346401</v>
      </c>
      <c r="M494">
        <v>-0.003350669329023725</v>
      </c>
      <c r="N494">
        <v>0.05</v>
      </c>
      <c r="O494">
        <v>0.1030899219264458</v>
      </c>
      <c r="P494" t="s">
        <v>382</v>
      </c>
      <c r="Q494" t="s">
        <v>494</v>
      </c>
      <c r="R494">
        <v>0</v>
      </c>
      <c r="S494">
        <v>1.075</v>
      </c>
      <c r="T494">
        <v>13</v>
      </c>
      <c r="U494">
        <v>1.016923076923077</v>
      </c>
      <c r="V494">
        <v>-7.3999</v>
      </c>
      <c r="W494">
        <v>1.2</v>
      </c>
      <c r="X494">
        <v>1.29</v>
      </c>
      <c r="Y494">
        <v>-0.112752</v>
      </c>
      <c r="Z494">
        <v>0.9502572898799313</v>
      </c>
      <c r="AA494">
        <v>0.08090614886731391</v>
      </c>
      <c r="AB494">
        <v>0.4588045234248789</v>
      </c>
      <c r="AC494">
        <v>0.6817447495961229</v>
      </c>
      <c r="AD494">
        <v>0.8287560581583199</v>
      </c>
    </row>
    <row r="495" spans="1:30">
      <c r="A495" s="1" t="s">
        <v>502</v>
      </c>
      <c r="B495">
        <f>HYPERLINK("https://www.suredividend.com/sure-analysis-COR","CoreSite Realty Corp.")</f>
        <v>0</v>
      </c>
      <c r="C495">
        <v>113.24</v>
      </c>
      <c r="D495">
        <v>4267.67588</v>
      </c>
      <c r="E495" t="s">
        <v>667</v>
      </c>
      <c r="F495" t="s">
        <v>630</v>
      </c>
      <c r="G495" t="s">
        <v>673</v>
      </c>
      <c r="H495" t="s">
        <v>703</v>
      </c>
      <c r="I495" t="s">
        <v>1190</v>
      </c>
      <c r="J495" t="s">
        <v>1309</v>
      </c>
      <c r="K495">
        <v>43754</v>
      </c>
      <c r="L495">
        <v>0.040974920522783</v>
      </c>
      <c r="M495">
        <v>-0.03048535273050446</v>
      </c>
      <c r="N495">
        <v>0.098</v>
      </c>
      <c r="O495">
        <v>0.1014638915236141</v>
      </c>
      <c r="P495" t="s">
        <v>382</v>
      </c>
      <c r="Q495" t="s">
        <v>405</v>
      </c>
      <c r="R495">
        <v>9</v>
      </c>
      <c r="S495">
        <v>0.9098039215686274</v>
      </c>
      <c r="T495">
        <v>97</v>
      </c>
      <c r="U495">
        <v>1.167422680412371</v>
      </c>
      <c r="V495">
        <v>2.0897</v>
      </c>
      <c r="W495">
        <v>5.1</v>
      </c>
      <c r="X495">
        <v>4.64</v>
      </c>
      <c r="Y495">
        <v>0.319506</v>
      </c>
      <c r="Z495">
        <v>0.6672384219554032</v>
      </c>
      <c r="AA495">
        <v>0.6521035598705501</v>
      </c>
      <c r="AB495">
        <v>0.91437802907916</v>
      </c>
      <c r="AC495">
        <v>0.45718901453958</v>
      </c>
      <c r="AD495">
        <v>0.8158319870759289</v>
      </c>
    </row>
    <row r="496" spans="1:30">
      <c r="A496" s="1" t="s">
        <v>503</v>
      </c>
      <c r="B496">
        <f>HYPERLINK("https://www.suredividend.com/sure-analysis-CPTA","Capitala Finance Corp.")</f>
        <v>0</v>
      </c>
      <c r="C496">
        <v>8.69</v>
      </c>
      <c r="D496">
        <v>140.56944</v>
      </c>
      <c r="E496" t="s">
        <v>667</v>
      </c>
      <c r="F496" t="s">
        <v>629</v>
      </c>
      <c r="G496" t="s">
        <v>673</v>
      </c>
      <c r="H496" t="s">
        <v>704</v>
      </c>
      <c r="I496" t="s">
        <v>1191</v>
      </c>
      <c r="J496" t="s">
        <v>1309</v>
      </c>
      <c r="K496">
        <v>43783</v>
      </c>
      <c r="L496">
        <v>0.115028768699654</v>
      </c>
      <c r="M496">
        <v>0.007034957479237214</v>
      </c>
      <c r="N496">
        <v>0</v>
      </c>
      <c r="O496">
        <v>0.1000733705364099</v>
      </c>
      <c r="P496" t="s">
        <v>382</v>
      </c>
      <c r="Q496" t="s">
        <v>494</v>
      </c>
      <c r="R496">
        <v>0</v>
      </c>
      <c r="S496">
        <v>0.9996</v>
      </c>
      <c r="T496">
        <v>9</v>
      </c>
      <c r="U496">
        <v>0.9655555555555555</v>
      </c>
      <c r="V496">
        <v>-2.2875</v>
      </c>
      <c r="W496">
        <v>1</v>
      </c>
      <c r="X496">
        <v>0.9996</v>
      </c>
      <c r="Y496">
        <v>0.287407</v>
      </c>
      <c r="Z496">
        <v>0.9691252144082333</v>
      </c>
      <c r="AA496">
        <v>0.6148867313915858</v>
      </c>
      <c r="AB496">
        <v>0.02988691437802908</v>
      </c>
      <c r="AC496">
        <v>0.765751211631664</v>
      </c>
      <c r="AD496">
        <v>0.8077544426494346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17.64</v>
      </c>
      <c r="D497">
        <v>1039.29588</v>
      </c>
      <c r="E497" t="s">
        <v>667</v>
      </c>
      <c r="F497" t="s">
        <v>630</v>
      </c>
      <c r="G497" t="s">
        <v>673</v>
      </c>
      <c r="H497" t="s">
        <v>703</v>
      </c>
      <c r="I497" t="s">
        <v>1192</v>
      </c>
      <c r="J497" t="s">
        <v>1309</v>
      </c>
      <c r="K497">
        <v>43790</v>
      </c>
      <c r="L497">
        <v>0.125850340136054</v>
      </c>
      <c r="M497">
        <v>0.02543062323625467</v>
      </c>
      <c r="N497">
        <v>-0.02</v>
      </c>
      <c r="O497">
        <v>0.09898382244232784</v>
      </c>
      <c r="P497" t="s">
        <v>382</v>
      </c>
      <c r="Q497" t="s">
        <v>634</v>
      </c>
      <c r="R497">
        <v>3</v>
      </c>
      <c r="S497">
        <v>0.8740157480314962</v>
      </c>
      <c r="T497">
        <v>20</v>
      </c>
      <c r="U497">
        <v>0.882</v>
      </c>
      <c r="V497">
        <v>-11.5146</v>
      </c>
      <c r="W497">
        <v>2.54</v>
      </c>
      <c r="X497">
        <v>2.22</v>
      </c>
      <c r="Y497">
        <v>-0.133595</v>
      </c>
      <c r="Z497">
        <v>0.9828473413379073</v>
      </c>
      <c r="AA497">
        <v>0.07119741100323625</v>
      </c>
      <c r="AB497">
        <v>0.01292407108239095</v>
      </c>
      <c r="AC497">
        <v>0.8966074313408724</v>
      </c>
      <c r="AD497">
        <v>0.8029079159935379</v>
      </c>
    </row>
    <row r="498" spans="1:30">
      <c r="A498" s="1" t="s">
        <v>505</v>
      </c>
      <c r="B498">
        <f>HYPERLINK("https://www.suredividend.com/sure-analysis-BP","BP Plc")</f>
        <v>0</v>
      </c>
      <c r="C498">
        <v>37.85</v>
      </c>
      <c r="D498">
        <v>126748.717658</v>
      </c>
      <c r="E498" t="s">
        <v>659</v>
      </c>
      <c r="F498" t="s">
        <v>629</v>
      </c>
      <c r="G498" t="s">
        <v>677</v>
      </c>
      <c r="H498" t="s">
        <v>703</v>
      </c>
      <c r="I498" t="s">
        <v>1193</v>
      </c>
      <c r="J498" t="s">
        <v>1312</v>
      </c>
      <c r="K498">
        <v>43768</v>
      </c>
      <c r="L498">
        <v>0.06446499339498001</v>
      </c>
      <c r="M498">
        <v>-0.004532311384711996</v>
      </c>
      <c r="N498">
        <v>0.05</v>
      </c>
      <c r="O498">
        <v>0.09737337232424004</v>
      </c>
      <c r="P498" t="s">
        <v>382</v>
      </c>
      <c r="Q498" t="s">
        <v>494</v>
      </c>
      <c r="R498">
        <v>0</v>
      </c>
      <c r="S498">
        <v>0.7870967741935484</v>
      </c>
      <c r="T498">
        <v>37</v>
      </c>
      <c r="U498">
        <v>1.022972972972973</v>
      </c>
      <c r="V498">
        <v>1.425</v>
      </c>
      <c r="W498">
        <v>3.1</v>
      </c>
      <c r="X498">
        <v>2.44</v>
      </c>
      <c r="Y498">
        <v>-0.0367</v>
      </c>
      <c r="Z498">
        <v>0.8679245283018868</v>
      </c>
      <c r="AA498">
        <v>0.127831715210356</v>
      </c>
      <c r="AB498">
        <v>0.4588045234248789</v>
      </c>
      <c r="AC498">
        <v>0.6752827140549273</v>
      </c>
      <c r="AD498">
        <v>0.7932148626817448</v>
      </c>
    </row>
    <row r="499" spans="1:30">
      <c r="A499" s="1" t="s">
        <v>506</v>
      </c>
      <c r="B499">
        <f>HYPERLINK("https://www.suredividend.com/sure-analysis-DIN","Dine Brands Global, Inc.")</f>
        <v>0</v>
      </c>
      <c r="C499">
        <v>81.39</v>
      </c>
      <c r="D499">
        <v>1366.70088</v>
      </c>
      <c r="E499" t="s">
        <v>663</v>
      </c>
      <c r="F499" t="s">
        <v>629</v>
      </c>
      <c r="G499" t="s">
        <v>673</v>
      </c>
      <c r="H499" t="s">
        <v>703</v>
      </c>
      <c r="I499" t="s">
        <v>1194</v>
      </c>
      <c r="J499" t="s">
        <v>1324</v>
      </c>
      <c r="K499">
        <v>43772</v>
      </c>
      <c r="L499">
        <v>0.033173608551419</v>
      </c>
      <c r="M499">
        <v>0.03357033732485459</v>
      </c>
      <c r="N499">
        <v>0.035</v>
      </c>
      <c r="O499">
        <v>0.09667771549351212</v>
      </c>
      <c r="P499" t="s">
        <v>382</v>
      </c>
      <c r="Q499" t="s">
        <v>382</v>
      </c>
      <c r="R499">
        <v>0</v>
      </c>
      <c r="S499">
        <v>0.3930131004366813</v>
      </c>
      <c r="T499">
        <v>96</v>
      </c>
      <c r="U499">
        <v>0.8478125</v>
      </c>
      <c r="V499">
        <v>5.837</v>
      </c>
      <c r="W499">
        <v>6.87</v>
      </c>
      <c r="X499">
        <v>2.7</v>
      </c>
      <c r="Y499">
        <v>0.167719</v>
      </c>
      <c r="Z499">
        <v>0.562607204116638</v>
      </c>
      <c r="AA499">
        <v>0.389967637540453</v>
      </c>
      <c r="AB499">
        <v>0.2520193861066236</v>
      </c>
      <c r="AC499">
        <v>0.924071082390953</v>
      </c>
      <c r="AD499">
        <v>0.7867528271405493</v>
      </c>
    </row>
    <row r="500" spans="1:30">
      <c r="A500" s="1" t="s">
        <v>507</v>
      </c>
      <c r="B500">
        <f>HYPERLINK("https://www.suredividend.com/sure-analysis-SBRA","Sabra Health Care REIT, Inc.")</f>
        <v>0</v>
      </c>
      <c r="C500">
        <v>21.37</v>
      </c>
      <c r="D500">
        <v>4323.51429</v>
      </c>
      <c r="E500" t="s">
        <v>671</v>
      </c>
      <c r="F500" t="s">
        <v>630</v>
      </c>
      <c r="G500" t="s">
        <v>673</v>
      </c>
      <c r="H500" t="s">
        <v>704</v>
      </c>
      <c r="I500" t="s">
        <v>1195</v>
      </c>
      <c r="J500" t="s">
        <v>1309</v>
      </c>
      <c r="K500">
        <v>43800</v>
      </c>
      <c r="L500">
        <v>0.084230229293401</v>
      </c>
      <c r="M500">
        <v>-0.03374090098041282</v>
      </c>
      <c r="N500">
        <v>0.043</v>
      </c>
      <c r="O500">
        <v>0.09530359729261129</v>
      </c>
      <c r="P500" t="s">
        <v>382</v>
      </c>
      <c r="Q500" t="s">
        <v>494</v>
      </c>
      <c r="R500">
        <v>8</v>
      </c>
      <c r="S500">
        <v>0.8910891089108911</v>
      </c>
      <c r="T500">
        <v>18</v>
      </c>
      <c r="U500">
        <v>1.187222222222222</v>
      </c>
      <c r="V500">
        <v>0.0386</v>
      </c>
      <c r="W500">
        <v>2.02</v>
      </c>
      <c r="X500">
        <v>1.8</v>
      </c>
      <c r="Y500">
        <v>0.262256</v>
      </c>
      <c r="Z500">
        <v>0.9193825042881646</v>
      </c>
      <c r="AA500">
        <v>0.5776699029126213</v>
      </c>
      <c r="AB500">
        <v>0.3723747980613893</v>
      </c>
      <c r="AC500">
        <v>0.4151857835218094</v>
      </c>
      <c r="AD500">
        <v>0.7738287560581583</v>
      </c>
    </row>
    <row r="501" spans="1:30">
      <c r="A501" s="1" t="s">
        <v>508</v>
      </c>
      <c r="B501">
        <f>HYPERLINK("https://www.suredividend.com/sure-analysis-APA","Apache Corp.")</f>
        <v>0</v>
      </c>
      <c r="C501">
        <v>22.62</v>
      </c>
      <c r="D501">
        <v>8505.93432</v>
      </c>
      <c r="E501" t="s">
        <v>659</v>
      </c>
      <c r="F501" t="s">
        <v>629</v>
      </c>
      <c r="G501" t="s">
        <v>673</v>
      </c>
      <c r="H501" t="s">
        <v>703</v>
      </c>
      <c r="I501" t="s">
        <v>1196</v>
      </c>
      <c r="J501" t="s">
        <v>1312</v>
      </c>
      <c r="K501">
        <v>43774</v>
      </c>
      <c r="L501">
        <v>0.04420866489832</v>
      </c>
      <c r="M501">
        <v>-0.3323855457758007</v>
      </c>
      <c r="N501">
        <v>0.585</v>
      </c>
      <c r="O501">
        <v>0.09491543785898693</v>
      </c>
      <c r="P501" t="s">
        <v>382</v>
      </c>
      <c r="Q501" t="s">
        <v>382</v>
      </c>
      <c r="R501">
        <v>0</v>
      </c>
      <c r="S501">
        <v>4</v>
      </c>
      <c r="T501">
        <v>3</v>
      </c>
      <c r="U501">
        <v>7.54</v>
      </c>
      <c r="V501">
        <v>-2.5308</v>
      </c>
      <c r="W501">
        <v>0.25</v>
      </c>
      <c r="X501">
        <v>1</v>
      </c>
      <c r="Y501">
        <v>-0.148023</v>
      </c>
      <c r="Z501">
        <v>0.711835334476844</v>
      </c>
      <c r="AA501">
        <v>0.06634304207119741</v>
      </c>
      <c r="AB501">
        <v>1</v>
      </c>
      <c r="AC501">
        <v>0.003231017770597738</v>
      </c>
      <c r="AD501">
        <v>0.7722132471728593</v>
      </c>
    </row>
    <row r="502" spans="1:30">
      <c r="A502" s="1" t="s">
        <v>509</v>
      </c>
      <c r="B502">
        <f>HYPERLINK("https://www.suredividend.com/sure-analysis-USAC","USA Compression Partners LP")</f>
        <v>0</v>
      </c>
      <c r="C502">
        <v>16.85</v>
      </c>
      <c r="D502">
        <v>1627.9796</v>
      </c>
      <c r="E502" t="s">
        <v>669</v>
      </c>
      <c r="F502" t="s">
        <v>631</v>
      </c>
      <c r="G502" t="s">
        <v>673</v>
      </c>
      <c r="H502" t="s">
        <v>703</v>
      </c>
      <c r="I502" t="s">
        <v>1197</v>
      </c>
      <c r="J502" t="s">
        <v>1325</v>
      </c>
      <c r="K502">
        <v>43793</v>
      </c>
      <c r="L502">
        <v>0.124629080118694</v>
      </c>
      <c r="M502">
        <v>-0.01029898539093432</v>
      </c>
      <c r="N502">
        <v>0</v>
      </c>
      <c r="O502">
        <v>0.09478589584198072</v>
      </c>
      <c r="P502" t="s">
        <v>382</v>
      </c>
      <c r="Q502" t="s">
        <v>634</v>
      </c>
      <c r="R502">
        <v>0</v>
      </c>
      <c r="S502">
        <v>0.8677685950413224</v>
      </c>
      <c r="T502">
        <v>16</v>
      </c>
      <c r="U502">
        <v>1.053125</v>
      </c>
      <c r="V502">
        <v>-0.09040000000000001</v>
      </c>
      <c r="W502">
        <v>2.42</v>
      </c>
      <c r="X502">
        <v>2.1</v>
      </c>
      <c r="Y502">
        <v>0.294163</v>
      </c>
      <c r="Z502">
        <v>0.9811320754716981</v>
      </c>
      <c r="AA502">
        <v>0.6213592233009709</v>
      </c>
      <c r="AB502">
        <v>0.02988691437802908</v>
      </c>
      <c r="AC502">
        <v>0.6268174474959612</v>
      </c>
      <c r="AD502">
        <v>0.7705977382875606</v>
      </c>
    </row>
    <row r="503" spans="1:30">
      <c r="A503" s="1" t="s">
        <v>510</v>
      </c>
      <c r="B503">
        <f>HYPERLINK("https://www.suredividend.com/sure-analysis-CHRRF","Chorus Aviation, Inc.")</f>
        <v>0</v>
      </c>
      <c r="C503">
        <v>6.24</v>
      </c>
      <c r="D503">
        <v>999.44832</v>
      </c>
      <c r="E503" t="s">
        <v>669</v>
      </c>
      <c r="F503" t="s">
        <v>629</v>
      </c>
      <c r="G503" t="s">
        <v>675</v>
      </c>
      <c r="H503" t="s">
        <v>705</v>
      </c>
      <c r="I503" t="s">
        <v>1198</v>
      </c>
      <c r="J503" t="s">
        <v>1313</v>
      </c>
      <c r="K503">
        <v>43752</v>
      </c>
      <c r="L503">
        <v>0.057963387716528</v>
      </c>
      <c r="M503">
        <v>-0.008475799035301268</v>
      </c>
      <c r="N503">
        <v>0.05</v>
      </c>
      <c r="O503">
        <v>0.09274166480267643</v>
      </c>
      <c r="P503" t="s">
        <v>382</v>
      </c>
      <c r="Q503" t="s">
        <v>494</v>
      </c>
      <c r="R503">
        <v>0</v>
      </c>
      <c r="S503">
        <v>0.3039424700429723</v>
      </c>
      <c r="T503">
        <v>5.98</v>
      </c>
      <c r="U503">
        <v>1.043478260869565</v>
      </c>
      <c r="V503">
        <v>0.4773</v>
      </c>
      <c r="W503">
        <v>1.19</v>
      </c>
      <c r="X503">
        <v>0.361691539351137</v>
      </c>
      <c r="Y503">
        <v>0.602513</v>
      </c>
      <c r="Z503">
        <v>0.823327615780446</v>
      </c>
      <c r="AA503">
        <v>0.9288025889967638</v>
      </c>
      <c r="AB503">
        <v>0.4588045234248789</v>
      </c>
      <c r="AC503">
        <v>0.6365105008077544</v>
      </c>
      <c r="AD503">
        <v>0.7544426494345718</v>
      </c>
    </row>
    <row r="504" spans="1:30">
      <c r="A504" s="1" t="s">
        <v>511</v>
      </c>
      <c r="B504">
        <f>HYPERLINK("https://www.suredividend.com/sure-analysis-LMRK","Landmark Infrastructure Partners LP")</f>
        <v>0</v>
      </c>
      <c r="C504">
        <v>17.08</v>
      </c>
      <c r="D504">
        <v>433.02924</v>
      </c>
      <c r="E504" t="s">
        <v>669</v>
      </c>
      <c r="F504" t="s">
        <v>629</v>
      </c>
      <c r="G504" t="s">
        <v>673</v>
      </c>
      <c r="H504" t="s">
        <v>704</v>
      </c>
      <c r="I504" t="s">
        <v>1199</v>
      </c>
      <c r="J504" t="s">
        <v>1309</v>
      </c>
      <c r="K504">
        <v>43729</v>
      </c>
      <c r="L504">
        <v>0.08606557377049101</v>
      </c>
      <c r="M504">
        <v>-0.02563723639874782</v>
      </c>
      <c r="N504">
        <v>0.05</v>
      </c>
      <c r="O504">
        <v>0.09177379395958774</v>
      </c>
      <c r="P504" t="s">
        <v>382</v>
      </c>
      <c r="Q504" t="s">
        <v>494</v>
      </c>
      <c r="R504">
        <v>3</v>
      </c>
      <c r="S504">
        <v>1.1484375</v>
      </c>
      <c r="T504">
        <v>15</v>
      </c>
      <c r="U504">
        <v>1.138666666666666</v>
      </c>
      <c r="V504">
        <v>0.2023</v>
      </c>
      <c r="W504">
        <v>1.28</v>
      </c>
      <c r="X504">
        <v>1.47</v>
      </c>
      <c r="Y504">
        <v>0.473684</v>
      </c>
      <c r="Z504">
        <v>0.9245283018867925</v>
      </c>
      <c r="AA504">
        <v>0.8527508090614887</v>
      </c>
      <c r="AB504">
        <v>0.4588045234248789</v>
      </c>
      <c r="AC504">
        <v>0.5153473344103393</v>
      </c>
      <c r="AD504">
        <v>0.7479806138933764</v>
      </c>
    </row>
    <row r="505" spans="1:30">
      <c r="A505" s="1" t="s">
        <v>512</v>
      </c>
      <c r="B505">
        <f>HYPERLINK("https://www.suredividend.com/sure-analysis-VER","VEREIT, Inc.")</f>
        <v>0</v>
      </c>
      <c r="C505">
        <v>9.23</v>
      </c>
      <c r="D505">
        <v>9854.778700000001</v>
      </c>
      <c r="E505" t="s">
        <v>667</v>
      </c>
      <c r="F505" t="s">
        <v>629</v>
      </c>
      <c r="G505" t="s">
        <v>673</v>
      </c>
      <c r="H505" t="s">
        <v>703</v>
      </c>
      <c r="I505" t="s">
        <v>1200</v>
      </c>
      <c r="J505" t="s">
        <v>1309</v>
      </c>
      <c r="K505">
        <v>43789</v>
      </c>
      <c r="L505">
        <v>0.059588299024918</v>
      </c>
      <c r="M505">
        <v>0.009148514106374295</v>
      </c>
      <c r="N505">
        <v>0.03</v>
      </c>
      <c r="O505">
        <v>0.09017854184250429</v>
      </c>
      <c r="P505" t="s">
        <v>382</v>
      </c>
      <c r="Q505" t="s">
        <v>494</v>
      </c>
      <c r="R505">
        <v>0</v>
      </c>
      <c r="S505">
        <v>0.7971014492753624</v>
      </c>
      <c r="T505">
        <v>9.66</v>
      </c>
      <c r="U505">
        <v>0.9554865424430642</v>
      </c>
      <c r="V505">
        <v>-0.4215</v>
      </c>
      <c r="W505">
        <v>0.6899999999999999</v>
      </c>
      <c r="X505">
        <v>0.55</v>
      </c>
      <c r="Y505">
        <v>0.262654</v>
      </c>
      <c r="Z505">
        <v>0.8319039451114922</v>
      </c>
      <c r="AA505">
        <v>0.5792880258899676</v>
      </c>
      <c r="AB505">
        <v>0.2003231017770598</v>
      </c>
      <c r="AC505">
        <v>0.7819063004846527</v>
      </c>
      <c r="AD505">
        <v>0.7431340872374799</v>
      </c>
    </row>
    <row r="506" spans="1:30">
      <c r="A506" s="1" t="s">
        <v>513</v>
      </c>
      <c r="B506">
        <f>HYPERLINK("https://www.suredividend.com/sure-analysis-HP","Helmerich &amp; Payne, Inc.")</f>
        <v>0</v>
      </c>
      <c r="C506">
        <v>44.2</v>
      </c>
      <c r="D506">
        <v>4793.3574</v>
      </c>
      <c r="E506" t="s">
        <v>659</v>
      </c>
      <c r="F506" t="s">
        <v>629</v>
      </c>
      <c r="G506" t="s">
        <v>673</v>
      </c>
      <c r="H506" t="s">
        <v>703</v>
      </c>
      <c r="I506" t="s">
        <v>1201</v>
      </c>
      <c r="J506" t="s">
        <v>1325</v>
      </c>
      <c r="K506">
        <v>43795</v>
      </c>
      <c r="L506">
        <v>0.064253393665158</v>
      </c>
      <c r="M506">
        <v>0.01663204204348334</v>
      </c>
      <c r="N506">
        <v>0.014</v>
      </c>
      <c r="O506">
        <v>0.08430802876182919</v>
      </c>
      <c r="P506" t="s">
        <v>382</v>
      </c>
      <c r="Q506" t="s">
        <v>405</v>
      </c>
      <c r="R506">
        <v>46</v>
      </c>
      <c r="S506">
        <v>1.670588235294118</v>
      </c>
      <c r="T506">
        <v>48</v>
      </c>
      <c r="U506">
        <v>0.9208333333333334</v>
      </c>
      <c r="V506">
        <v>-0.3336</v>
      </c>
      <c r="W506">
        <v>1.7</v>
      </c>
      <c r="X506">
        <v>2.84</v>
      </c>
      <c r="Y506">
        <v>-0.042668</v>
      </c>
      <c r="Z506">
        <v>0.8662092624356775</v>
      </c>
      <c r="AA506">
        <v>0.1213592233009709</v>
      </c>
      <c r="AB506">
        <v>0.06785137318255251</v>
      </c>
      <c r="AC506">
        <v>0.8336025848142166</v>
      </c>
      <c r="AD506">
        <v>0.7075928917609047</v>
      </c>
    </row>
    <row r="507" spans="1:30">
      <c r="A507" s="1" t="s">
        <v>514</v>
      </c>
      <c r="B507">
        <f>HYPERLINK("https://www.suredividend.com/sure-analysis-MIC","Macquarie Infrastructure Corp.")</f>
        <v>0</v>
      </c>
      <c r="C507">
        <v>43.45</v>
      </c>
      <c r="D507">
        <v>3756.778245</v>
      </c>
      <c r="E507" t="s">
        <v>663</v>
      </c>
      <c r="F507" t="s">
        <v>629</v>
      </c>
      <c r="G507" t="s">
        <v>673</v>
      </c>
      <c r="H507" t="s">
        <v>703</v>
      </c>
      <c r="I507" t="s">
        <v>1202</v>
      </c>
      <c r="J507" t="s">
        <v>1309</v>
      </c>
      <c r="K507">
        <v>43773</v>
      </c>
      <c r="L507">
        <v>0.09205983889528101</v>
      </c>
      <c r="M507">
        <v>-0.01641014172868616</v>
      </c>
      <c r="N507">
        <v>0.02</v>
      </c>
      <c r="O507">
        <v>0.08357899748073483</v>
      </c>
      <c r="P507" t="s">
        <v>382</v>
      </c>
      <c r="Q507" t="s">
        <v>634</v>
      </c>
      <c r="R507">
        <v>0</v>
      </c>
      <c r="S507">
        <v>0.7952286282306162</v>
      </c>
      <c r="T507">
        <v>40</v>
      </c>
      <c r="U507">
        <v>1.08625</v>
      </c>
      <c r="V507">
        <v>1.6455</v>
      </c>
      <c r="W507">
        <v>5.03</v>
      </c>
      <c r="X507">
        <v>4</v>
      </c>
      <c r="Y507">
        <v>0.214705</v>
      </c>
      <c r="Z507">
        <v>0.9365351629502573</v>
      </c>
      <c r="AA507">
        <v>0.4870550161812298</v>
      </c>
      <c r="AB507">
        <v>0.1219709208400646</v>
      </c>
      <c r="AC507">
        <v>0.5880452342487884</v>
      </c>
      <c r="AD507">
        <v>0.7027463651050081</v>
      </c>
    </row>
    <row r="508" spans="1:30">
      <c r="A508" s="1" t="s">
        <v>515</v>
      </c>
      <c r="B508">
        <f>HYPERLINK("https://www.suredividend.com/sure-analysis-LADR","Ladder Capital Corp.")</f>
        <v>0</v>
      </c>
      <c r="C508">
        <v>17.96</v>
      </c>
      <c r="D508">
        <v>2150.403477</v>
      </c>
      <c r="E508" t="s">
        <v>665</v>
      </c>
      <c r="F508" t="s">
        <v>630</v>
      </c>
      <c r="G508" t="s">
        <v>673</v>
      </c>
      <c r="H508" t="s">
        <v>703</v>
      </c>
      <c r="I508" t="s">
        <v>1203</v>
      </c>
      <c r="J508" t="s">
        <v>1309</v>
      </c>
      <c r="K508">
        <v>43796</v>
      </c>
      <c r="L508">
        <v>0.07572383073496601</v>
      </c>
      <c r="M508">
        <v>-0.03537839368947282</v>
      </c>
      <c r="N508">
        <v>0.045</v>
      </c>
      <c r="O508">
        <v>0.08349745176502088</v>
      </c>
      <c r="P508" t="s">
        <v>382</v>
      </c>
      <c r="Q508" t="s">
        <v>494</v>
      </c>
      <c r="R508">
        <v>0</v>
      </c>
      <c r="S508">
        <v>0.7555555555555554</v>
      </c>
      <c r="T508">
        <v>15</v>
      </c>
      <c r="U508">
        <v>1.197333333333333</v>
      </c>
      <c r="V508">
        <v>1.0184</v>
      </c>
      <c r="W508">
        <v>1.8</v>
      </c>
      <c r="X508">
        <v>1.36</v>
      </c>
      <c r="Y508">
        <v>0.173089</v>
      </c>
      <c r="Z508">
        <v>0.9005145797598628</v>
      </c>
      <c r="AA508">
        <v>0.4029126213592233</v>
      </c>
      <c r="AB508">
        <v>0.3820678513731826</v>
      </c>
      <c r="AC508">
        <v>0.4006462035541196</v>
      </c>
      <c r="AD508">
        <v>0.7011308562197093</v>
      </c>
    </row>
    <row r="509" spans="1:30">
      <c r="A509" s="1" t="s">
        <v>516</v>
      </c>
      <c r="B509">
        <f>HYPERLINK("https://www.suredividend.com/sure-analysis-SNH","Senior Housing Properties Trust")</f>
        <v>0</v>
      </c>
      <c r="C509">
        <v>8.050000000000001</v>
      </c>
      <c r="D509">
        <v>1915.08695</v>
      </c>
      <c r="E509" t="s">
        <v>657</v>
      </c>
      <c r="F509" t="s">
        <v>630</v>
      </c>
      <c r="G509" t="s">
        <v>673</v>
      </c>
      <c r="H509" t="s">
        <v>704</v>
      </c>
      <c r="J509" t="s">
        <v>1309</v>
      </c>
      <c r="K509">
        <v>43717</v>
      </c>
      <c r="L509">
        <v>0.134161490683229</v>
      </c>
      <c r="M509">
        <v>0.02256123756555906</v>
      </c>
      <c r="N509">
        <v>-0.01</v>
      </c>
      <c r="O509">
        <v>0.08324166403635958</v>
      </c>
      <c r="P509" t="s">
        <v>382</v>
      </c>
      <c r="Q509" t="s">
        <v>634</v>
      </c>
      <c r="R509">
        <v>0</v>
      </c>
      <c r="S509">
        <v>0.8120300751879699</v>
      </c>
      <c r="T509">
        <v>9</v>
      </c>
      <c r="U509">
        <v>0.8944444444444445</v>
      </c>
      <c r="V509">
        <v>-0.6528</v>
      </c>
      <c r="W509">
        <v>1.33</v>
      </c>
      <c r="X509">
        <v>1.08</v>
      </c>
      <c r="Y509">
        <v>-0.322391</v>
      </c>
      <c r="Z509">
        <v>0.9879931389365352</v>
      </c>
      <c r="AA509">
        <v>0.02750809061488673</v>
      </c>
      <c r="AB509">
        <v>0.01696284329563813</v>
      </c>
      <c r="AC509">
        <v>0.8804523424878836</v>
      </c>
      <c r="AD509">
        <v>0.6995153473344103</v>
      </c>
    </row>
    <row r="510" spans="1:30">
      <c r="A510" s="1" t="s">
        <v>517</v>
      </c>
      <c r="B510">
        <f>HYPERLINK("https://www.suredividend.com/sure-analysis-DD","DuPont de Nemours, Inc.")</f>
        <v>0</v>
      </c>
      <c r="C510">
        <v>63.55</v>
      </c>
      <c r="D510">
        <v>47078.28485</v>
      </c>
      <c r="E510" t="s">
        <v>661</v>
      </c>
      <c r="F510" t="s">
        <v>629</v>
      </c>
      <c r="G510" t="s">
        <v>673</v>
      </c>
      <c r="H510" t="s">
        <v>703</v>
      </c>
      <c r="I510" t="s">
        <v>1204</v>
      </c>
      <c r="J510" t="s">
        <v>1314</v>
      </c>
      <c r="K510">
        <v>43781</v>
      </c>
      <c r="L510">
        <v>0.04720692368214</v>
      </c>
      <c r="M510">
        <v>-0.008157174902301723</v>
      </c>
      <c r="N510">
        <v>0.05</v>
      </c>
      <c r="O510">
        <v>0.08283874402301561</v>
      </c>
      <c r="P510" t="s">
        <v>382</v>
      </c>
      <c r="Q510" t="s">
        <v>405</v>
      </c>
      <c r="R510">
        <v>2</v>
      </c>
      <c r="S510">
        <v>0.7894736842105263</v>
      </c>
      <c r="T510">
        <v>61</v>
      </c>
      <c r="U510">
        <v>1.041803278688525</v>
      </c>
      <c r="V510">
        <v>1.0566</v>
      </c>
      <c r="W510">
        <v>3.8</v>
      </c>
      <c r="X510">
        <v>3</v>
      </c>
      <c r="Y510">
        <v>-0.581274</v>
      </c>
      <c r="Z510">
        <v>0.7427101200686106</v>
      </c>
      <c r="AA510">
        <v>0.001618122977346278</v>
      </c>
      <c r="AB510">
        <v>0.4588045234248789</v>
      </c>
      <c r="AC510">
        <v>0.6397415185783522</v>
      </c>
      <c r="AD510">
        <v>0.6978998384491115</v>
      </c>
    </row>
    <row r="511" spans="1:30">
      <c r="A511" s="1" t="s">
        <v>518</v>
      </c>
      <c r="B511">
        <f>HYPERLINK("https://www.suredividend.com/sure-analysis-SSREY","Swiss Re AG")</f>
        <v>0</v>
      </c>
      <c r="C511">
        <v>27.9</v>
      </c>
      <c r="D511">
        <v>31887.431842</v>
      </c>
      <c r="E511" t="s">
        <v>661</v>
      </c>
      <c r="F511" t="s">
        <v>629</v>
      </c>
      <c r="G511" t="s">
        <v>678</v>
      </c>
      <c r="H511" t="s">
        <v>705</v>
      </c>
      <c r="I511" t="s">
        <v>1205</v>
      </c>
      <c r="J511" t="s">
        <v>1309</v>
      </c>
      <c r="K511">
        <v>43785</v>
      </c>
      <c r="L511">
        <v>0.04915053763440801</v>
      </c>
      <c r="M511">
        <v>-0.03789000465723225</v>
      </c>
      <c r="N511">
        <v>0.08</v>
      </c>
      <c r="O511">
        <v>0.08204512406211473</v>
      </c>
      <c r="P511" t="s">
        <v>382</v>
      </c>
      <c r="Q511" t="s">
        <v>405</v>
      </c>
      <c r="R511">
        <v>10</v>
      </c>
      <c r="S511">
        <v>0.9142</v>
      </c>
      <c r="T511">
        <v>23</v>
      </c>
      <c r="U511">
        <v>1.213043478260869</v>
      </c>
      <c r="V511">
        <v>0.3315</v>
      </c>
      <c r="W511">
        <v>1.5</v>
      </c>
      <c r="X511">
        <v>1.3713</v>
      </c>
      <c r="Y511">
        <v>0.234</v>
      </c>
      <c r="Z511">
        <v>0.7650085763293311</v>
      </c>
      <c r="AA511">
        <v>0.5258899676375405</v>
      </c>
      <c r="AB511">
        <v>0.8182552504038771</v>
      </c>
      <c r="AC511">
        <v>0.3796445880452343</v>
      </c>
      <c r="AD511">
        <v>0.691437802907916</v>
      </c>
    </row>
    <row r="512" spans="1:30">
      <c r="A512" s="1" t="s">
        <v>519</v>
      </c>
      <c r="B512">
        <f>HYPERLINK("https://www.suredividend.com/sure-analysis-MAIN","Main Street Capital Corp.")</f>
        <v>0</v>
      </c>
      <c r="C512">
        <v>43.4</v>
      </c>
      <c r="D512">
        <v>2752.645</v>
      </c>
      <c r="E512" t="s">
        <v>665</v>
      </c>
      <c r="F512" t="s">
        <v>629</v>
      </c>
      <c r="G512" t="s">
        <v>673</v>
      </c>
      <c r="H512" t="s">
        <v>703</v>
      </c>
      <c r="I512" t="s">
        <v>1206</v>
      </c>
      <c r="J512" t="s">
        <v>1309</v>
      </c>
      <c r="K512">
        <v>43796</v>
      </c>
      <c r="L512">
        <v>0.055645161290322</v>
      </c>
      <c r="M512">
        <v>-0.01618361248810518</v>
      </c>
      <c r="N512">
        <v>0.04</v>
      </c>
      <c r="O512">
        <v>0.08189203967330205</v>
      </c>
      <c r="P512" t="s">
        <v>382</v>
      </c>
      <c r="Q512" t="s">
        <v>405</v>
      </c>
      <c r="R512">
        <v>4</v>
      </c>
      <c r="S512">
        <v>0.8944444444444444</v>
      </c>
      <c r="T512">
        <v>40</v>
      </c>
      <c r="U512">
        <v>1.085</v>
      </c>
      <c r="V512">
        <v>1.9685</v>
      </c>
      <c r="W512">
        <v>2.7</v>
      </c>
      <c r="X512">
        <v>2.415</v>
      </c>
      <c r="Y512">
        <v>0.325191</v>
      </c>
      <c r="Z512">
        <v>0.8147512864493998</v>
      </c>
      <c r="AA512">
        <v>0.6553398058252426</v>
      </c>
      <c r="AB512">
        <v>0.3182552504038772</v>
      </c>
      <c r="AC512">
        <v>0.5896607431340872</v>
      </c>
      <c r="AD512">
        <v>0.6865912762520193</v>
      </c>
    </row>
    <row r="513" spans="1:30">
      <c r="A513" s="1" t="s">
        <v>520</v>
      </c>
      <c r="B513">
        <f>HYPERLINK("https://www.suredividend.com/sure-analysis-CCI","Crown Castle International Corp.")</f>
        <v>0</v>
      </c>
      <c r="C513">
        <v>142</v>
      </c>
      <c r="D513">
        <v>59039.056</v>
      </c>
      <c r="E513" t="s">
        <v>661</v>
      </c>
      <c r="F513" t="s">
        <v>630</v>
      </c>
      <c r="G513" t="s">
        <v>673</v>
      </c>
      <c r="H513" t="s">
        <v>703</v>
      </c>
      <c r="I513" t="s">
        <v>1207</v>
      </c>
      <c r="J513" t="s">
        <v>1309</v>
      </c>
      <c r="K513">
        <v>43760</v>
      </c>
      <c r="L513">
        <v>0.03169014084507001</v>
      </c>
      <c r="M513">
        <v>-0.03150049031832014</v>
      </c>
      <c r="N513">
        <v>0.08500000000000001</v>
      </c>
      <c r="O513">
        <v>0.08155294205326435</v>
      </c>
      <c r="P513" t="s">
        <v>382</v>
      </c>
      <c r="Q513" t="s">
        <v>382</v>
      </c>
      <c r="R513">
        <v>5</v>
      </c>
      <c r="S513">
        <v>0.7575757575757576</v>
      </c>
      <c r="T513">
        <v>121</v>
      </c>
      <c r="U513">
        <v>1.173553719008265</v>
      </c>
      <c r="V513">
        <v>1.9949</v>
      </c>
      <c r="W513">
        <v>5.94</v>
      </c>
      <c r="X513">
        <v>4.5</v>
      </c>
      <c r="Y513">
        <v>0.3371</v>
      </c>
      <c r="Z513">
        <v>0.5385934819897085</v>
      </c>
      <c r="AA513">
        <v>0.6715210355987056</v>
      </c>
      <c r="AB513">
        <v>0.8651050080775444</v>
      </c>
      <c r="AC513">
        <v>0.4474959612277868</v>
      </c>
      <c r="AD513">
        <v>0.6817447495961229</v>
      </c>
    </row>
    <row r="514" spans="1:30">
      <c r="A514" s="1" t="s">
        <v>521</v>
      </c>
      <c r="B514">
        <f>HYPERLINK("https://www.suredividend.com/sure-analysis-DUNDF","Dream Global Real Estate Investment Trust")</f>
        <v>0</v>
      </c>
      <c r="C514">
        <v>12.67</v>
      </c>
      <c r="D514">
        <v>2466.24084</v>
      </c>
      <c r="E514" t="s">
        <v>667</v>
      </c>
      <c r="F514" t="s">
        <v>630</v>
      </c>
      <c r="G514" t="s">
        <v>675</v>
      </c>
      <c r="H514" t="s">
        <v>705</v>
      </c>
      <c r="I514" t="s">
        <v>1208</v>
      </c>
      <c r="J514" t="s">
        <v>1309</v>
      </c>
      <c r="K514">
        <v>43746</v>
      </c>
      <c r="L514">
        <v>0.04731861198738101</v>
      </c>
      <c r="M514">
        <v>0.00515571783268931</v>
      </c>
      <c r="N514">
        <v>0.032</v>
      </c>
      <c r="O514">
        <v>0.08027691512030222</v>
      </c>
      <c r="P514" t="s">
        <v>382</v>
      </c>
      <c r="Q514" t="s">
        <v>405</v>
      </c>
      <c r="R514">
        <v>0</v>
      </c>
      <c r="S514">
        <v>0.7228915662650603</v>
      </c>
      <c r="T514">
        <v>13</v>
      </c>
      <c r="U514">
        <v>0.9746153846153847</v>
      </c>
      <c r="V514">
        <v>2.6583</v>
      </c>
      <c r="W514">
        <v>0.83</v>
      </c>
      <c r="X514">
        <v>0.6000000000000001</v>
      </c>
      <c r="Y514">
        <v>0</v>
      </c>
      <c r="Z514">
        <v>0.7444253859348199</v>
      </c>
      <c r="AA514">
        <v>0.1682847896440129</v>
      </c>
      <c r="AB514">
        <v>0.234248788368336</v>
      </c>
      <c r="AC514">
        <v>0.7544426494345718</v>
      </c>
      <c r="AD514">
        <v>0.6720516962843296</v>
      </c>
    </row>
    <row r="515" spans="1:30">
      <c r="A515" s="1" t="s">
        <v>522</v>
      </c>
      <c r="B515">
        <f>HYPERLINK("https://www.suredividend.com/sure-analysis-PM","Philip Morris International, Inc.")</f>
        <v>0</v>
      </c>
      <c r="C515">
        <v>85.27</v>
      </c>
      <c r="D515">
        <v>132669.8876</v>
      </c>
      <c r="E515" t="s">
        <v>658</v>
      </c>
      <c r="F515" t="s">
        <v>629</v>
      </c>
      <c r="G515" t="s">
        <v>673</v>
      </c>
      <c r="H515" t="s">
        <v>703</v>
      </c>
      <c r="I515" t="s">
        <v>1209</v>
      </c>
      <c r="J515" t="s">
        <v>1322</v>
      </c>
      <c r="K515">
        <v>43755</v>
      </c>
      <c r="L515">
        <v>0.05382901372112101</v>
      </c>
      <c r="M515">
        <v>-0.007790187076362143</v>
      </c>
      <c r="N515">
        <v>0.04</v>
      </c>
      <c r="O515">
        <v>0.08014238955555708</v>
      </c>
      <c r="P515" t="s">
        <v>382</v>
      </c>
      <c r="Q515" t="s">
        <v>494</v>
      </c>
      <c r="R515">
        <v>11</v>
      </c>
      <c r="S515">
        <v>0.8929961089494164</v>
      </c>
      <c r="T515">
        <v>82</v>
      </c>
      <c r="U515">
        <v>1.039878048780488</v>
      </c>
      <c r="V515">
        <v>4.8024</v>
      </c>
      <c r="W515">
        <v>5.14</v>
      </c>
      <c r="X515">
        <v>4.59</v>
      </c>
      <c r="Y515">
        <v>0.287872</v>
      </c>
      <c r="Z515">
        <v>0.8010291595197256</v>
      </c>
      <c r="AA515">
        <v>0.6165048543689321</v>
      </c>
      <c r="AB515">
        <v>0.3182552504038772</v>
      </c>
      <c r="AC515">
        <v>0.6445880452342487</v>
      </c>
      <c r="AD515">
        <v>0.6688206785137318</v>
      </c>
    </row>
    <row r="516" spans="1:30">
      <c r="A516" s="1" t="s">
        <v>523</v>
      </c>
      <c r="B516">
        <f>HYPERLINK("https://www.suredividend.com/sure-analysis-BMWYY","Bayerische Motoren Werke AG")</f>
        <v>0</v>
      </c>
      <c r="C516">
        <v>27.32</v>
      </c>
      <c r="D516">
        <v>49837.905326</v>
      </c>
      <c r="E516" t="s">
        <v>659</v>
      </c>
      <c r="F516" t="s">
        <v>629</v>
      </c>
      <c r="G516" t="s">
        <v>682</v>
      </c>
      <c r="H516" t="s">
        <v>705</v>
      </c>
      <c r="I516" t="s">
        <v>1210</v>
      </c>
      <c r="J516" t="s">
        <v>1317</v>
      </c>
      <c r="K516">
        <v>43708</v>
      </c>
      <c r="L516">
        <v>0.04760980966325001</v>
      </c>
      <c r="M516">
        <v>-0.03807687687237893</v>
      </c>
      <c r="N516">
        <v>0.08</v>
      </c>
      <c r="O516">
        <v>0.08003440680338736</v>
      </c>
      <c r="P516" t="s">
        <v>382</v>
      </c>
      <c r="Q516" t="s">
        <v>405</v>
      </c>
      <c r="R516">
        <v>0</v>
      </c>
      <c r="S516">
        <v>0.4335666666666667</v>
      </c>
      <c r="T516">
        <v>22.5</v>
      </c>
      <c r="U516">
        <v>1.214222222222222</v>
      </c>
      <c r="V516">
        <v>2.7893</v>
      </c>
      <c r="W516">
        <v>3</v>
      </c>
      <c r="X516">
        <v>1.3007</v>
      </c>
      <c r="Y516">
        <v>-0.0218</v>
      </c>
      <c r="Z516">
        <v>0.7478559176672384</v>
      </c>
      <c r="AA516">
        <v>0.1504854368932039</v>
      </c>
      <c r="AB516">
        <v>0.8182552504038771</v>
      </c>
      <c r="AC516">
        <v>0.3780290791599354</v>
      </c>
      <c r="AD516">
        <v>0.6655896607431341</v>
      </c>
    </row>
    <row r="517" spans="1:30">
      <c r="A517" s="1" t="s">
        <v>524</v>
      </c>
      <c r="B517">
        <f>HYPERLINK("https://www.suredividend.com/sure-analysis-NRZ","New Residential Investment Corp.")</f>
        <v>0</v>
      </c>
      <c r="C517">
        <v>16.49</v>
      </c>
      <c r="D517">
        <v>6851.94129</v>
      </c>
      <c r="E517" t="s">
        <v>663</v>
      </c>
      <c r="F517" t="s">
        <v>630</v>
      </c>
      <c r="G517" t="s">
        <v>673</v>
      </c>
      <c r="H517" t="s">
        <v>703</v>
      </c>
      <c r="I517" t="s">
        <v>1211</v>
      </c>
      <c r="J517" t="s">
        <v>1309</v>
      </c>
      <c r="K517">
        <v>43763</v>
      </c>
      <c r="L517">
        <v>0.121285627653123</v>
      </c>
      <c r="M517">
        <v>-0.04644765320603828</v>
      </c>
      <c r="N517">
        <v>0.018</v>
      </c>
      <c r="O517">
        <v>0.0798543367374922</v>
      </c>
      <c r="P517" t="s">
        <v>382</v>
      </c>
      <c r="Q517" t="s">
        <v>634</v>
      </c>
      <c r="R517">
        <v>6</v>
      </c>
      <c r="S517">
        <v>0.9259259259259258</v>
      </c>
      <c r="T517">
        <v>13</v>
      </c>
      <c r="U517">
        <v>1.268461538461538</v>
      </c>
      <c r="V517">
        <v>0.8395</v>
      </c>
      <c r="W517">
        <v>2.16</v>
      </c>
      <c r="X517">
        <v>2</v>
      </c>
      <c r="Y517">
        <v>0.144344</v>
      </c>
      <c r="Z517">
        <v>0.9777015437392796</v>
      </c>
      <c r="AA517">
        <v>0.3462783171521036</v>
      </c>
      <c r="AB517">
        <v>0.09127625201938611</v>
      </c>
      <c r="AC517">
        <v>0.3101777059773829</v>
      </c>
      <c r="AD517">
        <v>0.6607431340872375</v>
      </c>
    </row>
    <row r="518" spans="1:30">
      <c r="A518" s="1" t="s">
        <v>525</v>
      </c>
      <c r="B518">
        <f>HYPERLINK("https://www.suredividend.com/sure-analysis-IRM","Iron Mountain, Inc.")</f>
        <v>0</v>
      </c>
      <c r="C518">
        <v>31.96</v>
      </c>
      <c r="D518">
        <v>9177.09028</v>
      </c>
      <c r="E518" t="s">
        <v>663</v>
      </c>
      <c r="F518" t="s">
        <v>630</v>
      </c>
      <c r="G518" t="s">
        <v>673</v>
      </c>
      <c r="H518" t="s">
        <v>703</v>
      </c>
      <c r="I518" t="s">
        <v>1212</v>
      </c>
      <c r="J518" t="s">
        <v>1309</v>
      </c>
      <c r="K518">
        <v>43796</v>
      </c>
      <c r="L518">
        <v>0.07647058823529401</v>
      </c>
      <c r="M518">
        <v>-0.02610922486331857</v>
      </c>
      <c r="N518">
        <v>0.035</v>
      </c>
      <c r="O518">
        <v>0.07928024145438739</v>
      </c>
      <c r="P518" t="s">
        <v>382</v>
      </c>
      <c r="Q518" t="s">
        <v>494</v>
      </c>
      <c r="R518">
        <v>9</v>
      </c>
      <c r="S518">
        <v>0.9051851851851851</v>
      </c>
      <c r="T518">
        <v>28</v>
      </c>
      <c r="U518">
        <v>1.141428571428571</v>
      </c>
      <c r="V518">
        <v>1.1641</v>
      </c>
      <c r="W518">
        <v>2.7</v>
      </c>
      <c r="X518">
        <v>2.444</v>
      </c>
      <c r="Y518">
        <v>-0.005291</v>
      </c>
      <c r="Z518">
        <v>0.9056603773584905</v>
      </c>
      <c r="AA518">
        <v>0.1618122977346278</v>
      </c>
      <c r="AB518">
        <v>0.2520193861066236</v>
      </c>
      <c r="AC518">
        <v>0.5105008077544426</v>
      </c>
      <c r="AD518">
        <v>0.6526655896607432</v>
      </c>
    </row>
    <row r="519" spans="1:30">
      <c r="A519" s="1" t="s">
        <v>526</v>
      </c>
      <c r="B519">
        <f>HYPERLINK("https://www.suredividend.com/sure-analysis-ARCC","Ares Capital Corp.")</f>
        <v>0</v>
      </c>
      <c r="C519">
        <v>18.66</v>
      </c>
      <c r="D519">
        <v>7971.44004</v>
      </c>
      <c r="E519" t="s">
        <v>667</v>
      </c>
      <c r="F519" t="s">
        <v>632</v>
      </c>
      <c r="G519" t="s">
        <v>673</v>
      </c>
      <c r="H519" t="s">
        <v>704</v>
      </c>
      <c r="I519" t="s">
        <v>1213</v>
      </c>
      <c r="J519" t="s">
        <v>1309</v>
      </c>
      <c r="K519">
        <v>43796</v>
      </c>
      <c r="L519">
        <v>0.08520900321543401</v>
      </c>
      <c r="M519">
        <v>-0.007176214622575339</v>
      </c>
      <c r="N519">
        <v>0.01</v>
      </c>
      <c r="O519">
        <v>0.0784046525778026</v>
      </c>
      <c r="P519" t="s">
        <v>382</v>
      </c>
      <c r="Q519" t="s">
        <v>634</v>
      </c>
      <c r="R519">
        <v>1</v>
      </c>
      <c r="S519">
        <v>0.7832512315270936</v>
      </c>
      <c r="T519">
        <v>18</v>
      </c>
      <c r="U519">
        <v>1.036666666666667</v>
      </c>
      <c r="V519">
        <v>1.7408</v>
      </c>
      <c r="W519">
        <v>2.03</v>
      </c>
      <c r="X519">
        <v>1.59</v>
      </c>
      <c r="Y519">
        <v>0.257412</v>
      </c>
      <c r="Z519">
        <v>0.9228130360205832</v>
      </c>
      <c r="AA519">
        <v>0.56957928802589</v>
      </c>
      <c r="AB519">
        <v>0.05411954765751212</v>
      </c>
      <c r="AC519">
        <v>0.6494345718901454</v>
      </c>
      <c r="AD519">
        <v>0.6462035541195477</v>
      </c>
    </row>
    <row r="520" spans="1:30">
      <c r="A520" s="1" t="s">
        <v>527</v>
      </c>
      <c r="B520">
        <f>HYPERLINK("https://www.suredividend.com/sure-analysis-CIM","Chimera Investment Corp.")</f>
        <v>0</v>
      </c>
      <c r="C520">
        <v>21.1</v>
      </c>
      <c r="D520">
        <v>3949.0549</v>
      </c>
      <c r="E520" t="s">
        <v>659</v>
      </c>
      <c r="F520" t="s">
        <v>629</v>
      </c>
      <c r="G520" t="s">
        <v>673</v>
      </c>
      <c r="H520" t="s">
        <v>703</v>
      </c>
      <c r="I520" t="s">
        <v>1214</v>
      </c>
      <c r="J520" t="s">
        <v>1309</v>
      </c>
      <c r="K520">
        <v>43782</v>
      </c>
      <c r="L520">
        <v>0.09478672985781901</v>
      </c>
      <c r="M520">
        <v>-0.04229160747589078</v>
      </c>
      <c r="N520">
        <v>0.028</v>
      </c>
      <c r="O520">
        <v>0.07823859564113467</v>
      </c>
      <c r="P520" t="s">
        <v>382</v>
      </c>
      <c r="Q520" t="s">
        <v>494</v>
      </c>
      <c r="R520">
        <v>1</v>
      </c>
      <c r="S520">
        <v>0.8658008658008658</v>
      </c>
      <c r="T520">
        <v>17</v>
      </c>
      <c r="U520">
        <v>1.241176470588235</v>
      </c>
      <c r="V520">
        <v>0.5968</v>
      </c>
      <c r="W520">
        <v>2.31</v>
      </c>
      <c r="X520">
        <v>2</v>
      </c>
      <c r="Y520">
        <v>0.207785</v>
      </c>
      <c r="Z520">
        <v>0.9451114922813036</v>
      </c>
      <c r="AA520">
        <v>0.4741100323624595</v>
      </c>
      <c r="AB520">
        <v>0.1615508885298869</v>
      </c>
      <c r="AC520">
        <v>0.3570274636510501</v>
      </c>
      <c r="AD520">
        <v>0.6445880452342487</v>
      </c>
    </row>
    <row r="521" spans="1:30">
      <c r="A521" s="1" t="s">
        <v>528</v>
      </c>
      <c r="B521">
        <f>HYPERLINK("https://www.suredividend.com/sure-analysis-GLPI","Gaming &amp; Leisure Properties, Inc.")</f>
        <v>0</v>
      </c>
      <c r="C521">
        <v>43.03</v>
      </c>
      <c r="D521">
        <v>9238.23979</v>
      </c>
      <c r="E521" t="s">
        <v>667</v>
      </c>
      <c r="F521" t="s">
        <v>630</v>
      </c>
      <c r="G521" t="s">
        <v>673</v>
      </c>
      <c r="H521" t="s">
        <v>704</v>
      </c>
      <c r="I521" t="s">
        <v>1215</v>
      </c>
      <c r="J521" t="s">
        <v>1309</v>
      </c>
      <c r="K521">
        <v>43754</v>
      </c>
      <c r="L521">
        <v>0.06321171275854001</v>
      </c>
      <c r="M521">
        <v>0.0134382625189895</v>
      </c>
      <c r="N521">
        <v>0.012</v>
      </c>
      <c r="O521">
        <v>0.07791205840744841</v>
      </c>
      <c r="P521" t="s">
        <v>382</v>
      </c>
      <c r="Q521" t="s">
        <v>494</v>
      </c>
      <c r="R521">
        <v>5</v>
      </c>
      <c r="S521">
        <v>0.8774193548387096</v>
      </c>
      <c r="T521">
        <v>46</v>
      </c>
      <c r="U521">
        <v>0.9354347826086957</v>
      </c>
      <c r="V521">
        <v>1.5006</v>
      </c>
      <c r="W521">
        <v>3.1</v>
      </c>
      <c r="X521">
        <v>2.72</v>
      </c>
      <c r="Y521">
        <v>0.31189</v>
      </c>
      <c r="Z521">
        <v>0.8542024013722127</v>
      </c>
      <c r="AA521">
        <v>0.6440129449838188</v>
      </c>
      <c r="AB521">
        <v>0.06381260096930533</v>
      </c>
      <c r="AC521">
        <v>0.8093699515347335</v>
      </c>
      <c r="AD521">
        <v>0.641357027463651</v>
      </c>
    </row>
    <row r="522" spans="1:30">
      <c r="A522" s="1" t="s">
        <v>529</v>
      </c>
      <c r="B522">
        <f>HYPERLINK("https://www.suredividend.com/sure-analysis-ARI","Apollo Commercial Real Estate Finance, Inc.")</f>
        <v>0</v>
      </c>
      <c r="C522">
        <v>18.77</v>
      </c>
      <c r="D522">
        <v>2881.88949</v>
      </c>
      <c r="E522" t="s">
        <v>667</v>
      </c>
      <c r="F522" t="s">
        <v>630</v>
      </c>
      <c r="G522" t="s">
        <v>673</v>
      </c>
      <c r="H522" t="s">
        <v>703</v>
      </c>
      <c r="I522" t="s">
        <v>1216</v>
      </c>
      <c r="J522" t="s">
        <v>1309</v>
      </c>
      <c r="K522">
        <v>43790</v>
      </c>
      <c r="L522">
        <v>0.09802876931273301</v>
      </c>
      <c r="M522">
        <v>-0.01961438626469547</v>
      </c>
      <c r="N522">
        <v>0.01</v>
      </c>
      <c r="O522">
        <v>0.07595898937630507</v>
      </c>
      <c r="P522" t="s">
        <v>382</v>
      </c>
      <c r="Q522" t="s">
        <v>494</v>
      </c>
      <c r="R522">
        <v>0</v>
      </c>
      <c r="S522">
        <v>1.187096774193548</v>
      </c>
      <c r="T522">
        <v>17</v>
      </c>
      <c r="U522">
        <v>1.104117647058823</v>
      </c>
      <c r="V522">
        <v>1.3265</v>
      </c>
      <c r="W522">
        <v>1.55</v>
      </c>
      <c r="X522">
        <v>1.84</v>
      </c>
      <c r="Y522">
        <v>0.112626</v>
      </c>
      <c r="Z522">
        <v>0.9519725557461406</v>
      </c>
      <c r="AA522">
        <v>0.2977346278317152</v>
      </c>
      <c r="AB522">
        <v>0.05411954765751212</v>
      </c>
      <c r="AC522">
        <v>0.5670436187399031</v>
      </c>
      <c r="AD522">
        <v>0.6284329563812601</v>
      </c>
    </row>
    <row r="523" spans="1:30">
      <c r="A523" s="1" t="s">
        <v>530</v>
      </c>
      <c r="B523">
        <f>HYPERLINK("https://www.suredividend.com/sure-analysis-LTC","LTC Properties, Inc.")</f>
        <v>0</v>
      </c>
      <c r="C523">
        <v>44.55</v>
      </c>
      <c r="D523">
        <v>1770.9516</v>
      </c>
      <c r="E523" t="s">
        <v>659</v>
      </c>
      <c r="F523" t="s">
        <v>630</v>
      </c>
      <c r="G523" t="s">
        <v>673</v>
      </c>
      <c r="H523" t="s">
        <v>703</v>
      </c>
      <c r="I523" t="s">
        <v>1217</v>
      </c>
      <c r="J523" t="s">
        <v>1309</v>
      </c>
      <c r="K523">
        <v>43783</v>
      </c>
      <c r="L523">
        <v>0.051178451178451</v>
      </c>
      <c r="M523">
        <v>0.002012088709965276</v>
      </c>
      <c r="N523">
        <v>0.03</v>
      </c>
      <c r="O523">
        <v>0.07587910977106538</v>
      </c>
      <c r="P523" t="s">
        <v>382</v>
      </c>
      <c r="Q523" t="s">
        <v>494</v>
      </c>
      <c r="R523">
        <v>0</v>
      </c>
      <c r="S523">
        <v>0.7450980392156863</v>
      </c>
      <c r="T523">
        <v>45</v>
      </c>
      <c r="U523">
        <v>0.99</v>
      </c>
      <c r="V523">
        <v>2.4865</v>
      </c>
      <c r="W523">
        <v>3.06</v>
      </c>
      <c r="X523">
        <v>2.28</v>
      </c>
      <c r="Y523">
        <v>0.037011</v>
      </c>
      <c r="Z523">
        <v>0.7804459691252145</v>
      </c>
      <c r="AA523">
        <v>0.197411003236246</v>
      </c>
      <c r="AB523">
        <v>0.2003231017770598</v>
      </c>
      <c r="AC523">
        <v>0.7221324717285945</v>
      </c>
      <c r="AD523">
        <v>0.6252019386106623</v>
      </c>
    </row>
    <row r="524" spans="1:30">
      <c r="A524" s="1" t="s">
        <v>531</v>
      </c>
      <c r="B524">
        <f>HYPERLINK("https://www.suredividend.com/sure-analysis-VET","Vermilion Energy, Inc.")</f>
        <v>0</v>
      </c>
      <c r="C524">
        <v>15.66</v>
      </c>
      <c r="D524">
        <v>2435.2083</v>
      </c>
      <c r="E524" t="s">
        <v>659</v>
      </c>
      <c r="F524" t="s">
        <v>629</v>
      </c>
      <c r="G524" t="s">
        <v>675</v>
      </c>
      <c r="H524" t="s">
        <v>703</v>
      </c>
      <c r="I524" t="s">
        <v>1218</v>
      </c>
      <c r="J524" t="s">
        <v>1312</v>
      </c>
      <c r="K524">
        <v>43703</v>
      </c>
      <c r="L524">
        <v>0.132805003273885</v>
      </c>
      <c r="M524">
        <v>-0.1257016760151201</v>
      </c>
      <c r="N524">
        <v>0.08400000000000001</v>
      </c>
      <c r="O524">
        <v>0.0758780561455521</v>
      </c>
      <c r="P524" t="s">
        <v>382</v>
      </c>
      <c r="Q524" t="s">
        <v>494</v>
      </c>
      <c r="R524">
        <v>0</v>
      </c>
      <c r="S524">
        <v>2.07972635126904</v>
      </c>
      <c r="T524">
        <v>8</v>
      </c>
      <c r="U524">
        <v>1.9575</v>
      </c>
      <c r="V524">
        <v>1.7591</v>
      </c>
      <c r="W524">
        <v>1</v>
      </c>
      <c r="X524">
        <v>2.07972635126904</v>
      </c>
      <c r="Y524">
        <v>-0.254286</v>
      </c>
      <c r="Z524">
        <v>0.9862778730703259</v>
      </c>
      <c r="AA524">
        <v>0.04368932038834952</v>
      </c>
      <c r="AB524">
        <v>0.8602584814216477</v>
      </c>
      <c r="AC524">
        <v>0.03877221324717286</v>
      </c>
      <c r="AD524">
        <v>0.6235864297253635</v>
      </c>
    </row>
    <row r="525" spans="1:30">
      <c r="A525" s="1" t="s">
        <v>532</v>
      </c>
      <c r="B525">
        <f>HYPERLINK("https://www.suredividend.com/sure-analysis-OHI","Omega Healthcare Investors, Inc.")</f>
        <v>0</v>
      </c>
      <c r="C525">
        <v>42.53</v>
      </c>
      <c r="D525">
        <v>9292.89006</v>
      </c>
      <c r="E525" t="s">
        <v>661</v>
      </c>
      <c r="F525" t="s">
        <v>630</v>
      </c>
      <c r="G525" t="s">
        <v>673</v>
      </c>
      <c r="H525" t="s">
        <v>703</v>
      </c>
      <c r="I525" t="s">
        <v>1219</v>
      </c>
      <c r="J525" t="s">
        <v>1309</v>
      </c>
      <c r="K525">
        <v>43784</v>
      </c>
      <c r="L525">
        <v>0.06207383023747901</v>
      </c>
      <c r="M525">
        <v>-0.02747389369887343</v>
      </c>
      <c r="N525">
        <v>0.045</v>
      </c>
      <c r="O525">
        <v>0.07560693724244349</v>
      </c>
      <c r="P525" t="s">
        <v>382</v>
      </c>
      <c r="Q525" t="s">
        <v>494</v>
      </c>
      <c r="R525">
        <v>16</v>
      </c>
      <c r="S525">
        <v>0.8655737704918034</v>
      </c>
      <c r="T525">
        <v>37</v>
      </c>
      <c r="U525">
        <v>1.14945945945946</v>
      </c>
      <c r="V525">
        <v>1.6317</v>
      </c>
      <c r="W525">
        <v>3.05</v>
      </c>
      <c r="X525">
        <v>2.64</v>
      </c>
      <c r="Y525">
        <v>0.203112</v>
      </c>
      <c r="Z525">
        <v>0.8473413379073755</v>
      </c>
      <c r="AA525">
        <v>0.4579288025889968</v>
      </c>
      <c r="AB525">
        <v>0.3820678513731826</v>
      </c>
      <c r="AC525">
        <v>0.4975767366720517</v>
      </c>
      <c r="AD525">
        <v>0.6203554119547657</v>
      </c>
    </row>
    <row r="526" spans="1:30">
      <c r="A526" s="1" t="s">
        <v>533</v>
      </c>
      <c r="B526">
        <f>HYPERLINK("https://www.suredividend.com/sure-analysis-MCY","Mercury General Corp.")</f>
        <v>0</v>
      </c>
      <c r="C526">
        <v>48.62</v>
      </c>
      <c r="D526">
        <v>2691.3601</v>
      </c>
      <c r="E526" t="s">
        <v>663</v>
      </c>
      <c r="F526" t="s">
        <v>629</v>
      </c>
      <c r="G526" t="s">
        <v>673</v>
      </c>
      <c r="H526" t="s">
        <v>703</v>
      </c>
      <c r="I526" t="s">
        <v>1220</v>
      </c>
      <c r="J526" t="s">
        <v>1309</v>
      </c>
      <c r="K526">
        <v>43766</v>
      </c>
      <c r="L526">
        <v>0.051624845742492</v>
      </c>
      <c r="M526">
        <v>0.01740105354500443</v>
      </c>
      <c r="N526">
        <v>0.015</v>
      </c>
      <c r="O526">
        <v>0.07498570704752416</v>
      </c>
      <c r="P526" t="s">
        <v>382</v>
      </c>
      <c r="Q526" t="s">
        <v>405</v>
      </c>
      <c r="R526">
        <v>32</v>
      </c>
      <c r="S526">
        <v>0.8096774193548386</v>
      </c>
      <c r="T526">
        <v>53</v>
      </c>
      <c r="U526">
        <v>0.9173584905660377</v>
      </c>
      <c r="V526">
        <v>3.7311</v>
      </c>
      <c r="W526">
        <v>3.1</v>
      </c>
      <c r="X526">
        <v>2.51</v>
      </c>
      <c r="Y526">
        <v>-0.044981</v>
      </c>
      <c r="Z526">
        <v>0.7821612349914236</v>
      </c>
      <c r="AA526">
        <v>0.116504854368932</v>
      </c>
      <c r="AB526">
        <v>0.07592891760904685</v>
      </c>
      <c r="AC526">
        <v>0.8400646203554119</v>
      </c>
      <c r="AD526">
        <v>0.6122778675282714</v>
      </c>
    </row>
    <row r="527" spans="1:30">
      <c r="A527" s="1" t="s">
        <v>534</v>
      </c>
      <c r="B527">
        <f>HYPERLINK("https://www.suredividend.com/sure-analysis-CLDT","Chatham Lodging Trust")</f>
        <v>0</v>
      </c>
      <c r="C527">
        <v>18.45</v>
      </c>
      <c r="D527">
        <v>865.76625</v>
      </c>
      <c r="E527" t="s">
        <v>665</v>
      </c>
      <c r="F527" t="s">
        <v>630</v>
      </c>
      <c r="G527" t="s">
        <v>673</v>
      </c>
      <c r="H527" t="s">
        <v>703</v>
      </c>
      <c r="I527" t="s">
        <v>1221</v>
      </c>
      <c r="J527" t="s">
        <v>1309</v>
      </c>
      <c r="K527">
        <v>43782</v>
      </c>
      <c r="L527">
        <v>0.071544715447154</v>
      </c>
      <c r="M527">
        <v>-0.00492634806525849</v>
      </c>
      <c r="N527">
        <v>0.02</v>
      </c>
      <c r="O527">
        <v>0.07488709523324633</v>
      </c>
      <c r="P527" t="s">
        <v>382</v>
      </c>
      <c r="Q527" t="s">
        <v>634</v>
      </c>
      <c r="R527">
        <v>0</v>
      </c>
      <c r="S527">
        <v>0.7333333333333334</v>
      </c>
      <c r="T527">
        <v>18</v>
      </c>
      <c r="U527">
        <v>1.025</v>
      </c>
      <c r="V527">
        <v>0.4378</v>
      </c>
      <c r="W527">
        <v>1.8</v>
      </c>
      <c r="X527">
        <v>1.32</v>
      </c>
      <c r="Y527">
        <v>0.043552</v>
      </c>
      <c r="Z527">
        <v>0.8902229845626072</v>
      </c>
      <c r="AA527">
        <v>0.2103559870550162</v>
      </c>
      <c r="AB527">
        <v>0.1219709208400646</v>
      </c>
      <c r="AC527">
        <v>0.6728594507269789</v>
      </c>
      <c r="AD527">
        <v>0.6090468497576736</v>
      </c>
    </row>
    <row r="528" spans="1:30">
      <c r="A528" s="1" t="s">
        <v>535</v>
      </c>
      <c r="B528">
        <f>HYPERLINK("https://www.suredividend.com/sure-analysis-GNL","Global Net Lease, Inc.")</f>
        <v>0</v>
      </c>
      <c r="C528">
        <v>20.18</v>
      </c>
      <c r="D528">
        <v>1805.268494</v>
      </c>
      <c r="E528" t="s">
        <v>667</v>
      </c>
      <c r="F528" t="s">
        <v>630</v>
      </c>
      <c r="G528" t="s">
        <v>673</v>
      </c>
      <c r="H528" t="s">
        <v>703</v>
      </c>
      <c r="I528" t="s">
        <v>1222</v>
      </c>
      <c r="J528" t="s">
        <v>1309</v>
      </c>
      <c r="K528">
        <v>43790</v>
      </c>
      <c r="L528">
        <v>0.08795837462834401</v>
      </c>
      <c r="M528">
        <v>-0.01936817043378025</v>
      </c>
      <c r="N528">
        <v>0</v>
      </c>
      <c r="O528">
        <v>0.07484411076110842</v>
      </c>
      <c r="P528" t="s">
        <v>382</v>
      </c>
      <c r="Q528" t="s">
        <v>494</v>
      </c>
      <c r="R528">
        <v>0</v>
      </c>
      <c r="S528">
        <v>0.8255813953488372</v>
      </c>
      <c r="T528">
        <v>18.3</v>
      </c>
      <c r="U528">
        <v>1.102732240437158</v>
      </c>
      <c r="V528">
        <v>0.2021</v>
      </c>
      <c r="W528">
        <v>2.15</v>
      </c>
      <c r="X528">
        <v>1.775</v>
      </c>
      <c r="Y528">
        <v>0.147243</v>
      </c>
      <c r="Z528">
        <v>0.9279588336192109</v>
      </c>
      <c r="AA528">
        <v>0.3511326860841424</v>
      </c>
      <c r="AB528">
        <v>0.02988691437802908</v>
      </c>
      <c r="AC528">
        <v>0.5702746365105008</v>
      </c>
      <c r="AD528">
        <v>0.6074313408723748</v>
      </c>
    </row>
    <row r="529" spans="1:30">
      <c r="A529" s="1" t="s">
        <v>536</v>
      </c>
      <c r="B529">
        <f>HYPERLINK("https://www.suredividend.com/sure-analysis-TRGP","Targa Resources Corp.")</f>
        <v>0</v>
      </c>
      <c r="C529">
        <v>39.72</v>
      </c>
      <c r="D529">
        <v>9246.25992</v>
      </c>
      <c r="E529" t="s">
        <v>659</v>
      </c>
      <c r="F529" t="s">
        <v>629</v>
      </c>
      <c r="G529" t="s">
        <v>673</v>
      </c>
      <c r="H529" t="s">
        <v>703</v>
      </c>
      <c r="I529" t="s">
        <v>1223</v>
      </c>
      <c r="J529" t="s">
        <v>1312</v>
      </c>
      <c r="K529">
        <v>43790</v>
      </c>
      <c r="L529">
        <v>0.09164149043303101</v>
      </c>
      <c r="M529">
        <v>-0.03639079497496656</v>
      </c>
      <c r="N529">
        <v>0.03</v>
      </c>
      <c r="O529">
        <v>0.07466080707936951</v>
      </c>
      <c r="P529" t="s">
        <v>382</v>
      </c>
      <c r="Q529" t="s">
        <v>494</v>
      </c>
      <c r="R529">
        <v>0</v>
      </c>
      <c r="S529">
        <v>0.9837837837837837</v>
      </c>
      <c r="T529">
        <v>33</v>
      </c>
      <c r="U529">
        <v>1.203636363636364</v>
      </c>
      <c r="V529">
        <v>-1.4063</v>
      </c>
      <c r="W529">
        <v>3.7</v>
      </c>
      <c r="X529">
        <v>3.64</v>
      </c>
      <c r="Y529">
        <v>0.096632</v>
      </c>
      <c r="Z529">
        <v>0.934819897084048</v>
      </c>
      <c r="AA529">
        <v>0.2815533980582524</v>
      </c>
      <c r="AB529">
        <v>0.2003231017770598</v>
      </c>
      <c r="AC529">
        <v>0.3941841680129241</v>
      </c>
      <c r="AD529">
        <v>0.6058158319870759</v>
      </c>
    </row>
    <row r="530" spans="1:30">
      <c r="A530" s="1" t="s">
        <v>537</v>
      </c>
      <c r="B530">
        <f>HYPERLINK("https://www.suredividend.com/sure-analysis-VTR","Ventas, Inc.")</f>
        <v>0</v>
      </c>
      <c r="C530">
        <v>57.45</v>
      </c>
      <c r="D530">
        <v>21413.6832</v>
      </c>
      <c r="E530" t="s">
        <v>659</v>
      </c>
      <c r="F530" t="s">
        <v>630</v>
      </c>
      <c r="G530" t="s">
        <v>673</v>
      </c>
      <c r="H530" t="s">
        <v>703</v>
      </c>
      <c r="I530" t="s">
        <v>1224</v>
      </c>
      <c r="J530" t="s">
        <v>1309</v>
      </c>
      <c r="K530">
        <v>43787</v>
      </c>
      <c r="L530">
        <v>0.055178416013925</v>
      </c>
      <c r="M530">
        <v>-0.01230979840756019</v>
      </c>
      <c r="N530">
        <v>0.04</v>
      </c>
      <c r="O530">
        <v>0.07436294992492143</v>
      </c>
      <c r="P530" t="s">
        <v>382</v>
      </c>
      <c r="Q530" t="s">
        <v>494</v>
      </c>
      <c r="R530">
        <v>9</v>
      </c>
      <c r="S530">
        <v>0.8255208333333334</v>
      </c>
      <c r="T530">
        <v>54</v>
      </c>
      <c r="U530">
        <v>1.063888888888889</v>
      </c>
      <c r="V530">
        <v>1.3382</v>
      </c>
      <c r="W530">
        <v>3.84</v>
      </c>
      <c r="X530">
        <v>3.17</v>
      </c>
      <c r="Y530">
        <v>-0.046789</v>
      </c>
      <c r="Z530">
        <v>0.8130360205831905</v>
      </c>
      <c r="AA530">
        <v>0.1132686084142395</v>
      </c>
      <c r="AB530">
        <v>0.3182552504038772</v>
      </c>
      <c r="AC530">
        <v>0.6155088852988692</v>
      </c>
      <c r="AD530">
        <v>0.6009693053311793</v>
      </c>
    </row>
    <row r="531" spans="1:30">
      <c r="A531" s="1" t="s">
        <v>538</v>
      </c>
      <c r="B531">
        <f>HYPERLINK("https://www.suredividend.com/sure-analysis-SJR","Shaw Communications, Inc.")</f>
        <v>0</v>
      </c>
      <c r="C531">
        <v>20.14</v>
      </c>
      <c r="D531">
        <v>10428.14962</v>
      </c>
      <c r="E531" t="s">
        <v>665</v>
      </c>
      <c r="F531" t="s">
        <v>629</v>
      </c>
      <c r="G531" t="s">
        <v>675</v>
      </c>
      <c r="H531" t="s">
        <v>703</v>
      </c>
      <c r="I531" t="s">
        <v>1225</v>
      </c>
      <c r="J531" t="s">
        <v>1324</v>
      </c>
      <c r="K531">
        <v>43767</v>
      </c>
      <c r="L531">
        <v>0.04439176745181701</v>
      </c>
      <c r="M531">
        <v>-0.03333077840207699</v>
      </c>
      <c r="N531">
        <v>0.07000000000000001</v>
      </c>
      <c r="O531">
        <v>0.07387652853390358</v>
      </c>
      <c r="P531" t="s">
        <v>382</v>
      </c>
      <c r="Q531" t="s">
        <v>405</v>
      </c>
      <c r="R531">
        <v>1</v>
      </c>
      <c r="S531">
        <v>0.835560931289357</v>
      </c>
      <c r="T531">
        <v>17</v>
      </c>
      <c r="U531">
        <v>1.184705882352941</v>
      </c>
      <c r="V531">
        <v>1.073</v>
      </c>
      <c r="W531">
        <v>1.07</v>
      </c>
      <c r="X531">
        <v>0.894050196479612</v>
      </c>
      <c r="Y531">
        <v>0.118889</v>
      </c>
      <c r="Z531">
        <v>0.7135506003430531</v>
      </c>
      <c r="AA531">
        <v>0.3074433656957929</v>
      </c>
      <c r="AB531">
        <v>0.7245557350565428</v>
      </c>
      <c r="AC531">
        <v>0.4216478190630049</v>
      </c>
      <c r="AD531">
        <v>0.5912762520193862</v>
      </c>
    </row>
    <row r="532" spans="1:30">
      <c r="A532" s="1" t="s">
        <v>539</v>
      </c>
      <c r="B532">
        <f>HYPERLINK("https://www.suredividend.com/sure-analysis-APLE","Apple Hospitality REIT, Inc.")</f>
        <v>0</v>
      </c>
      <c r="C532">
        <v>16.18</v>
      </c>
      <c r="D532">
        <v>3621.99008</v>
      </c>
      <c r="E532" t="s">
        <v>667</v>
      </c>
      <c r="F532" t="s">
        <v>630</v>
      </c>
      <c r="G532" t="s">
        <v>673</v>
      </c>
      <c r="H532" t="s">
        <v>703</v>
      </c>
      <c r="I532" t="s">
        <v>1226</v>
      </c>
      <c r="J532" t="s">
        <v>1309</v>
      </c>
      <c r="K532">
        <v>43800</v>
      </c>
      <c r="L532">
        <v>0.07416563658838</v>
      </c>
      <c r="M532">
        <v>-0.002234936679756716</v>
      </c>
      <c r="N532">
        <v>0.01</v>
      </c>
      <c r="O532">
        <v>0.07283007842918487</v>
      </c>
      <c r="P532" t="s">
        <v>382</v>
      </c>
      <c r="Q532" t="s">
        <v>634</v>
      </c>
      <c r="R532">
        <v>0</v>
      </c>
      <c r="S532">
        <v>0.7058823529411765</v>
      </c>
      <c r="T532">
        <v>16</v>
      </c>
      <c r="U532">
        <v>1.01125</v>
      </c>
      <c r="V532">
        <v>0.8043</v>
      </c>
      <c r="W532">
        <v>1.7</v>
      </c>
      <c r="X532">
        <v>1.2</v>
      </c>
      <c r="Y532">
        <v>0.151601</v>
      </c>
      <c r="Z532">
        <v>0.8970840480274442</v>
      </c>
      <c r="AA532">
        <v>0.3705501618122977</v>
      </c>
      <c r="AB532">
        <v>0.05411954765751212</v>
      </c>
      <c r="AC532">
        <v>0.6898222940226171</v>
      </c>
      <c r="AD532">
        <v>0.5831987075928917</v>
      </c>
    </row>
    <row r="533" spans="1:30">
      <c r="A533" s="1" t="s">
        <v>540</v>
      </c>
      <c r="B533">
        <f>HYPERLINK("https://www.suredividend.com/sure-analysis-PSEC","Prospect Capital Corp.")</f>
        <v>0</v>
      </c>
      <c r="C533">
        <v>6.65</v>
      </c>
      <c r="D533">
        <v>2440.55</v>
      </c>
      <c r="E533" t="s">
        <v>661</v>
      </c>
      <c r="F533" t="s">
        <v>632</v>
      </c>
      <c r="G533" t="s">
        <v>673</v>
      </c>
      <c r="H533" t="s">
        <v>704</v>
      </c>
      <c r="I533" t="s">
        <v>1227</v>
      </c>
      <c r="J533" t="s">
        <v>1309</v>
      </c>
      <c r="K533">
        <v>43717</v>
      </c>
      <c r="L533">
        <v>0.108270676691729</v>
      </c>
      <c r="M533">
        <v>-0.02900263934574143</v>
      </c>
      <c r="N533">
        <v>0</v>
      </c>
      <c r="O533">
        <v>0.07029881893145684</v>
      </c>
      <c r="P533" t="s">
        <v>382</v>
      </c>
      <c r="Q533" t="s">
        <v>494</v>
      </c>
      <c r="R533">
        <v>0</v>
      </c>
      <c r="S533">
        <v>0.8780487804878049</v>
      </c>
      <c r="T533">
        <v>5.74</v>
      </c>
      <c r="U533">
        <v>1.158536585365854</v>
      </c>
      <c r="V533">
        <v>0.2143</v>
      </c>
      <c r="W533">
        <v>0.82</v>
      </c>
      <c r="X533">
        <v>0.72</v>
      </c>
      <c r="Y533">
        <v>0.144578</v>
      </c>
      <c r="Z533">
        <v>0.9622641509433962</v>
      </c>
      <c r="AA533">
        <v>0.3478964401294498</v>
      </c>
      <c r="AB533">
        <v>0.02988691437802908</v>
      </c>
      <c r="AC533">
        <v>0.470113085621971</v>
      </c>
      <c r="AD533">
        <v>0.5654281098546042</v>
      </c>
    </row>
    <row r="534" spans="1:30">
      <c r="A534" s="1" t="s">
        <v>541</v>
      </c>
      <c r="B534">
        <f>HYPERLINK("https://www.suredividend.com/sure-analysis-SCM","Stellus Capital Investment Corp.")</f>
        <v>0</v>
      </c>
      <c r="C534">
        <v>14.32</v>
      </c>
      <c r="D534">
        <v>270.73392</v>
      </c>
      <c r="E534" t="s">
        <v>661</v>
      </c>
      <c r="F534" t="s">
        <v>629</v>
      </c>
      <c r="G534" t="s">
        <v>673</v>
      </c>
      <c r="H534" t="s">
        <v>703</v>
      </c>
      <c r="I534" t="s">
        <v>1228</v>
      </c>
      <c r="J534" t="s">
        <v>1309</v>
      </c>
      <c r="K534">
        <v>43785</v>
      </c>
      <c r="L534">
        <v>0.09494413407821201</v>
      </c>
      <c r="M534">
        <v>-0.0347325852957544</v>
      </c>
      <c r="N534">
        <v>0.02</v>
      </c>
      <c r="O534">
        <v>0.06962072204618974</v>
      </c>
      <c r="P534" t="s">
        <v>382</v>
      </c>
      <c r="Q534" t="s">
        <v>494</v>
      </c>
      <c r="R534">
        <v>0</v>
      </c>
      <c r="S534">
        <v>1.08768</v>
      </c>
      <c r="T534">
        <v>12</v>
      </c>
      <c r="U534">
        <v>1.193333333333333</v>
      </c>
      <c r="V534">
        <v>1.5338</v>
      </c>
      <c r="W534">
        <v>1.25</v>
      </c>
      <c r="X534">
        <v>1.3596</v>
      </c>
      <c r="Y534">
        <v>0.171849</v>
      </c>
      <c r="Z534">
        <v>0.9468267581475129</v>
      </c>
      <c r="AA534">
        <v>0.3996763754045308</v>
      </c>
      <c r="AB534">
        <v>0.1219709208400646</v>
      </c>
      <c r="AC534">
        <v>0.4054927302100162</v>
      </c>
      <c r="AD534">
        <v>0.5589660743134087</v>
      </c>
    </row>
    <row r="535" spans="1:30">
      <c r="A535" s="1" t="s">
        <v>542</v>
      </c>
      <c r="B535">
        <f>HYPERLINK("https://www.suredividend.com/sure-analysis-FUN","Cedar Fair LP")</f>
        <v>0</v>
      </c>
      <c r="C535">
        <v>56.15</v>
      </c>
      <c r="D535">
        <v>3181.6836</v>
      </c>
      <c r="E535" t="s">
        <v>660</v>
      </c>
      <c r="F535" t="s">
        <v>629</v>
      </c>
      <c r="G535" t="s">
        <v>673</v>
      </c>
      <c r="H535" t="s">
        <v>703</v>
      </c>
      <c r="I535" t="s">
        <v>1229</v>
      </c>
      <c r="J535" t="s">
        <v>1324</v>
      </c>
      <c r="K535">
        <v>43775</v>
      </c>
      <c r="L535">
        <v>0.065894924309884</v>
      </c>
      <c r="M535">
        <v>-0.02293366747134151</v>
      </c>
      <c r="N535">
        <v>0.027</v>
      </c>
      <c r="O535">
        <v>0.06570713031587028</v>
      </c>
      <c r="P535" t="s">
        <v>382</v>
      </c>
      <c r="Q535" t="s">
        <v>405</v>
      </c>
      <c r="R535">
        <v>8</v>
      </c>
      <c r="S535">
        <v>1.101190476190476</v>
      </c>
      <c r="T535">
        <v>50</v>
      </c>
      <c r="U535">
        <v>1.123</v>
      </c>
      <c r="V535">
        <v>2.5957</v>
      </c>
      <c r="W535">
        <v>3.36</v>
      </c>
      <c r="X535">
        <v>3.7</v>
      </c>
      <c r="Y535">
        <v>0.181608</v>
      </c>
      <c r="Z535">
        <v>0.8765008576329331</v>
      </c>
      <c r="AA535">
        <v>0.4223300970873787</v>
      </c>
      <c r="AB535">
        <v>0.1567043618739903</v>
      </c>
      <c r="AC535">
        <v>0.5331179321486268</v>
      </c>
      <c r="AD535">
        <v>0.5282714054927302</v>
      </c>
    </row>
    <row r="536" spans="1:30">
      <c r="A536" s="1" t="s">
        <v>543</v>
      </c>
      <c r="B536">
        <f>HYPERLINK("https://www.suredividend.com/sure-analysis-PBA","Pembina Pipeline Corp.")</f>
        <v>0</v>
      </c>
      <c r="C536">
        <v>37.07</v>
      </c>
      <c r="D536">
        <v>19370.1871</v>
      </c>
      <c r="E536" t="s">
        <v>659</v>
      </c>
      <c r="F536" t="s">
        <v>629</v>
      </c>
      <c r="G536" t="s">
        <v>675</v>
      </c>
      <c r="H536" t="s">
        <v>703</v>
      </c>
      <c r="I536" t="s">
        <v>1230</v>
      </c>
      <c r="J536" t="s">
        <v>1325</v>
      </c>
      <c r="K536">
        <v>43780</v>
      </c>
      <c r="L536">
        <v>0.047361752544054</v>
      </c>
      <c r="M536">
        <v>-0.02898602932799588</v>
      </c>
      <c r="N536">
        <v>0.05</v>
      </c>
      <c r="O536">
        <v>0.06363506181649958</v>
      </c>
      <c r="P536" t="s">
        <v>382</v>
      </c>
      <c r="Q536" t="s">
        <v>405</v>
      </c>
      <c r="R536">
        <v>7</v>
      </c>
      <c r="S536">
        <v>0.9863484083191629</v>
      </c>
      <c r="T536">
        <v>32</v>
      </c>
      <c r="U536">
        <v>1.1584375</v>
      </c>
      <c r="V536">
        <v>2.3384</v>
      </c>
      <c r="W536">
        <v>1.78</v>
      </c>
      <c r="X536">
        <v>1.75570016680811</v>
      </c>
      <c r="Y536">
        <v>0.251519</v>
      </c>
      <c r="Z536">
        <v>0.7461406518010292</v>
      </c>
      <c r="AA536">
        <v>0.5550161812297735</v>
      </c>
      <c r="AB536">
        <v>0.4588045234248789</v>
      </c>
      <c r="AC536">
        <v>0.4717285945072698</v>
      </c>
      <c r="AD536">
        <v>0.5088852988691438</v>
      </c>
    </row>
    <row r="537" spans="1:30">
      <c r="A537" s="1" t="s">
        <v>544</v>
      </c>
      <c r="B537">
        <f>HYPERLINK("https://www.suredividend.com/sure-analysis-AQN","Algonquin Power &amp; Utilities Corp.")</f>
        <v>0</v>
      </c>
      <c r="C537">
        <v>14.13</v>
      </c>
      <c r="D537">
        <v>7341.79257</v>
      </c>
      <c r="E537" t="s">
        <v>662</v>
      </c>
      <c r="F537" t="s">
        <v>629</v>
      </c>
      <c r="G537" t="s">
        <v>675</v>
      </c>
      <c r="H537" t="s">
        <v>703</v>
      </c>
      <c r="I537" t="s">
        <v>1231</v>
      </c>
      <c r="J537" t="s">
        <v>1321</v>
      </c>
      <c r="K537">
        <v>43784</v>
      </c>
      <c r="L537">
        <v>0.038312805501532</v>
      </c>
      <c r="M537">
        <v>-0.04884760748533934</v>
      </c>
      <c r="N537">
        <v>0.075</v>
      </c>
      <c r="O537">
        <v>0.06354274558555351</v>
      </c>
      <c r="P537" t="s">
        <v>382</v>
      </c>
      <c r="Q537" t="s">
        <v>382</v>
      </c>
      <c r="R537">
        <v>1</v>
      </c>
      <c r="S537">
        <v>0.8731611963494339</v>
      </c>
      <c r="T537">
        <v>11</v>
      </c>
      <c r="U537">
        <v>1.284545454545455</v>
      </c>
      <c r="V537">
        <v>0.8003</v>
      </c>
      <c r="W537">
        <v>0.62</v>
      </c>
      <c r="X537">
        <v>0.541359941736649</v>
      </c>
      <c r="Y537">
        <v>0.39901</v>
      </c>
      <c r="Z537">
        <v>0.6295025728987993</v>
      </c>
      <c r="AA537">
        <v>0.7572815533980582</v>
      </c>
      <c r="AB537">
        <v>0.7649434571890146</v>
      </c>
      <c r="AC537">
        <v>0.2940226171243942</v>
      </c>
      <c r="AD537">
        <v>0.505654281098546</v>
      </c>
    </row>
    <row r="538" spans="1:30">
      <c r="A538" s="1" t="s">
        <v>545</v>
      </c>
      <c r="B538">
        <f>HYPERLINK("https://www.suredividend.com/sure-analysis-BCE","BCE, Inc.")</f>
        <v>0</v>
      </c>
      <c r="C538">
        <v>46.25</v>
      </c>
      <c r="D538">
        <v>41795.6625</v>
      </c>
      <c r="E538" t="s">
        <v>662</v>
      </c>
      <c r="F538" t="s">
        <v>629</v>
      </c>
      <c r="G538" t="s">
        <v>675</v>
      </c>
      <c r="H538" t="s">
        <v>703</v>
      </c>
      <c r="I538" t="s">
        <v>1232</v>
      </c>
      <c r="J538" t="s">
        <v>1318</v>
      </c>
      <c r="K538">
        <v>43774</v>
      </c>
      <c r="L538">
        <v>0.051032990662939</v>
      </c>
      <c r="M538">
        <v>-0.01909372979559354</v>
      </c>
      <c r="N538">
        <v>0.035</v>
      </c>
      <c r="O538">
        <v>0.06350376440347505</v>
      </c>
      <c r="P538" t="s">
        <v>382</v>
      </c>
      <c r="Q538" t="s">
        <v>494</v>
      </c>
      <c r="R538">
        <v>12</v>
      </c>
      <c r="S538">
        <v>0.8806999321496118</v>
      </c>
      <c r="T538">
        <v>42</v>
      </c>
      <c r="U538">
        <v>1.101190476190476</v>
      </c>
      <c r="V538">
        <v>2.4912</v>
      </c>
      <c r="W538">
        <v>2.68</v>
      </c>
      <c r="X538">
        <v>2.36027581816096</v>
      </c>
      <c r="Y538">
        <v>0.157407</v>
      </c>
      <c r="Z538">
        <v>0.7787307032590052</v>
      </c>
      <c r="AA538">
        <v>0.3770226537216829</v>
      </c>
      <c r="AB538">
        <v>0.2520193861066236</v>
      </c>
      <c r="AC538">
        <v>0.5718901453957996</v>
      </c>
      <c r="AD538">
        <v>0.5040387722132472</v>
      </c>
    </row>
    <row r="539" spans="1:30">
      <c r="A539" s="1" t="s">
        <v>546</v>
      </c>
      <c r="B539">
        <f>HYPERLINK("https://www.suredividend.com/sure-analysis-NLY","Annaly Capital Management, Inc.")</f>
        <v>0</v>
      </c>
      <c r="C539">
        <v>9.529999999999999</v>
      </c>
      <c r="D539">
        <v>13628.9483</v>
      </c>
      <c r="E539" t="s">
        <v>667</v>
      </c>
      <c r="F539" t="s">
        <v>630</v>
      </c>
      <c r="G539" t="s">
        <v>673</v>
      </c>
      <c r="H539" t="s">
        <v>703</v>
      </c>
      <c r="I539" t="s">
        <v>1233</v>
      </c>
      <c r="J539" t="s">
        <v>1309</v>
      </c>
      <c r="K539">
        <v>43699</v>
      </c>
      <c r="L539">
        <v>0.115424973767051</v>
      </c>
      <c r="M539">
        <v>-0.0002099517296175746</v>
      </c>
      <c r="N539">
        <v>-0.036</v>
      </c>
      <c r="O539">
        <v>0.0628459744872234</v>
      </c>
      <c r="P539" t="s">
        <v>382</v>
      </c>
      <c r="Q539" t="s">
        <v>494</v>
      </c>
      <c r="R539">
        <v>0</v>
      </c>
      <c r="S539">
        <v>0.9243697478991598</v>
      </c>
      <c r="T539">
        <v>9.52</v>
      </c>
      <c r="U539">
        <v>1.001050420168067</v>
      </c>
      <c r="V539">
        <v>-4.1518</v>
      </c>
      <c r="W539">
        <v>1.19</v>
      </c>
      <c r="X539">
        <v>1.1</v>
      </c>
      <c r="Y539">
        <v>-0.0364</v>
      </c>
      <c r="Z539">
        <v>0.9708404802744426</v>
      </c>
      <c r="AA539">
        <v>0.1294498381877023</v>
      </c>
      <c r="AB539">
        <v>0.009693053311793215</v>
      </c>
      <c r="AC539">
        <v>0.7075928917609047</v>
      </c>
      <c r="AD539">
        <v>0.4975767366720517</v>
      </c>
    </row>
    <row r="540" spans="1:30">
      <c r="A540" s="1" t="s">
        <v>547</v>
      </c>
      <c r="B540">
        <f>HYPERLINK("https://www.suredividend.com/sure-analysis-BXMT","Blackstone Mortgage Trust, Inc.")</f>
        <v>0</v>
      </c>
      <c r="C540">
        <v>37.88</v>
      </c>
      <c r="D540">
        <v>5086.86732</v>
      </c>
      <c r="E540" t="s">
        <v>667</v>
      </c>
      <c r="F540" t="s">
        <v>630</v>
      </c>
      <c r="G540" t="s">
        <v>673</v>
      </c>
      <c r="H540" t="s">
        <v>703</v>
      </c>
      <c r="I540" t="s">
        <v>1234</v>
      </c>
      <c r="J540" t="s">
        <v>1309</v>
      </c>
      <c r="K540">
        <v>43789</v>
      </c>
      <c r="L540">
        <v>0.065469904963041</v>
      </c>
      <c r="M540">
        <v>-0.01569064026522671</v>
      </c>
      <c r="N540">
        <v>0.018</v>
      </c>
      <c r="O540">
        <v>0.06272654954151258</v>
      </c>
      <c r="P540" t="s">
        <v>382</v>
      </c>
      <c r="Q540" t="s">
        <v>494</v>
      </c>
      <c r="R540">
        <v>0</v>
      </c>
      <c r="S540">
        <v>0.9185185185185184</v>
      </c>
      <c r="T540">
        <v>35</v>
      </c>
      <c r="U540">
        <v>1.082285714285714</v>
      </c>
      <c r="V540">
        <v>2.3726</v>
      </c>
      <c r="W540">
        <v>2.7</v>
      </c>
      <c r="X540">
        <v>2.48</v>
      </c>
      <c r="Y540">
        <v>0.182641</v>
      </c>
      <c r="Z540">
        <v>0.8747855917667239</v>
      </c>
      <c r="AA540">
        <v>0.4255663430420712</v>
      </c>
      <c r="AB540">
        <v>0.09127625201938611</v>
      </c>
      <c r="AC540">
        <v>0.592891760904685</v>
      </c>
      <c r="AD540">
        <v>0.4959612277867528</v>
      </c>
    </row>
    <row r="541" spans="1:30">
      <c r="A541" s="1" t="s">
        <v>548</v>
      </c>
      <c r="B541">
        <f>HYPERLINK("https://www.suredividend.com/sure-analysis-PEGI","Pattern Energy Group, Inc.")</f>
        <v>0</v>
      </c>
      <c r="C541">
        <v>27.15</v>
      </c>
      <c r="D541">
        <v>2667.216</v>
      </c>
      <c r="E541" t="s">
        <v>671</v>
      </c>
      <c r="F541" t="s">
        <v>629</v>
      </c>
      <c r="G541" t="s">
        <v>673</v>
      </c>
      <c r="H541" t="s">
        <v>704</v>
      </c>
      <c r="I541" t="s">
        <v>1235</v>
      </c>
      <c r="J541" t="s">
        <v>1321</v>
      </c>
      <c r="K541">
        <v>43692</v>
      </c>
      <c r="L541">
        <v>0.06217311233885801</v>
      </c>
      <c r="M541">
        <v>-0.03263225983061036</v>
      </c>
      <c r="N541">
        <v>0.024</v>
      </c>
      <c r="O541">
        <v>0.06102813288922504</v>
      </c>
      <c r="P541" t="s">
        <v>382</v>
      </c>
      <c r="Q541" t="s">
        <v>405</v>
      </c>
      <c r="R541">
        <v>5</v>
      </c>
      <c r="S541">
        <v>1.132885906040269</v>
      </c>
      <c r="T541">
        <v>23</v>
      </c>
      <c r="U541">
        <v>1.180434782608696</v>
      </c>
      <c r="V541">
        <v>-1.0335</v>
      </c>
      <c r="W541">
        <v>1.49</v>
      </c>
      <c r="X541">
        <v>1.688</v>
      </c>
      <c r="Y541">
        <v>0.484418</v>
      </c>
      <c r="Z541">
        <v>0.8490566037735848</v>
      </c>
      <c r="AA541">
        <v>0.8592233009708738</v>
      </c>
      <c r="AB541">
        <v>0.1462035541195477</v>
      </c>
      <c r="AC541">
        <v>0.4281098546042004</v>
      </c>
      <c r="AD541">
        <v>0.4830371567043619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14.69</v>
      </c>
      <c r="D542">
        <v>357.17266</v>
      </c>
      <c r="E542" t="s">
        <v>667</v>
      </c>
      <c r="F542" t="s">
        <v>629</v>
      </c>
      <c r="G542" t="s">
        <v>673</v>
      </c>
      <c r="H542" t="s">
        <v>703</v>
      </c>
      <c r="I542" t="s">
        <v>1236</v>
      </c>
      <c r="J542" t="s">
        <v>1327</v>
      </c>
      <c r="K542">
        <v>43746</v>
      </c>
      <c r="L542">
        <v>0.163376446562287</v>
      </c>
      <c r="M542">
        <v>0.00418537650906603</v>
      </c>
      <c r="N542">
        <v>-0.05</v>
      </c>
      <c r="O542">
        <v>0.06019629618092703</v>
      </c>
      <c r="P542" t="s">
        <v>382</v>
      </c>
      <c r="Q542" t="s">
        <v>494</v>
      </c>
      <c r="R542">
        <v>0</v>
      </c>
      <c r="S542">
        <v>1.538461538461538</v>
      </c>
      <c r="T542">
        <v>15</v>
      </c>
      <c r="U542">
        <v>0.9793333333333333</v>
      </c>
      <c r="V542">
        <v>-3.1657</v>
      </c>
      <c r="W542">
        <v>1.56</v>
      </c>
      <c r="X542">
        <v>2.4</v>
      </c>
      <c r="Y542">
        <v>0</v>
      </c>
      <c r="Z542">
        <v>0.9948542024013721</v>
      </c>
      <c r="AA542">
        <v>0.1682847896440129</v>
      </c>
      <c r="AB542">
        <v>0.004846526655896607</v>
      </c>
      <c r="AC542">
        <v>0.7463651050080776</v>
      </c>
      <c r="AD542">
        <v>0.4733441033925686</v>
      </c>
    </row>
    <row r="543" spans="1:30">
      <c r="A543" s="1" t="s">
        <v>550</v>
      </c>
      <c r="B543">
        <f>HYPERLINK("https://www.suredividend.com/sure-analysis-CORR","CorEnergy Infrastructure Trust, Inc.")</f>
        <v>0</v>
      </c>
      <c r="C543">
        <v>44.38</v>
      </c>
      <c r="D543">
        <v>600.6833</v>
      </c>
      <c r="E543" t="s">
        <v>660</v>
      </c>
      <c r="F543" t="s">
        <v>629</v>
      </c>
      <c r="G543" t="s">
        <v>673</v>
      </c>
      <c r="H543" t="s">
        <v>703</v>
      </c>
      <c r="I543" t="s">
        <v>1237</v>
      </c>
      <c r="J543" t="s">
        <v>1309</v>
      </c>
      <c r="K543">
        <v>43771</v>
      </c>
      <c r="L543">
        <v>0.067598017124831</v>
      </c>
      <c r="M543">
        <v>-0.02056743731181665</v>
      </c>
      <c r="N543">
        <v>0.02</v>
      </c>
      <c r="O543">
        <v>0.05918767554126014</v>
      </c>
      <c r="P543" t="s">
        <v>382</v>
      </c>
      <c r="Q543" t="s">
        <v>494</v>
      </c>
      <c r="R543">
        <v>0</v>
      </c>
      <c r="S543">
        <v>0.75</v>
      </c>
      <c r="T543">
        <v>40</v>
      </c>
      <c r="U543">
        <v>1.1095</v>
      </c>
      <c r="V543">
        <v>0.5781000000000001</v>
      </c>
      <c r="W543">
        <v>4</v>
      </c>
      <c r="X543">
        <v>3</v>
      </c>
      <c r="Y543">
        <v>0.299561</v>
      </c>
      <c r="Z543">
        <v>0.8799313893653516</v>
      </c>
      <c r="AA543">
        <v>0.6262135922330097</v>
      </c>
      <c r="AB543">
        <v>0.1219709208400646</v>
      </c>
      <c r="AC543">
        <v>0.5621970920840065</v>
      </c>
      <c r="AD543">
        <v>0.4684975767366721</v>
      </c>
    </row>
    <row r="544" spans="1:30">
      <c r="A544" s="1" t="s">
        <v>551</v>
      </c>
      <c r="B544">
        <f>HYPERLINK("https://www.suredividend.com/sure-analysis-SPKE","Spark Energy, Inc.")</f>
        <v>0</v>
      </c>
      <c r="C544">
        <v>9.359999999999999</v>
      </c>
      <c r="D544">
        <v>329.2848</v>
      </c>
      <c r="E544" t="s">
        <v>659</v>
      </c>
      <c r="F544" t="s">
        <v>629</v>
      </c>
      <c r="G544" t="s">
        <v>673</v>
      </c>
      <c r="H544" t="s">
        <v>704</v>
      </c>
      <c r="I544" t="s">
        <v>1238</v>
      </c>
      <c r="J544" t="s">
        <v>1321</v>
      </c>
      <c r="K544">
        <v>43791</v>
      </c>
      <c r="L544">
        <v>0.077457264957264</v>
      </c>
      <c r="M544">
        <v>-0.1970013140480809</v>
      </c>
      <c r="N544">
        <v>0.229</v>
      </c>
      <c r="O544">
        <v>0.05806916289907815</v>
      </c>
      <c r="P544" t="s">
        <v>382</v>
      </c>
      <c r="Q544" t="s">
        <v>405</v>
      </c>
      <c r="R544">
        <v>0</v>
      </c>
      <c r="S544">
        <v>2.9</v>
      </c>
      <c r="T544">
        <v>3.125</v>
      </c>
      <c r="U544">
        <v>2.9952</v>
      </c>
      <c r="V544">
        <v>-0.0849</v>
      </c>
      <c r="W544">
        <v>0.25</v>
      </c>
      <c r="X544">
        <v>0.725</v>
      </c>
      <c r="Y544">
        <v>0.253012</v>
      </c>
      <c r="Z544">
        <v>0.9090909090909091</v>
      </c>
      <c r="AA544">
        <v>0.558252427184466</v>
      </c>
      <c r="AB544">
        <v>0.9919224555735056</v>
      </c>
      <c r="AC544">
        <v>0.008077544426494346</v>
      </c>
      <c r="AD544">
        <v>0.4652665589660743</v>
      </c>
    </row>
    <row r="545" spans="1:30">
      <c r="A545" s="1" t="s">
        <v>552</v>
      </c>
      <c r="B545">
        <f>HYPERLINK("https://www.suredividend.com/sure-analysis-STWD","Starwood Property Trust, Inc.")</f>
        <v>0</v>
      </c>
      <c r="C545">
        <v>25.12</v>
      </c>
      <c r="D545">
        <v>7082.05648</v>
      </c>
      <c r="E545" t="s">
        <v>667</v>
      </c>
      <c r="F545" t="s">
        <v>630</v>
      </c>
      <c r="G545" t="s">
        <v>673</v>
      </c>
      <c r="H545" t="s">
        <v>703</v>
      </c>
      <c r="I545" t="s">
        <v>1239</v>
      </c>
      <c r="J545" t="s">
        <v>1309</v>
      </c>
      <c r="K545">
        <v>43699</v>
      </c>
      <c r="L545">
        <v>0.076433121019108</v>
      </c>
      <c r="M545">
        <v>-0.02617569600024883</v>
      </c>
      <c r="N545">
        <v>0.01</v>
      </c>
      <c r="O545">
        <v>0.05430102307706575</v>
      </c>
      <c r="P545" t="s">
        <v>382</v>
      </c>
      <c r="Q545" t="s">
        <v>494</v>
      </c>
      <c r="R545">
        <v>0</v>
      </c>
      <c r="S545">
        <v>0.8727272727272726</v>
      </c>
      <c r="T545">
        <v>22</v>
      </c>
      <c r="U545">
        <v>1.141818181818182</v>
      </c>
      <c r="V545">
        <v>1.531</v>
      </c>
      <c r="W545">
        <v>2.2</v>
      </c>
      <c r="X545">
        <v>1.92</v>
      </c>
      <c r="Y545">
        <v>0.265491</v>
      </c>
      <c r="Z545">
        <v>0.9039451114922814</v>
      </c>
      <c r="AA545">
        <v>0.580906148867314</v>
      </c>
      <c r="AB545">
        <v>0.05411954765751212</v>
      </c>
      <c r="AC545">
        <v>0.5088852988691438</v>
      </c>
      <c r="AD545">
        <v>0.4378029079159936</v>
      </c>
    </row>
    <row r="546" spans="1:30">
      <c r="A546" s="1" t="s">
        <v>553</v>
      </c>
      <c r="B546">
        <f>HYPERLINK("https://www.suredividend.com/sure-analysis-PDCO","Patterson Cos., Inc.")</f>
        <v>0</v>
      </c>
      <c r="C546">
        <v>20.81</v>
      </c>
      <c r="D546">
        <v>1991.9332</v>
      </c>
      <c r="E546" t="s">
        <v>657</v>
      </c>
      <c r="F546" t="s">
        <v>629</v>
      </c>
      <c r="G546" t="s">
        <v>673</v>
      </c>
      <c r="H546" t="s">
        <v>704</v>
      </c>
      <c r="I546" t="s">
        <v>1240</v>
      </c>
      <c r="J546" t="s">
        <v>1311</v>
      </c>
      <c r="K546">
        <v>43759</v>
      </c>
      <c r="L546">
        <v>0.04997597308986</v>
      </c>
      <c r="M546">
        <v>-0.02859555819669024</v>
      </c>
      <c r="N546">
        <v>0.04</v>
      </c>
      <c r="O546">
        <v>0.0542379556628112</v>
      </c>
      <c r="P546" t="s">
        <v>382</v>
      </c>
      <c r="Q546" t="s">
        <v>405</v>
      </c>
      <c r="R546">
        <v>9</v>
      </c>
      <c r="S546">
        <v>0.8813559322033899</v>
      </c>
      <c r="T546">
        <v>18</v>
      </c>
      <c r="U546">
        <v>1.156111111111111</v>
      </c>
      <c r="V546">
        <v>0.5984</v>
      </c>
      <c r="W546">
        <v>1.18</v>
      </c>
      <c r="X546">
        <v>1.04</v>
      </c>
      <c r="Y546">
        <v>0.051541</v>
      </c>
      <c r="Z546">
        <v>0.7718696397941681</v>
      </c>
      <c r="AA546">
        <v>0.2249190938511327</v>
      </c>
      <c r="AB546">
        <v>0.3182552504038772</v>
      </c>
      <c r="AC546">
        <v>0.4781906300484653</v>
      </c>
      <c r="AD546">
        <v>0.4361873990306947</v>
      </c>
    </row>
    <row r="547" spans="1:30">
      <c r="A547" s="1" t="s">
        <v>554</v>
      </c>
      <c r="B547">
        <f>HYPERLINK("https://www.suredividend.com/sure-analysis-ALARF","Alaris Royalty Corp.")</f>
        <v>0</v>
      </c>
      <c r="C547">
        <v>17.09</v>
      </c>
      <c r="D547">
        <v>627.35681</v>
      </c>
      <c r="E547" t="s">
        <v>659</v>
      </c>
      <c r="F547" t="s">
        <v>629</v>
      </c>
      <c r="G547" t="s">
        <v>675</v>
      </c>
      <c r="H547" t="s">
        <v>705</v>
      </c>
      <c r="I547" t="s">
        <v>1241</v>
      </c>
      <c r="J547" t="s">
        <v>1309</v>
      </c>
      <c r="K547">
        <v>43794</v>
      </c>
      <c r="L547">
        <v>0.072640236427368</v>
      </c>
      <c r="M547">
        <v>-0.02575129033651014</v>
      </c>
      <c r="N547">
        <v>0.02</v>
      </c>
      <c r="O547">
        <v>0.05207690294303347</v>
      </c>
      <c r="P547" t="s">
        <v>382</v>
      </c>
      <c r="Q547" t="s">
        <v>494</v>
      </c>
      <c r="R547">
        <v>0</v>
      </c>
      <c r="S547">
        <v>0.9698606566747812</v>
      </c>
      <c r="T547">
        <v>15</v>
      </c>
      <c r="U547">
        <v>1.139333333333333</v>
      </c>
      <c r="V547">
        <v>1.4858</v>
      </c>
      <c r="W547">
        <v>1.28</v>
      </c>
      <c r="X547">
        <v>1.24142164054372</v>
      </c>
      <c r="Y547">
        <v>0.237681</v>
      </c>
      <c r="Z547">
        <v>0.8953687821612349</v>
      </c>
      <c r="AA547">
        <v>0.5339805825242718</v>
      </c>
      <c r="AB547">
        <v>0.1219709208400646</v>
      </c>
      <c r="AC547">
        <v>0.512924071082391</v>
      </c>
      <c r="AD547">
        <v>0.4216478190630049</v>
      </c>
    </row>
    <row r="548" spans="1:30">
      <c r="A548" s="1" t="s">
        <v>555</v>
      </c>
      <c r="B548">
        <f>HYPERLINK("https://www.suredividend.com/sure-analysis-WY","Weyerhaeuser Co.")</f>
        <v>0</v>
      </c>
      <c r="C548">
        <v>30.15</v>
      </c>
      <c r="D548">
        <v>22466.0313</v>
      </c>
      <c r="E548" t="s">
        <v>667</v>
      </c>
      <c r="F548" t="s">
        <v>629</v>
      </c>
      <c r="G548" t="s">
        <v>673</v>
      </c>
      <c r="H548" t="s">
        <v>703</v>
      </c>
      <c r="I548" t="s">
        <v>1242</v>
      </c>
      <c r="J548" t="s">
        <v>1309</v>
      </c>
      <c r="K548">
        <v>43789</v>
      </c>
      <c r="L548">
        <v>0.045107794361525</v>
      </c>
      <c r="M548">
        <v>-0.02182785928402675</v>
      </c>
      <c r="N548">
        <v>0.031</v>
      </c>
      <c r="O548">
        <v>0.05070138370622956</v>
      </c>
      <c r="P548" t="s">
        <v>382</v>
      </c>
      <c r="Q548" t="s">
        <v>405</v>
      </c>
      <c r="R548">
        <v>8</v>
      </c>
      <c r="S548">
        <v>0.8499999999999999</v>
      </c>
      <c r="T548">
        <v>27</v>
      </c>
      <c r="U548">
        <v>1.116666666666667</v>
      </c>
      <c r="V548">
        <v>-0.2026</v>
      </c>
      <c r="W548">
        <v>1.6</v>
      </c>
      <c r="X548">
        <v>1.36</v>
      </c>
      <c r="Y548">
        <v>0.416823</v>
      </c>
      <c r="Z548">
        <v>0.7186963979416809</v>
      </c>
      <c r="AA548">
        <v>0.7928802588996764</v>
      </c>
      <c r="AB548">
        <v>0.2326332794830371</v>
      </c>
      <c r="AC548">
        <v>0.5428109854604201</v>
      </c>
      <c r="AD548">
        <v>0.4087237479806138</v>
      </c>
    </row>
    <row r="549" spans="1:30">
      <c r="A549" s="1" t="s">
        <v>556</v>
      </c>
      <c r="B549">
        <f>HYPERLINK("https://www.suredividend.com/sure-analysis-MGP","MGM Growth Properties LLC")</f>
        <v>0</v>
      </c>
      <c r="C549">
        <v>30.56</v>
      </c>
      <c r="D549">
        <v>3477.941951</v>
      </c>
      <c r="E549" t="s">
        <v>668</v>
      </c>
      <c r="F549" t="s">
        <v>630</v>
      </c>
      <c r="G549" t="s">
        <v>673</v>
      </c>
      <c r="H549" t="s">
        <v>703</v>
      </c>
      <c r="I549" t="s">
        <v>1243</v>
      </c>
      <c r="J549" t="s">
        <v>1309</v>
      </c>
      <c r="K549">
        <v>43798</v>
      </c>
      <c r="L549">
        <v>0.060536649214659</v>
      </c>
      <c r="M549">
        <v>-0.01042451105778375</v>
      </c>
      <c r="N549">
        <v>0.003</v>
      </c>
      <c r="O549">
        <v>0.0487753515122118</v>
      </c>
      <c r="P549" t="s">
        <v>382</v>
      </c>
      <c r="Q549" t="s">
        <v>405</v>
      </c>
      <c r="R549">
        <v>3</v>
      </c>
      <c r="S549">
        <v>0.902439024390244</v>
      </c>
      <c r="T549">
        <v>29</v>
      </c>
      <c r="U549">
        <v>1.053793103448276</v>
      </c>
      <c r="V549">
        <v>0.9813000000000001</v>
      </c>
      <c r="W549">
        <v>2.05</v>
      </c>
      <c r="X549">
        <v>1.85</v>
      </c>
      <c r="Y549">
        <v>0.161536</v>
      </c>
      <c r="Z549">
        <v>0.8387650085763293</v>
      </c>
      <c r="AA549">
        <v>0.3802588996763754</v>
      </c>
      <c r="AB549">
        <v>0.0420032310177706</v>
      </c>
      <c r="AC549">
        <v>0.6235864297253635</v>
      </c>
      <c r="AD549">
        <v>0.3941841680129241</v>
      </c>
    </row>
    <row r="550" spans="1:30">
      <c r="A550" s="1" t="s">
        <v>557</v>
      </c>
      <c r="B550">
        <f>HYPERLINK("https://www.suredividend.com/sure-analysis-VGR","Vector Group Ltd.")</f>
        <v>0</v>
      </c>
      <c r="C550">
        <v>12.9</v>
      </c>
      <c r="D550">
        <v>1906.491</v>
      </c>
      <c r="E550" t="s">
        <v>657</v>
      </c>
      <c r="F550" t="s">
        <v>629</v>
      </c>
      <c r="G550" t="s">
        <v>673</v>
      </c>
      <c r="H550" t="s">
        <v>703</v>
      </c>
      <c r="I550" t="s">
        <v>1244</v>
      </c>
      <c r="J550" t="s">
        <v>1322</v>
      </c>
      <c r="K550">
        <v>43717</v>
      </c>
      <c r="L550">
        <v>0.118124400710155</v>
      </c>
      <c r="M550">
        <v>-0.03136402426954787</v>
      </c>
      <c r="N550">
        <v>0.03</v>
      </c>
      <c r="O550">
        <v>0.04743673270196647</v>
      </c>
      <c r="P550" t="s">
        <v>382</v>
      </c>
      <c r="Q550" t="s">
        <v>494</v>
      </c>
      <c r="R550">
        <v>20</v>
      </c>
      <c r="S550">
        <v>4.010012550423684</v>
      </c>
      <c r="T550">
        <v>11</v>
      </c>
      <c r="U550">
        <v>1.172727272727273</v>
      </c>
      <c r="V550">
        <v>0.6961000000000001</v>
      </c>
      <c r="W550">
        <v>0.38</v>
      </c>
      <c r="X550">
        <v>1.523804769161</v>
      </c>
      <c r="Y550">
        <v>0.4595900000000001</v>
      </c>
      <c r="Z550">
        <v>0.9742710120068611</v>
      </c>
      <c r="AA550">
        <v>0.8333333333333333</v>
      </c>
      <c r="AB550">
        <v>0.2003231017770598</v>
      </c>
      <c r="AC550">
        <v>0.4491114701130857</v>
      </c>
      <c r="AD550">
        <v>0.3796445880452343</v>
      </c>
    </row>
    <row r="551" spans="1:30">
      <c r="A551" s="1" t="s">
        <v>558</v>
      </c>
      <c r="B551">
        <f>HYPERLINK("https://www.suredividend.com/sure-analysis-DREUF","Dream Industrial Real Estate Investment Trust")</f>
        <v>0</v>
      </c>
      <c r="C551">
        <v>10.06</v>
      </c>
      <c r="D551">
        <v>1531.211021</v>
      </c>
      <c r="E551" t="s">
        <v>667</v>
      </c>
      <c r="F551" t="s">
        <v>630</v>
      </c>
      <c r="G551" t="s">
        <v>675</v>
      </c>
      <c r="H551" t="s">
        <v>705</v>
      </c>
      <c r="I551" t="s">
        <v>1245</v>
      </c>
      <c r="J551" t="s">
        <v>1309</v>
      </c>
      <c r="K551">
        <v>43754</v>
      </c>
      <c r="L551">
        <v>0.052429094160913</v>
      </c>
      <c r="M551">
        <v>-0.02202240427569502</v>
      </c>
      <c r="N551">
        <v>0.024</v>
      </c>
      <c r="O551">
        <v>0.047274827704338</v>
      </c>
      <c r="P551" t="s">
        <v>382</v>
      </c>
      <c r="Q551" t="s">
        <v>494</v>
      </c>
      <c r="R551">
        <v>0</v>
      </c>
      <c r="S551">
        <v>0.7872189362071552</v>
      </c>
      <c r="T551">
        <v>9</v>
      </c>
      <c r="U551">
        <v>1.117777777777778</v>
      </c>
      <c r="V551">
        <v>0.8425</v>
      </c>
      <c r="W551">
        <v>0.67</v>
      </c>
      <c r="X551">
        <v>0.527436687258794</v>
      </c>
      <c r="Y551">
        <v>0.428541</v>
      </c>
      <c r="Z551">
        <v>0.79073756432247</v>
      </c>
      <c r="AA551">
        <v>0.8058252427184466</v>
      </c>
      <c r="AB551">
        <v>0.1462035541195477</v>
      </c>
      <c r="AC551">
        <v>0.5395799676898223</v>
      </c>
      <c r="AD551">
        <v>0.3764135702746365</v>
      </c>
    </row>
    <row r="552" spans="1:30">
      <c r="A552" s="1" t="s">
        <v>559</v>
      </c>
      <c r="B552">
        <f>HYPERLINK("https://www.suredividend.com/sure-analysis-LVS","Las Vegas Sands Corp.")</f>
        <v>0</v>
      </c>
      <c r="C552">
        <v>68.53</v>
      </c>
      <c r="D552">
        <v>52633.57561</v>
      </c>
      <c r="E552" t="s">
        <v>663</v>
      </c>
      <c r="F552" t="s">
        <v>629</v>
      </c>
      <c r="G552" t="s">
        <v>673</v>
      </c>
      <c r="H552" t="s">
        <v>703</v>
      </c>
      <c r="I552" t="s">
        <v>1246</v>
      </c>
      <c r="J552" t="s">
        <v>1324</v>
      </c>
      <c r="K552">
        <v>43761</v>
      </c>
      <c r="L552">
        <v>0.044651977236246</v>
      </c>
      <c r="M552">
        <v>-0.04653971994697459</v>
      </c>
      <c r="N552">
        <v>0.05</v>
      </c>
      <c r="O552">
        <v>0.04692378263775931</v>
      </c>
      <c r="P552" t="s">
        <v>382</v>
      </c>
      <c r="Q552" t="s">
        <v>405</v>
      </c>
      <c r="R552">
        <v>8</v>
      </c>
      <c r="S552">
        <v>0.9622641509433962</v>
      </c>
      <c r="T552">
        <v>54</v>
      </c>
      <c r="U552">
        <v>1.269074074074074</v>
      </c>
      <c r="V552">
        <v>2.4628</v>
      </c>
      <c r="W552">
        <v>3.18</v>
      </c>
      <c r="X552">
        <v>3.06</v>
      </c>
      <c r="Y552">
        <v>0.412698</v>
      </c>
      <c r="Z552">
        <v>0.7169811320754716</v>
      </c>
      <c r="AA552">
        <v>0.7864077669902914</v>
      </c>
      <c r="AB552">
        <v>0.4588045234248789</v>
      </c>
      <c r="AC552">
        <v>0.308562197092084</v>
      </c>
      <c r="AD552">
        <v>0.3747980613893377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18.68</v>
      </c>
      <c r="D553">
        <v>3461.72156</v>
      </c>
      <c r="E553" t="s">
        <v>660</v>
      </c>
      <c r="F553" t="s">
        <v>630</v>
      </c>
      <c r="G553" t="s">
        <v>673</v>
      </c>
      <c r="H553" t="s">
        <v>703</v>
      </c>
      <c r="I553" t="s">
        <v>1247</v>
      </c>
      <c r="J553" t="s">
        <v>1309</v>
      </c>
      <c r="K553">
        <v>43775</v>
      </c>
      <c r="L553">
        <v>0.049250535331905</v>
      </c>
      <c r="M553">
        <v>-0.03049819460778258</v>
      </c>
      <c r="N553">
        <v>0.033</v>
      </c>
      <c r="O553">
        <v>0.0462665012833694</v>
      </c>
      <c r="P553" t="s">
        <v>382</v>
      </c>
      <c r="Q553" t="s">
        <v>405</v>
      </c>
      <c r="R553">
        <v>0</v>
      </c>
      <c r="S553">
        <v>0.8679245283018868</v>
      </c>
      <c r="T553">
        <v>16</v>
      </c>
      <c r="U553">
        <v>1.1675</v>
      </c>
      <c r="V553">
        <v>0.2315</v>
      </c>
      <c r="W553">
        <v>1.06</v>
      </c>
      <c r="X553">
        <v>0.92</v>
      </c>
      <c r="Y553">
        <v>0.168961</v>
      </c>
      <c r="Z553">
        <v>0.7667238421955404</v>
      </c>
      <c r="AA553">
        <v>0.3948220064724919</v>
      </c>
      <c r="AB553">
        <v>0.2374798061389337</v>
      </c>
      <c r="AC553">
        <v>0.4555735056542811</v>
      </c>
      <c r="AD553">
        <v>0.3683360258481422</v>
      </c>
    </row>
    <row r="554" spans="1:30">
      <c r="A554" s="1" t="s">
        <v>561</v>
      </c>
      <c r="B554">
        <f>HYPERLINK("https://www.suredividend.com/sure-analysis-OLN","Olin Corp.")</f>
        <v>0</v>
      </c>
      <c r="C554">
        <v>17.39</v>
      </c>
      <c r="D554">
        <v>2776.67869</v>
      </c>
      <c r="E554" t="s">
        <v>667</v>
      </c>
      <c r="F554" t="s">
        <v>629</v>
      </c>
      <c r="G554" t="s">
        <v>673</v>
      </c>
      <c r="H554" t="s">
        <v>703</v>
      </c>
      <c r="I554" t="s">
        <v>1248</v>
      </c>
      <c r="J554" t="s">
        <v>1314</v>
      </c>
      <c r="K554">
        <v>43781</v>
      </c>
      <c r="L554">
        <v>0.046003450258769</v>
      </c>
      <c r="M554">
        <v>-0.08752994555774407</v>
      </c>
      <c r="N554">
        <v>0.1</v>
      </c>
      <c r="O554">
        <v>0.04542887265814133</v>
      </c>
      <c r="P554" t="s">
        <v>382</v>
      </c>
      <c r="Q554" t="s">
        <v>405</v>
      </c>
      <c r="R554">
        <v>0</v>
      </c>
      <c r="S554">
        <v>0.7272727272727273</v>
      </c>
      <c r="T554">
        <v>11</v>
      </c>
      <c r="U554">
        <v>1.580909090909091</v>
      </c>
      <c r="V554">
        <v>0.7251000000000001</v>
      </c>
      <c r="W554">
        <v>1.1</v>
      </c>
      <c r="X554">
        <v>0.8</v>
      </c>
      <c r="Y554">
        <v>-0.06905799999999999</v>
      </c>
      <c r="Z554">
        <v>0.7272727272727273</v>
      </c>
      <c r="AA554">
        <v>0.0970873786407767</v>
      </c>
      <c r="AB554">
        <v>0.931340872374798</v>
      </c>
      <c r="AC554">
        <v>0.09693053311793215</v>
      </c>
      <c r="AD554">
        <v>0.3618739903069467</v>
      </c>
    </row>
    <row r="555" spans="1:30">
      <c r="A555" s="1" t="s">
        <v>562</v>
      </c>
      <c r="B555">
        <f>HYPERLINK("https://www.suredividend.com/sure-analysis-NYCB","New York Community Bancorp, Inc.")</f>
        <v>0</v>
      </c>
      <c r="C555">
        <v>11.95</v>
      </c>
      <c r="D555">
        <v>5584.84445</v>
      </c>
      <c r="E555" t="s">
        <v>661</v>
      </c>
      <c r="F555" t="s">
        <v>629</v>
      </c>
      <c r="G555" t="s">
        <v>673</v>
      </c>
      <c r="H555" t="s">
        <v>703</v>
      </c>
      <c r="I555" t="s">
        <v>1249</v>
      </c>
      <c r="J555" t="s">
        <v>1309</v>
      </c>
      <c r="K555">
        <v>43737</v>
      </c>
      <c r="L555">
        <v>0.056903765690376</v>
      </c>
      <c r="M555">
        <v>-0.05512377623345099</v>
      </c>
      <c r="N555">
        <v>0.05</v>
      </c>
      <c r="O555">
        <v>0.04492504372301886</v>
      </c>
      <c r="P555" t="s">
        <v>382</v>
      </c>
      <c r="Q555" t="s">
        <v>405</v>
      </c>
      <c r="R555">
        <v>0</v>
      </c>
      <c r="S555">
        <v>0.8717948717948718</v>
      </c>
      <c r="T555">
        <v>9</v>
      </c>
      <c r="U555">
        <v>1.327777777777778</v>
      </c>
      <c r="V555">
        <v>0.7624000000000001</v>
      </c>
      <c r="W555">
        <v>0.78</v>
      </c>
      <c r="X555">
        <v>0.68</v>
      </c>
      <c r="Y555">
        <v>0.361048</v>
      </c>
      <c r="Z555">
        <v>0.8216123499142367</v>
      </c>
      <c r="AA555">
        <v>0.6974110032362459</v>
      </c>
      <c r="AB555">
        <v>0.4588045234248789</v>
      </c>
      <c r="AC555">
        <v>0.2455573505654281</v>
      </c>
      <c r="AD555">
        <v>0.3570274636510501</v>
      </c>
    </row>
    <row r="556" spans="1:30">
      <c r="A556" s="1" t="s">
        <v>563</v>
      </c>
      <c r="B556">
        <f>HYPERLINK("https://www.suredividend.com/sure-analysis-GLAD","Gladstone Capital Corp.")</f>
        <v>0</v>
      </c>
      <c r="C556">
        <v>10.22</v>
      </c>
      <c r="D556">
        <v>311.61802</v>
      </c>
      <c r="E556" t="s">
        <v>661</v>
      </c>
      <c r="F556" t="s">
        <v>629</v>
      </c>
      <c r="G556" t="s">
        <v>673</v>
      </c>
      <c r="H556" t="s">
        <v>704</v>
      </c>
      <c r="I556" t="s">
        <v>1250</v>
      </c>
      <c r="J556" t="s">
        <v>1309</v>
      </c>
      <c r="K556">
        <v>43744</v>
      </c>
      <c r="L556">
        <v>0.08219178082191701</v>
      </c>
      <c r="M556">
        <v>-0.03618516650263126</v>
      </c>
      <c r="N556">
        <v>0</v>
      </c>
      <c r="O556">
        <v>0.04440890239383832</v>
      </c>
      <c r="P556" t="s">
        <v>382</v>
      </c>
      <c r="Q556" t="s">
        <v>494</v>
      </c>
      <c r="R556">
        <v>0</v>
      </c>
      <c r="S556">
        <v>0.9882352941176471</v>
      </c>
      <c r="T556">
        <v>8.5</v>
      </c>
      <c r="U556">
        <v>1.202352941176471</v>
      </c>
      <c r="V556">
        <v>0.6737000000000001</v>
      </c>
      <c r="W556">
        <v>0.85</v>
      </c>
      <c r="X556">
        <v>0.84</v>
      </c>
      <c r="Y556">
        <v>0.46</v>
      </c>
      <c r="Z556">
        <v>0.9176672384219554</v>
      </c>
      <c r="AA556">
        <v>0.8349514563106796</v>
      </c>
      <c r="AB556">
        <v>0.02988691437802908</v>
      </c>
      <c r="AC556">
        <v>0.3974151857835218</v>
      </c>
      <c r="AD556">
        <v>0.3537964458804523</v>
      </c>
    </row>
    <row r="557" spans="1:30">
      <c r="A557" s="1" t="s">
        <v>564</v>
      </c>
      <c r="B557">
        <f>HYPERLINK("https://www.suredividend.com/sure-analysis-ANF","Abercrombie &amp; Fitch Co.")</f>
        <v>0</v>
      </c>
      <c r="C557">
        <v>16.58</v>
      </c>
      <c r="D557">
        <v>1040.36184</v>
      </c>
      <c r="E557" t="s">
        <v>661</v>
      </c>
      <c r="F557" t="s">
        <v>629</v>
      </c>
      <c r="G557" t="s">
        <v>673</v>
      </c>
      <c r="H557" t="s">
        <v>703</v>
      </c>
      <c r="I557" t="s">
        <v>1251</v>
      </c>
      <c r="J557" t="s">
        <v>1310</v>
      </c>
      <c r="K557">
        <v>43717</v>
      </c>
      <c r="L557">
        <v>0.04825090470446301</v>
      </c>
      <c r="M557">
        <v>-0.04748512799451698</v>
      </c>
      <c r="N557">
        <v>0.05</v>
      </c>
      <c r="O557">
        <v>0.04429059766702093</v>
      </c>
      <c r="P557" t="s">
        <v>382</v>
      </c>
      <c r="Q557" t="s">
        <v>405</v>
      </c>
      <c r="R557">
        <v>0</v>
      </c>
      <c r="S557">
        <v>1</v>
      </c>
      <c r="T557">
        <v>13</v>
      </c>
      <c r="U557">
        <v>1.275384615384615</v>
      </c>
      <c r="V557">
        <v>0.8046000000000001</v>
      </c>
      <c r="W557">
        <v>0.8</v>
      </c>
      <c r="X557">
        <v>0.8</v>
      </c>
      <c r="Y557">
        <v>-0.025852</v>
      </c>
      <c r="Z557">
        <v>0.7564322469982848</v>
      </c>
      <c r="AA557">
        <v>0.1423948220064725</v>
      </c>
      <c r="AB557">
        <v>0.4588045234248789</v>
      </c>
      <c r="AC557">
        <v>0.3021001615508885</v>
      </c>
      <c r="AD557">
        <v>0.3489499192245558</v>
      </c>
    </row>
    <row r="558" spans="1:30">
      <c r="A558" s="1" t="s">
        <v>565</v>
      </c>
      <c r="B558">
        <f>HYPERLINK("https://www.suredividend.com/sure-analysis-ABEV","Ambev SA")</f>
        <v>0</v>
      </c>
      <c r="C558">
        <v>4.57</v>
      </c>
      <c r="D558">
        <v>71887.171071</v>
      </c>
      <c r="E558" t="s">
        <v>657</v>
      </c>
      <c r="F558" t="s">
        <v>629</v>
      </c>
      <c r="G558" t="s">
        <v>683</v>
      </c>
      <c r="H558" t="s">
        <v>703</v>
      </c>
      <c r="I558" t="s">
        <v>1252</v>
      </c>
      <c r="J558" t="s">
        <v>1322</v>
      </c>
      <c r="K558">
        <v>43766</v>
      </c>
      <c r="L558">
        <v>0.04343544857768</v>
      </c>
      <c r="M558">
        <v>-0.01674397094141555</v>
      </c>
      <c r="N558">
        <v>0.03</v>
      </c>
      <c r="O558">
        <v>0.04358590157296449</v>
      </c>
      <c r="P558" t="s">
        <v>382</v>
      </c>
      <c r="Q558" t="s">
        <v>405</v>
      </c>
      <c r="R558">
        <v>0</v>
      </c>
      <c r="S558">
        <v>0.9452380952380953</v>
      </c>
      <c r="T558">
        <v>4.2</v>
      </c>
      <c r="U558">
        <v>1.088095238095238</v>
      </c>
      <c r="V558">
        <v>0.182</v>
      </c>
      <c r="W558">
        <v>0.21</v>
      </c>
      <c r="X558">
        <v>0.1985</v>
      </c>
      <c r="Y558">
        <v>0.1012</v>
      </c>
      <c r="Z558">
        <v>0.7049742710120068</v>
      </c>
      <c r="AA558">
        <v>0.284789644012945</v>
      </c>
      <c r="AB558">
        <v>0.2003231017770598</v>
      </c>
      <c r="AC558">
        <v>0.5799676898222941</v>
      </c>
      <c r="AD558">
        <v>0.3441033925686591</v>
      </c>
    </row>
    <row r="559" spans="1:30">
      <c r="A559" s="1" t="s">
        <v>566</v>
      </c>
      <c r="B559">
        <f>HYPERLINK("https://www.suredividend.com/sure-analysis-DEA","Easterly Government Properties, Inc.")</f>
        <v>0</v>
      </c>
      <c r="C559">
        <v>23.4</v>
      </c>
      <c r="D559">
        <v>1872.215303</v>
      </c>
      <c r="E559" t="s">
        <v>667</v>
      </c>
      <c r="F559" t="s">
        <v>630</v>
      </c>
      <c r="G559" t="s">
        <v>673</v>
      </c>
      <c r="H559" t="s">
        <v>703</v>
      </c>
      <c r="I559" t="s">
        <v>1253</v>
      </c>
      <c r="J559" t="s">
        <v>1309</v>
      </c>
      <c r="K559">
        <v>43754</v>
      </c>
      <c r="L559">
        <v>0.044444444444444</v>
      </c>
      <c r="M559">
        <v>-0.04080358104240489</v>
      </c>
      <c r="N559">
        <v>0.035</v>
      </c>
      <c r="O559">
        <v>0.04096909897869949</v>
      </c>
      <c r="P559" t="s">
        <v>382</v>
      </c>
      <c r="Q559" t="s">
        <v>405</v>
      </c>
      <c r="R559">
        <v>4</v>
      </c>
      <c r="S559">
        <v>0.8524590163934427</v>
      </c>
      <c r="T559">
        <v>19</v>
      </c>
      <c r="U559">
        <v>1.231578947368421</v>
      </c>
      <c r="V559">
        <v>0.0873</v>
      </c>
      <c r="W559">
        <v>1.22</v>
      </c>
      <c r="X559">
        <v>1.04</v>
      </c>
      <c r="Y559">
        <v>0.484772</v>
      </c>
      <c r="Z559">
        <v>0.7152658662092624</v>
      </c>
      <c r="AA559">
        <v>0.8608414239482201</v>
      </c>
      <c r="AB559">
        <v>0.2520193861066236</v>
      </c>
      <c r="AC559">
        <v>0.3683360258481422</v>
      </c>
      <c r="AD559">
        <v>0.3231017770597738</v>
      </c>
    </row>
    <row r="560" spans="1:30">
      <c r="A560" s="1" t="s">
        <v>567</v>
      </c>
      <c r="B560">
        <f>HYPERLINK("https://www.suredividend.com/sure-analysis-BBBY","Bed Bath &amp; Beyond, Inc.")</f>
        <v>0</v>
      </c>
      <c r="C560">
        <v>16.7</v>
      </c>
      <c r="D560">
        <v>2113.6522</v>
      </c>
      <c r="E560" t="s">
        <v>658</v>
      </c>
      <c r="F560" t="s">
        <v>629</v>
      </c>
      <c r="G560" t="s">
        <v>673</v>
      </c>
      <c r="H560" t="s">
        <v>704</v>
      </c>
      <c r="I560" t="s">
        <v>1254</v>
      </c>
      <c r="J560" t="s">
        <v>1310</v>
      </c>
      <c r="K560">
        <v>43741</v>
      </c>
      <c r="L560">
        <v>0.03952095808383201</v>
      </c>
      <c r="M560">
        <v>-0.02124282768097308</v>
      </c>
      <c r="N560">
        <v>0.02</v>
      </c>
      <c r="O560">
        <v>0.03995199589153153</v>
      </c>
      <c r="P560" t="s">
        <v>382</v>
      </c>
      <c r="Q560" t="s">
        <v>405</v>
      </c>
      <c r="R560">
        <v>3</v>
      </c>
      <c r="S560">
        <v>0.3142857142857143</v>
      </c>
      <c r="T560">
        <v>15</v>
      </c>
      <c r="U560">
        <v>1.113333333333333</v>
      </c>
      <c r="V560">
        <v>-5.7741</v>
      </c>
      <c r="W560">
        <v>2.1</v>
      </c>
      <c r="X560">
        <v>0.66</v>
      </c>
      <c r="Y560">
        <v>0.544866</v>
      </c>
      <c r="Z560">
        <v>0.6466552315608919</v>
      </c>
      <c r="AA560">
        <v>0.9012944983818769</v>
      </c>
      <c r="AB560">
        <v>0.1219709208400646</v>
      </c>
      <c r="AC560">
        <v>0.5476575121163166</v>
      </c>
      <c r="AD560">
        <v>0.3150242326332795</v>
      </c>
    </row>
    <row r="561" spans="1:30">
      <c r="A561" s="1" t="s">
        <v>568</v>
      </c>
      <c r="B561" t="s">
        <v>628</v>
      </c>
      <c r="C561">
        <v>50.91</v>
      </c>
      <c r="D561">
        <v>2760</v>
      </c>
      <c r="E561" t="s">
        <v>667</v>
      </c>
      <c r="F561" t="s">
        <v>630</v>
      </c>
      <c r="G561" t="s">
        <v>678</v>
      </c>
      <c r="H561" t="s">
        <v>707</v>
      </c>
      <c r="K561">
        <v>43754</v>
      </c>
      <c r="L561">
        <v>0.0433</v>
      </c>
      <c r="M561">
        <v>-0.04237350811181984</v>
      </c>
      <c r="N561">
        <v>0.04</v>
      </c>
      <c r="O561">
        <v>0.03790439424563252</v>
      </c>
      <c r="P561" t="s">
        <v>382</v>
      </c>
      <c r="Q561" t="s">
        <v>405</v>
      </c>
      <c r="R561">
        <v>1</v>
      </c>
      <c r="S561">
        <v>0.7586206896551725</v>
      </c>
      <c r="T561">
        <v>41</v>
      </c>
      <c r="U561">
        <v>1.241707317073171</v>
      </c>
      <c r="V561">
        <v>4.1286</v>
      </c>
      <c r="W561">
        <v>2.9</v>
      </c>
      <c r="X561">
        <v>2.2</v>
      </c>
      <c r="Z561">
        <v>0.7015437392795882</v>
      </c>
      <c r="AB561">
        <v>0.3182552504038772</v>
      </c>
      <c r="AC561">
        <v>0.3554119547657512</v>
      </c>
      <c r="AD561">
        <v>0.3037156704361874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14.56</v>
      </c>
      <c r="D562">
        <v>1566.8016</v>
      </c>
      <c r="E562" t="s">
        <v>667</v>
      </c>
      <c r="F562" t="s">
        <v>629</v>
      </c>
      <c r="G562" t="s">
        <v>684</v>
      </c>
      <c r="H562" t="s">
        <v>703</v>
      </c>
      <c r="I562" t="s">
        <v>1255</v>
      </c>
      <c r="J562" t="s">
        <v>1313</v>
      </c>
      <c r="K562">
        <v>43790</v>
      </c>
      <c r="L562">
        <v>0.09615384615384601</v>
      </c>
      <c r="M562">
        <v>-0.07238508069012062</v>
      </c>
      <c r="N562">
        <v>0</v>
      </c>
      <c r="O562">
        <v>0.03746949225212437</v>
      </c>
      <c r="P562" t="s">
        <v>382</v>
      </c>
      <c r="Q562" t="s">
        <v>494</v>
      </c>
      <c r="R562">
        <v>1</v>
      </c>
      <c r="S562">
        <v>1.386138613861386</v>
      </c>
      <c r="T562">
        <v>10</v>
      </c>
      <c r="U562">
        <v>1.456</v>
      </c>
      <c r="V562">
        <v>0.6155</v>
      </c>
      <c r="W562">
        <v>1.01</v>
      </c>
      <c r="X562">
        <v>1.4</v>
      </c>
      <c r="Y562">
        <v>0.328467</v>
      </c>
      <c r="Z562">
        <v>0.948542024013722</v>
      </c>
      <c r="AA562">
        <v>0.6601941747572816</v>
      </c>
      <c r="AB562">
        <v>0.02988691437802908</v>
      </c>
      <c r="AC562">
        <v>0.1470113085621971</v>
      </c>
      <c r="AD562">
        <v>0.2907915993537964</v>
      </c>
    </row>
    <row r="563" spans="1:30">
      <c r="A563" s="1" t="s">
        <v>570</v>
      </c>
      <c r="B563">
        <f>HYPERLINK("https://www.suredividend.com/sure-analysis-GAIN","Gladstone Investment Corp.")</f>
        <v>0</v>
      </c>
      <c r="C563">
        <v>14.84</v>
      </c>
      <c r="D563">
        <v>487.07848</v>
      </c>
      <c r="E563" t="s">
        <v>663</v>
      </c>
      <c r="F563" t="s">
        <v>632</v>
      </c>
      <c r="G563" t="s">
        <v>673</v>
      </c>
      <c r="H563" t="s">
        <v>704</v>
      </c>
      <c r="I563" t="s">
        <v>1250</v>
      </c>
      <c r="J563" t="s">
        <v>1309</v>
      </c>
      <c r="K563">
        <v>43776</v>
      </c>
      <c r="L563">
        <v>0.054986522911051</v>
      </c>
      <c r="M563">
        <v>-0.05812828090922373</v>
      </c>
      <c r="N563">
        <v>0.036</v>
      </c>
      <c r="O563">
        <v>0.03482225754771706</v>
      </c>
      <c r="P563" t="s">
        <v>382</v>
      </c>
      <c r="Q563" t="s">
        <v>405</v>
      </c>
      <c r="R563">
        <v>7</v>
      </c>
      <c r="S563">
        <v>0.9066666666666667</v>
      </c>
      <c r="T563">
        <v>11</v>
      </c>
      <c r="U563">
        <v>1.349090909090909</v>
      </c>
      <c r="V563">
        <v>1.0952</v>
      </c>
      <c r="W563">
        <v>0.9</v>
      </c>
      <c r="X563">
        <v>0.8160000000000001</v>
      </c>
      <c r="Y563">
        <v>0.6882819999999999</v>
      </c>
      <c r="Z563">
        <v>0.8061749571183533</v>
      </c>
      <c r="AA563">
        <v>0.9498381877022654</v>
      </c>
      <c r="AB563">
        <v>0.2625201938610662</v>
      </c>
      <c r="AC563">
        <v>0.2261712439418417</v>
      </c>
      <c r="AD563">
        <v>0.2730210016155089</v>
      </c>
    </row>
    <row r="564" spans="1:30">
      <c r="A564" s="1" t="s">
        <v>571</v>
      </c>
      <c r="B564">
        <f>HYPERLINK("https://www.suredividend.com/sure-analysis-WSR","Whitestone REIT")</f>
        <v>0</v>
      </c>
      <c r="C564">
        <v>13.45</v>
      </c>
      <c r="D564">
        <v>546.5273</v>
      </c>
      <c r="E564" t="s">
        <v>662</v>
      </c>
      <c r="F564" t="s">
        <v>630</v>
      </c>
      <c r="G564" t="s">
        <v>673</v>
      </c>
      <c r="H564" t="s">
        <v>703</v>
      </c>
      <c r="I564" t="s">
        <v>1256</v>
      </c>
      <c r="J564" t="s">
        <v>1309</v>
      </c>
      <c r="K564">
        <v>43774</v>
      </c>
      <c r="L564">
        <v>0.08475836431226701</v>
      </c>
      <c r="M564">
        <v>-0.03941880538460607</v>
      </c>
      <c r="N564">
        <v>0</v>
      </c>
      <c r="O564">
        <v>0.03310238428765522</v>
      </c>
      <c r="P564" t="s">
        <v>382</v>
      </c>
      <c r="Q564" t="s">
        <v>494</v>
      </c>
      <c r="R564">
        <v>1</v>
      </c>
      <c r="S564">
        <v>1.239130434782609</v>
      </c>
      <c r="T564">
        <v>11</v>
      </c>
      <c r="U564">
        <v>1.222727272727273</v>
      </c>
      <c r="V564">
        <v>0.4199</v>
      </c>
      <c r="W564">
        <v>0.92</v>
      </c>
      <c r="X564">
        <v>1.14</v>
      </c>
      <c r="Y564">
        <v>0.08995099999999999</v>
      </c>
      <c r="Z564">
        <v>0.9210977701543739</v>
      </c>
      <c r="AA564">
        <v>0.2702265372168285</v>
      </c>
      <c r="AB564">
        <v>0.02988691437802908</v>
      </c>
      <c r="AC564">
        <v>0.3731825525040388</v>
      </c>
      <c r="AD564">
        <v>0.2584814216478191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14.2</v>
      </c>
      <c r="D565">
        <v>1485.7886</v>
      </c>
      <c r="E565" t="s">
        <v>667</v>
      </c>
      <c r="F565" t="s">
        <v>630</v>
      </c>
      <c r="G565" t="s">
        <v>673</v>
      </c>
      <c r="H565" t="s">
        <v>703</v>
      </c>
      <c r="I565" t="s">
        <v>1257</v>
      </c>
      <c r="J565" t="s">
        <v>1309</v>
      </c>
      <c r="K565">
        <v>43754</v>
      </c>
      <c r="L565">
        <v>0.08873239436619701</v>
      </c>
      <c r="M565">
        <v>-0.02192661490818626</v>
      </c>
      <c r="N565">
        <v>-0.049</v>
      </c>
      <c r="O565">
        <v>0.02753299290886524</v>
      </c>
      <c r="P565" t="s">
        <v>382</v>
      </c>
      <c r="Q565" t="s">
        <v>494</v>
      </c>
      <c r="R565">
        <v>1</v>
      </c>
      <c r="S565">
        <v>1.575</v>
      </c>
      <c r="T565">
        <v>12.71</v>
      </c>
      <c r="U565">
        <v>1.117230527143981</v>
      </c>
      <c r="V565">
        <v>1.1329</v>
      </c>
      <c r="W565">
        <v>0.8</v>
      </c>
      <c r="X565">
        <v>1.26</v>
      </c>
      <c r="Y565">
        <v>0.316033</v>
      </c>
      <c r="Z565">
        <v>0.9313893653516295</v>
      </c>
      <c r="AA565">
        <v>0.6488673139158575</v>
      </c>
      <c r="AB565">
        <v>0.008077544426494346</v>
      </c>
      <c r="AC565">
        <v>0.5411954765751211</v>
      </c>
      <c r="AD565">
        <v>0.2390953150242326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80.40000000000001</v>
      </c>
      <c r="D566">
        <v>32622.9432</v>
      </c>
      <c r="E566" t="s">
        <v>662</v>
      </c>
      <c r="F566" t="s">
        <v>630</v>
      </c>
      <c r="G566" t="s">
        <v>673</v>
      </c>
      <c r="H566" t="s">
        <v>703</v>
      </c>
      <c r="I566" t="s">
        <v>1258</v>
      </c>
      <c r="J566" t="s">
        <v>1309</v>
      </c>
      <c r="K566">
        <v>43771</v>
      </c>
      <c r="L566">
        <v>0.04328358208955201</v>
      </c>
      <c r="M566">
        <v>-0.04460099413022767</v>
      </c>
      <c r="N566">
        <v>0.03</v>
      </c>
      <c r="O566">
        <v>0.02747921505546325</v>
      </c>
      <c r="P566" t="s">
        <v>382</v>
      </c>
      <c r="Q566" t="s">
        <v>405</v>
      </c>
      <c r="R566">
        <v>0</v>
      </c>
      <c r="S566">
        <v>0.8365384615384615</v>
      </c>
      <c r="T566">
        <v>64</v>
      </c>
      <c r="U566">
        <v>1.25625</v>
      </c>
      <c r="V566">
        <v>0.8401000000000001</v>
      </c>
      <c r="W566">
        <v>4.16</v>
      </c>
      <c r="X566">
        <v>3.48</v>
      </c>
      <c r="Y566">
        <v>0.141883</v>
      </c>
      <c r="Z566">
        <v>0.6981132075471699</v>
      </c>
      <c r="AA566">
        <v>0.3446601941747573</v>
      </c>
      <c r="AB566">
        <v>0.2003231017770598</v>
      </c>
      <c r="AC566">
        <v>0.3263327948303716</v>
      </c>
      <c r="AD566">
        <v>0.2374798061389337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22.07</v>
      </c>
      <c r="D567">
        <v>707.959385</v>
      </c>
      <c r="E567" t="s">
        <v>661</v>
      </c>
      <c r="F567" t="s">
        <v>630</v>
      </c>
      <c r="G567" t="s">
        <v>673</v>
      </c>
      <c r="H567" t="s">
        <v>704</v>
      </c>
      <c r="I567" t="s">
        <v>1250</v>
      </c>
      <c r="J567" t="s">
        <v>1309</v>
      </c>
      <c r="K567">
        <v>43739</v>
      </c>
      <c r="L567">
        <v>0.067965564114182</v>
      </c>
      <c r="M567">
        <v>-0.05086209541301323</v>
      </c>
      <c r="N567">
        <v>0</v>
      </c>
      <c r="O567">
        <v>0.02111051930084207</v>
      </c>
      <c r="P567" t="s">
        <v>382</v>
      </c>
      <c r="Q567" t="s">
        <v>494</v>
      </c>
      <c r="R567">
        <v>0</v>
      </c>
      <c r="S567">
        <v>0.9677419354838709</v>
      </c>
      <c r="T567">
        <v>17</v>
      </c>
      <c r="U567">
        <v>1.298235294117647</v>
      </c>
      <c r="V567">
        <v>0.0382</v>
      </c>
      <c r="W567">
        <v>1.55</v>
      </c>
      <c r="X567">
        <v>1.5</v>
      </c>
      <c r="Y567">
        <v>0.26985</v>
      </c>
      <c r="Z567">
        <v>0.8833619210977701</v>
      </c>
      <c r="AA567">
        <v>0.5889967637540453</v>
      </c>
      <c r="AB567">
        <v>0.02988691437802908</v>
      </c>
      <c r="AC567">
        <v>0.2810985460420032</v>
      </c>
      <c r="AD567">
        <v>0.1987075928917609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39.6</v>
      </c>
      <c r="D568">
        <v>577.3284</v>
      </c>
      <c r="E568" t="s">
        <v>669</v>
      </c>
      <c r="F568" t="s">
        <v>629</v>
      </c>
      <c r="G568" t="s">
        <v>673</v>
      </c>
      <c r="H568" t="s">
        <v>703</v>
      </c>
      <c r="J568" t="s">
        <v>1312</v>
      </c>
      <c r="K568">
        <v>43807</v>
      </c>
      <c r="L568">
        <v>0.086210858585858</v>
      </c>
      <c r="M568">
        <v>-0.07859171596405057</v>
      </c>
      <c r="N568">
        <v>0.008</v>
      </c>
      <c r="O568">
        <v>0.01923023248224176</v>
      </c>
      <c r="P568" t="s">
        <v>382</v>
      </c>
      <c r="Q568" t="s">
        <v>494</v>
      </c>
      <c r="R568">
        <v>0</v>
      </c>
      <c r="S568">
        <v>1.080363924050633</v>
      </c>
      <c r="T568">
        <v>26.3</v>
      </c>
      <c r="U568">
        <v>1.505703422053232</v>
      </c>
      <c r="V568">
        <v>3.3786</v>
      </c>
      <c r="W568">
        <v>3.16</v>
      </c>
      <c r="X568">
        <v>3.41395</v>
      </c>
      <c r="Y568">
        <v>0.2375</v>
      </c>
      <c r="Z568">
        <v>0.9262435677530018</v>
      </c>
      <c r="AA568">
        <v>0.5307443365695793</v>
      </c>
      <c r="AB568">
        <v>0.04523424878836834</v>
      </c>
      <c r="AC568">
        <v>0.1195476575121163</v>
      </c>
      <c r="AD568">
        <v>0.1906300484652666</v>
      </c>
    </row>
    <row r="569" spans="1:30">
      <c r="A569" s="1" t="s">
        <v>576</v>
      </c>
      <c r="B569">
        <f>HYPERLINK("https://www.suredividend.com/sure-analysis-ASML","ASML Holding NV")</f>
        <v>0</v>
      </c>
      <c r="C569">
        <v>293.59</v>
      </c>
      <c r="D569">
        <v>123332.367611</v>
      </c>
      <c r="E569" t="s">
        <v>661</v>
      </c>
      <c r="F569" t="s">
        <v>629</v>
      </c>
      <c r="G569" t="s">
        <v>699</v>
      </c>
      <c r="H569" t="s">
        <v>704</v>
      </c>
      <c r="I569" t="s">
        <v>1259</v>
      </c>
      <c r="J569" t="s">
        <v>1316</v>
      </c>
      <c r="K569">
        <v>43738</v>
      </c>
      <c r="L569">
        <v>0.010171702033448</v>
      </c>
      <c r="M569">
        <v>-0.1056374520199792</v>
      </c>
      <c r="N569">
        <v>0.12</v>
      </c>
      <c r="O569">
        <v>0.0136782236214692</v>
      </c>
      <c r="P569" t="s">
        <v>382</v>
      </c>
      <c r="Q569" t="s">
        <v>382</v>
      </c>
      <c r="R569">
        <v>4</v>
      </c>
      <c r="S569">
        <v>0.4457179104477612</v>
      </c>
      <c r="T569">
        <v>168</v>
      </c>
      <c r="U569">
        <v>1.747559523809524</v>
      </c>
      <c r="V569">
        <v>6.0125</v>
      </c>
      <c r="W569">
        <v>6.7</v>
      </c>
      <c r="X569">
        <v>2.98631</v>
      </c>
      <c r="Y569">
        <v>0.7892</v>
      </c>
      <c r="Z569">
        <v>0.07375643224699829</v>
      </c>
      <c r="AA569">
        <v>0.9660194174757281</v>
      </c>
      <c r="AB569">
        <v>0.9571890145395799</v>
      </c>
      <c r="AC569">
        <v>0.06138933764135703</v>
      </c>
      <c r="AD569">
        <v>0.1615508885298869</v>
      </c>
    </row>
    <row r="570" spans="1:30">
      <c r="A570" s="1" t="s">
        <v>577</v>
      </c>
      <c r="B570">
        <f>HYPERLINK("https://www.suredividend.com/sure-analysis-BX","The Blackstone Group, Inc.")</f>
        <v>0</v>
      </c>
      <c r="C570">
        <v>55.8</v>
      </c>
      <c r="D570">
        <v>65993.99263199999</v>
      </c>
      <c r="E570" t="s">
        <v>658</v>
      </c>
      <c r="F570" t="s">
        <v>629</v>
      </c>
      <c r="G570" t="s">
        <v>673</v>
      </c>
      <c r="H570" t="s">
        <v>703</v>
      </c>
      <c r="I570" t="s">
        <v>1260</v>
      </c>
      <c r="J570" t="s">
        <v>1309</v>
      </c>
      <c r="K570">
        <v>43761</v>
      </c>
      <c r="L570">
        <v>0.037096774193548</v>
      </c>
      <c r="M570">
        <v>-0.08906630003740079</v>
      </c>
      <c r="N570">
        <v>0.06</v>
      </c>
      <c r="O570">
        <v>0.01067465933345169</v>
      </c>
      <c r="P570" t="s">
        <v>382</v>
      </c>
      <c r="Q570" t="s">
        <v>405</v>
      </c>
      <c r="R570">
        <v>0</v>
      </c>
      <c r="S570">
        <v>0.7666666666666666</v>
      </c>
      <c r="T570">
        <v>35</v>
      </c>
      <c r="U570">
        <v>1.594285714285714</v>
      </c>
      <c r="V570">
        <v>2.3042</v>
      </c>
      <c r="W570">
        <v>2.7</v>
      </c>
      <c r="X570">
        <v>2.07</v>
      </c>
      <c r="Y570">
        <v>0.9572079999999999</v>
      </c>
      <c r="Z570">
        <v>0.6174957118353345</v>
      </c>
      <c r="AA570">
        <v>0.9838187702265373</v>
      </c>
      <c r="AB570">
        <v>0.6130856219709209</v>
      </c>
      <c r="AC570">
        <v>0.09369951534733442</v>
      </c>
      <c r="AD570">
        <v>0.148626817447496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48.25</v>
      </c>
      <c r="D571">
        <v>20190.070018</v>
      </c>
      <c r="E571" t="s">
        <v>661</v>
      </c>
      <c r="F571" t="s">
        <v>629</v>
      </c>
      <c r="G571" t="s">
        <v>673</v>
      </c>
      <c r="H571" t="s">
        <v>703</v>
      </c>
      <c r="I571" t="s">
        <v>1261</v>
      </c>
      <c r="J571" t="s">
        <v>1309</v>
      </c>
      <c r="K571">
        <v>43780</v>
      </c>
      <c r="L571">
        <v>0.041036269430051</v>
      </c>
      <c r="M571">
        <v>-0.0968078879841946</v>
      </c>
      <c r="N571">
        <v>0.06</v>
      </c>
      <c r="O571">
        <v>0.01045134062258857</v>
      </c>
      <c r="P571" t="s">
        <v>382</v>
      </c>
      <c r="Q571" t="s">
        <v>405</v>
      </c>
      <c r="R571">
        <v>1</v>
      </c>
      <c r="S571">
        <v>0.7615384615384615</v>
      </c>
      <c r="T571">
        <v>29</v>
      </c>
      <c r="U571">
        <v>1.663793103448276</v>
      </c>
      <c r="V571">
        <v>2.052</v>
      </c>
      <c r="W571">
        <v>2.6</v>
      </c>
      <c r="X571">
        <v>1.98</v>
      </c>
      <c r="Y571">
        <v>1.031579</v>
      </c>
      <c r="Z571">
        <v>0.6689536878216125</v>
      </c>
      <c r="AA571">
        <v>0.9870550161812298</v>
      </c>
      <c r="AB571">
        <v>0.6130856219709209</v>
      </c>
      <c r="AC571">
        <v>0.07269789983844911</v>
      </c>
      <c r="AD571">
        <v>0.1470113085621971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12.8</v>
      </c>
      <c r="D572">
        <v>267.9936</v>
      </c>
      <c r="E572" t="s">
        <v>661</v>
      </c>
      <c r="F572" t="s">
        <v>630</v>
      </c>
      <c r="G572" t="s">
        <v>673</v>
      </c>
      <c r="H572" t="s">
        <v>704</v>
      </c>
      <c r="I572" t="s">
        <v>1250</v>
      </c>
      <c r="J572" t="s">
        <v>1309</v>
      </c>
      <c r="K572">
        <v>43739</v>
      </c>
      <c r="L572">
        <v>0.04169531249999901</v>
      </c>
      <c r="M572">
        <v>-0.06802018170216217</v>
      </c>
      <c r="N572">
        <v>0.03</v>
      </c>
      <c r="O572">
        <v>0.00530544175982528</v>
      </c>
      <c r="P572" t="s">
        <v>382</v>
      </c>
      <c r="Q572" t="s">
        <v>382</v>
      </c>
      <c r="R572">
        <v>4</v>
      </c>
      <c r="S572">
        <v>1.111875</v>
      </c>
      <c r="T572">
        <v>9</v>
      </c>
      <c r="U572">
        <v>1.422222222222222</v>
      </c>
      <c r="V572">
        <v>-0.1762</v>
      </c>
      <c r="W572">
        <v>0.48</v>
      </c>
      <c r="X572">
        <v>0.5337000000000001</v>
      </c>
      <c r="Y572">
        <v>0.081081</v>
      </c>
      <c r="Z572">
        <v>0.6809605488850772</v>
      </c>
      <c r="AA572">
        <v>0.2588996763754046</v>
      </c>
      <c r="AB572">
        <v>0.2003231017770598</v>
      </c>
      <c r="AC572">
        <v>0.1663974151857835</v>
      </c>
      <c r="AD572">
        <v>0.1243941841680129</v>
      </c>
    </row>
    <row r="573" spans="1:30">
      <c r="A573" s="1" t="s">
        <v>580</v>
      </c>
      <c r="B573">
        <f>HYPERLINK("https://www.suredividend.com/sure-analysis-ABR","Arbor Realty Trust, Inc.")</f>
        <v>0</v>
      </c>
      <c r="C573">
        <v>14.61</v>
      </c>
      <c r="D573">
        <v>1428.15672</v>
      </c>
      <c r="E573" t="s">
        <v>667</v>
      </c>
      <c r="F573" t="s">
        <v>630</v>
      </c>
      <c r="G573" t="s">
        <v>673</v>
      </c>
      <c r="H573" t="s">
        <v>703</v>
      </c>
      <c r="I573" t="s">
        <v>1262</v>
      </c>
      <c r="J573" t="s">
        <v>1309</v>
      </c>
      <c r="K573">
        <v>43754</v>
      </c>
      <c r="L573">
        <v>0.07597535934291501</v>
      </c>
      <c r="M573">
        <v>-0.08442162291465571</v>
      </c>
      <c r="N573">
        <v>0</v>
      </c>
      <c r="O573">
        <v>-0.004280151629145523</v>
      </c>
      <c r="P573" t="s">
        <v>382</v>
      </c>
      <c r="Q573" t="s">
        <v>494</v>
      </c>
      <c r="R573">
        <v>7</v>
      </c>
      <c r="S573">
        <v>0.9173553719008265</v>
      </c>
      <c r="T573">
        <v>9.4</v>
      </c>
      <c r="U573">
        <v>1.554255319148936</v>
      </c>
      <c r="V573">
        <v>1.4224</v>
      </c>
      <c r="W573">
        <v>1.21</v>
      </c>
      <c r="X573">
        <v>1.11</v>
      </c>
      <c r="Y573">
        <v>0.466867</v>
      </c>
      <c r="Z573">
        <v>0.9022298456260721</v>
      </c>
      <c r="AA573">
        <v>0.8446601941747574</v>
      </c>
      <c r="AB573">
        <v>0.02988691437802908</v>
      </c>
      <c r="AC573">
        <v>0.1033925686591276</v>
      </c>
      <c r="AD573">
        <v>0.09369951534733442</v>
      </c>
    </row>
    <row r="574" spans="1:30">
      <c r="A574" s="1" t="s">
        <v>581</v>
      </c>
      <c r="B574">
        <f>HYPERLINK("https://www.suredividend.com/sure-analysis-TSM","Taiwan Semiconductor Manufacturing Co., Ltd.")</f>
        <v>0</v>
      </c>
      <c r="C574">
        <v>57.93</v>
      </c>
      <c r="D574">
        <v>300429.6144</v>
      </c>
      <c r="E574" t="s">
        <v>659</v>
      </c>
      <c r="F574" t="s">
        <v>629</v>
      </c>
      <c r="G574" t="s">
        <v>700</v>
      </c>
      <c r="H574" t="s">
        <v>703</v>
      </c>
      <c r="I574" t="s">
        <v>1263</v>
      </c>
      <c r="J574" t="s">
        <v>1308</v>
      </c>
      <c r="K574">
        <v>43755</v>
      </c>
      <c r="L574">
        <v>0.033031779734161</v>
      </c>
      <c r="M574">
        <v>-0.1233150618410975</v>
      </c>
      <c r="N574">
        <v>0.1</v>
      </c>
      <c r="O574">
        <v>-0.005256855076768541</v>
      </c>
      <c r="P574" t="s">
        <v>382</v>
      </c>
      <c r="Q574" t="s">
        <v>382</v>
      </c>
      <c r="R574">
        <v>4</v>
      </c>
      <c r="S574">
        <v>0.911205238095238</v>
      </c>
      <c r="T574">
        <v>30</v>
      </c>
      <c r="U574">
        <v>1.931</v>
      </c>
      <c r="V574">
        <v>2.0471</v>
      </c>
      <c r="W574">
        <v>2.1</v>
      </c>
      <c r="X574">
        <v>1.913531</v>
      </c>
      <c r="Y574">
        <v>0.5518000000000001</v>
      </c>
      <c r="Z574">
        <v>0.5608919382504288</v>
      </c>
      <c r="AA574">
        <v>0.9045307443365695</v>
      </c>
      <c r="AB574">
        <v>0.931340872374798</v>
      </c>
      <c r="AC574">
        <v>0.04038772213247173</v>
      </c>
      <c r="AD574">
        <v>0.09046849757673668</v>
      </c>
    </row>
    <row r="575" spans="1:30">
      <c r="A575" s="1" t="s">
        <v>582</v>
      </c>
      <c r="B575">
        <f>HYPERLINK("https://www.suredividend.com/sure-analysis-SJT","San Juan Basin Royalty Trust")</f>
        <v>0</v>
      </c>
      <c r="C575">
        <v>2.54</v>
      </c>
      <c r="D575">
        <v>118.38686</v>
      </c>
      <c r="E575" t="s">
        <v>669</v>
      </c>
      <c r="F575" t="s">
        <v>629</v>
      </c>
      <c r="G575" t="s">
        <v>673</v>
      </c>
      <c r="H575" t="s">
        <v>703</v>
      </c>
      <c r="J575" t="s">
        <v>1327</v>
      </c>
      <c r="K575">
        <v>43718</v>
      </c>
      <c r="L575">
        <v>0.07716535433070801</v>
      </c>
      <c r="M575">
        <v>-0.1651648975738208</v>
      </c>
      <c r="N575">
        <v>0.175</v>
      </c>
      <c r="O575">
        <v>-0.01906875464923941</v>
      </c>
      <c r="P575" t="s">
        <v>382</v>
      </c>
      <c r="Q575" t="s">
        <v>405</v>
      </c>
      <c r="R575">
        <v>0</v>
      </c>
      <c r="S575">
        <v>1.146198830409357</v>
      </c>
      <c r="T575">
        <v>1.03</v>
      </c>
      <c r="U575">
        <v>2.466019417475728</v>
      </c>
      <c r="V575">
        <v>0.3089</v>
      </c>
      <c r="W575">
        <v>0.171</v>
      </c>
      <c r="X575">
        <v>0.196</v>
      </c>
      <c r="Y575">
        <v>-0.492</v>
      </c>
      <c r="Z575">
        <v>0.9073756432246998</v>
      </c>
      <c r="AA575">
        <v>0.006472491909385113</v>
      </c>
      <c r="AB575">
        <v>0.9838449111470113</v>
      </c>
      <c r="AC575">
        <v>0.01615508885298869</v>
      </c>
      <c r="AD575">
        <v>0.05815831987075928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28.12</v>
      </c>
      <c r="D576">
        <v>29914.957471</v>
      </c>
      <c r="E576" t="s">
        <v>663</v>
      </c>
      <c r="F576" t="s">
        <v>629</v>
      </c>
      <c r="G576" t="s">
        <v>679</v>
      </c>
      <c r="H576" t="s">
        <v>703</v>
      </c>
      <c r="I576" t="s">
        <v>1264</v>
      </c>
      <c r="J576" t="s">
        <v>1308</v>
      </c>
      <c r="K576">
        <v>43766</v>
      </c>
      <c r="L576">
        <v>0.05243598862019901</v>
      </c>
      <c r="M576">
        <v>-0.1181084354037524</v>
      </c>
      <c r="N576">
        <v>0.04</v>
      </c>
      <c r="O576">
        <v>-0.02880702513660449</v>
      </c>
      <c r="P576" t="s">
        <v>382</v>
      </c>
      <c r="Q576" t="s">
        <v>405</v>
      </c>
      <c r="R576">
        <v>1</v>
      </c>
      <c r="S576">
        <v>1.271120689655172</v>
      </c>
      <c r="T576">
        <v>15</v>
      </c>
      <c r="U576">
        <v>1.874666666666667</v>
      </c>
      <c r="V576">
        <v>1.3774</v>
      </c>
      <c r="W576">
        <v>1.16</v>
      </c>
      <c r="X576">
        <v>1.4745</v>
      </c>
      <c r="Y576">
        <v>0.0119</v>
      </c>
      <c r="Z576">
        <v>0.7924528301886792</v>
      </c>
      <c r="AA576">
        <v>0.1828478964401295</v>
      </c>
      <c r="AB576">
        <v>0.3182552504038772</v>
      </c>
      <c r="AC576">
        <v>0.04361873990306947</v>
      </c>
      <c r="AD576">
        <v>0.0420032310177706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50.46</v>
      </c>
      <c r="D577">
        <v>132396.948</v>
      </c>
      <c r="E577" t="s">
        <v>660</v>
      </c>
      <c r="F577" t="s">
        <v>629</v>
      </c>
      <c r="G577" t="s">
        <v>677</v>
      </c>
      <c r="H577" t="s">
        <v>703</v>
      </c>
      <c r="I577" t="s">
        <v>1265</v>
      </c>
      <c r="J577" t="s">
        <v>1315</v>
      </c>
      <c r="K577">
        <v>43762</v>
      </c>
      <c r="L577">
        <v>0.027150217994451</v>
      </c>
      <c r="M577">
        <v>-0.1175638247400567</v>
      </c>
      <c r="N577">
        <v>0.04</v>
      </c>
      <c r="O577">
        <v>-0.04611634774417228</v>
      </c>
      <c r="P577" t="s">
        <v>382</v>
      </c>
      <c r="Q577" t="s">
        <v>382</v>
      </c>
      <c r="R577">
        <v>0</v>
      </c>
      <c r="S577">
        <v>0.7696629213483147</v>
      </c>
      <c r="T577">
        <v>27</v>
      </c>
      <c r="U577">
        <v>1.868888888888889</v>
      </c>
      <c r="V577">
        <v>0.8037000000000001</v>
      </c>
      <c r="W577">
        <v>1.78</v>
      </c>
      <c r="X577">
        <v>1.37</v>
      </c>
      <c r="Y577">
        <v>0.2859</v>
      </c>
      <c r="Z577">
        <v>0.4528301886792452</v>
      </c>
      <c r="AA577">
        <v>0.6132686084142395</v>
      </c>
      <c r="AB577">
        <v>0.3182552504038772</v>
      </c>
      <c r="AC577">
        <v>0.04523424878836834</v>
      </c>
      <c r="AD577">
        <v>0.03069466882067852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61.11</v>
      </c>
      <c r="D578">
        <v>18174.41955</v>
      </c>
      <c r="E578" t="s">
        <v>663</v>
      </c>
      <c r="F578" t="s">
        <v>629</v>
      </c>
      <c r="G578" t="s">
        <v>673</v>
      </c>
      <c r="H578" t="s">
        <v>704</v>
      </c>
      <c r="I578" t="s">
        <v>1266</v>
      </c>
      <c r="J578" t="s">
        <v>1308</v>
      </c>
      <c r="K578">
        <v>43768</v>
      </c>
      <c r="L578">
        <v>0.032727867779414</v>
      </c>
      <c r="M578">
        <v>-0.1507211748100373</v>
      </c>
      <c r="N578">
        <v>0.065</v>
      </c>
      <c r="O578">
        <v>-0.0511819076113984</v>
      </c>
      <c r="P578" t="s">
        <v>382</v>
      </c>
      <c r="Q578" t="s">
        <v>382</v>
      </c>
      <c r="R578">
        <v>0</v>
      </c>
      <c r="S578">
        <v>0.7142857142857143</v>
      </c>
      <c r="T578">
        <v>27</v>
      </c>
      <c r="U578">
        <v>2.263333333333333</v>
      </c>
      <c r="V578">
        <v>-5.2715</v>
      </c>
      <c r="W578">
        <v>2.8</v>
      </c>
      <c r="X578">
        <v>2</v>
      </c>
      <c r="Y578">
        <v>0.702228</v>
      </c>
      <c r="Z578">
        <v>0.5540308747855918</v>
      </c>
      <c r="AA578">
        <v>0.9546925566343042</v>
      </c>
      <c r="AB578">
        <v>0.6825525040387723</v>
      </c>
      <c r="AC578">
        <v>0.02746365105008078</v>
      </c>
      <c r="AD578">
        <v>0.02907915993537964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71.95</v>
      </c>
      <c r="D579">
        <v>35971.9781</v>
      </c>
      <c r="E579" t="s">
        <v>665</v>
      </c>
      <c r="F579" t="s">
        <v>629</v>
      </c>
      <c r="G579" t="s">
        <v>675</v>
      </c>
      <c r="H579" t="s">
        <v>703</v>
      </c>
      <c r="I579" t="s">
        <v>1267</v>
      </c>
      <c r="J579" t="s">
        <v>1319</v>
      </c>
      <c r="K579">
        <v>43784</v>
      </c>
      <c r="L579">
        <v>0.0204706467714</v>
      </c>
      <c r="M579">
        <v>-0.1905652558828781</v>
      </c>
      <c r="N579">
        <v>0.08</v>
      </c>
      <c r="O579">
        <v>-0.09224497504342821</v>
      </c>
      <c r="P579" t="s">
        <v>382</v>
      </c>
      <c r="Q579" t="s">
        <v>382</v>
      </c>
      <c r="R579">
        <v>10</v>
      </c>
      <c r="S579">
        <v>1.17829042816184</v>
      </c>
      <c r="T579">
        <v>25</v>
      </c>
      <c r="U579">
        <v>2.878</v>
      </c>
      <c r="V579">
        <v>0.4746</v>
      </c>
      <c r="W579">
        <v>1.25</v>
      </c>
      <c r="X579">
        <v>1.4728630352023</v>
      </c>
      <c r="Y579">
        <v>0.5208200000000001</v>
      </c>
      <c r="Z579">
        <v>0.3173241852487136</v>
      </c>
      <c r="AA579">
        <v>0.8867313915857605</v>
      </c>
      <c r="AB579">
        <v>0.8182552504038771</v>
      </c>
      <c r="AC579">
        <v>0.009693053311793215</v>
      </c>
      <c r="AD579">
        <v>0.01130856219709209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5.99</v>
      </c>
      <c r="D580">
        <v>394.874577</v>
      </c>
      <c r="E580" t="s">
        <v>661</v>
      </c>
      <c r="F580" t="s">
        <v>629</v>
      </c>
      <c r="G580" t="s">
        <v>673</v>
      </c>
      <c r="H580" t="s">
        <v>703</v>
      </c>
      <c r="I580" t="s">
        <v>1268</v>
      </c>
      <c r="J580" t="s">
        <v>1310</v>
      </c>
      <c r="K580">
        <v>43818</v>
      </c>
      <c r="L580">
        <v>0.06343906510851401</v>
      </c>
      <c r="M580">
        <v>-0.2749785012121825</v>
      </c>
      <c r="N580">
        <v>0.2</v>
      </c>
      <c r="O580">
        <v>-0.129974201454619</v>
      </c>
      <c r="P580" t="s">
        <v>382</v>
      </c>
      <c r="Q580" t="s">
        <v>405</v>
      </c>
      <c r="R580">
        <v>0</v>
      </c>
      <c r="S580">
        <v>2.533333333333334</v>
      </c>
      <c r="T580">
        <v>1.2</v>
      </c>
      <c r="U580">
        <v>4.991666666666667</v>
      </c>
      <c r="V580">
        <v>-7.5631</v>
      </c>
      <c r="W580">
        <v>0.15</v>
      </c>
      <c r="X580">
        <v>0.38</v>
      </c>
      <c r="Y580">
        <v>-0.499164</v>
      </c>
      <c r="Z580">
        <v>0.8610634648370497</v>
      </c>
      <c r="AA580">
        <v>0.004854368932038835</v>
      </c>
      <c r="AB580">
        <v>0.9870759289176091</v>
      </c>
      <c r="AC580">
        <v>0.004846526655896607</v>
      </c>
      <c r="AD580">
        <v>0.006462035541195477</v>
      </c>
    </row>
    <row r="581" spans="1:30">
      <c r="A581" s="1" t="s">
        <v>588</v>
      </c>
      <c r="B581">
        <f>HYPERLINK("https://www.suredividend.com/sure-analysis-TKGBY","Turkiye Garanti Bankasi AS")</f>
        <v>0</v>
      </c>
      <c r="C581">
        <v>1.74</v>
      </c>
      <c r="D581">
        <v>7308</v>
      </c>
      <c r="E581" t="s">
        <v>671</v>
      </c>
      <c r="F581" t="s">
        <v>629</v>
      </c>
      <c r="G581" t="s">
        <v>701</v>
      </c>
      <c r="H581" t="s">
        <v>705</v>
      </c>
      <c r="I581" t="s">
        <v>1269</v>
      </c>
      <c r="J581" t="s">
        <v>1309</v>
      </c>
      <c r="K581">
        <v>43779</v>
      </c>
      <c r="M581">
        <v>0.495129535408056</v>
      </c>
      <c r="N581">
        <v>0.04</v>
      </c>
      <c r="O581">
        <v>0.5549347168243781</v>
      </c>
      <c r="P581" t="s">
        <v>635</v>
      </c>
      <c r="Q581" t="s">
        <v>635</v>
      </c>
      <c r="R581">
        <v>0</v>
      </c>
      <c r="T581">
        <v>13</v>
      </c>
      <c r="U581">
        <v>0.1338461538461538</v>
      </c>
      <c r="V581">
        <v>0.2564</v>
      </c>
      <c r="W581">
        <v>2</v>
      </c>
      <c r="Y581">
        <v>0.2083</v>
      </c>
      <c r="AA581">
        <v>0.4773462783171521</v>
      </c>
      <c r="AB581">
        <v>0.3182552504038772</v>
      </c>
      <c r="AC581">
        <v>1</v>
      </c>
      <c r="AD581">
        <v>1</v>
      </c>
    </row>
    <row r="582" spans="1:30">
      <c r="A582" s="1" t="s">
        <v>589</v>
      </c>
      <c r="B582">
        <f>HYPERLINK("https://www.suredividend.com/sure-analysis-ACB","Aurora Cannabis, Inc.")</f>
        <v>0</v>
      </c>
      <c r="C582">
        <v>2.25</v>
      </c>
      <c r="D582">
        <v>2363.715</v>
      </c>
      <c r="E582" t="s">
        <v>663</v>
      </c>
      <c r="F582" t="s">
        <v>629</v>
      </c>
      <c r="G582" t="s">
        <v>675</v>
      </c>
      <c r="H582" t="s">
        <v>703</v>
      </c>
      <c r="I582" t="s">
        <v>1270</v>
      </c>
      <c r="J582" t="s">
        <v>1314</v>
      </c>
      <c r="K582">
        <v>43730</v>
      </c>
      <c r="M582">
        <v>-0.07789208851827223</v>
      </c>
      <c r="N582">
        <v>0.404</v>
      </c>
      <c r="O582">
        <v>0.2946395077203459</v>
      </c>
      <c r="P582" t="s">
        <v>635</v>
      </c>
      <c r="Q582" t="s">
        <v>635</v>
      </c>
      <c r="R582">
        <v>0</v>
      </c>
      <c r="T582">
        <v>1.5</v>
      </c>
      <c r="U582">
        <v>1.5</v>
      </c>
      <c r="V582">
        <v>-0.2952</v>
      </c>
      <c r="W582">
        <v>0</v>
      </c>
      <c r="Y582">
        <v>-0.538934</v>
      </c>
      <c r="AA582">
        <v>0.003236245954692556</v>
      </c>
      <c r="AB582">
        <v>0.9983844911147011</v>
      </c>
      <c r="AC582">
        <v>0.1243941841680129</v>
      </c>
      <c r="AD582">
        <v>0.9967689822294022</v>
      </c>
    </row>
    <row r="583" spans="1:30">
      <c r="A583" s="1" t="s">
        <v>590</v>
      </c>
      <c r="B583">
        <f>HYPERLINK("https://www.suredividend.com/sure-analysis-TEVA","Teva Pharmaceutical Industries Ltd.")</f>
        <v>0</v>
      </c>
      <c r="C583">
        <v>10.12</v>
      </c>
      <c r="D583">
        <v>11051.9508</v>
      </c>
      <c r="E583" t="s">
        <v>657</v>
      </c>
      <c r="F583" t="s">
        <v>629</v>
      </c>
      <c r="G583" t="s">
        <v>702</v>
      </c>
      <c r="H583" t="s">
        <v>703</v>
      </c>
      <c r="I583" t="s">
        <v>1271</v>
      </c>
      <c r="J583" t="s">
        <v>1315</v>
      </c>
      <c r="K583">
        <v>43717</v>
      </c>
      <c r="M583">
        <v>0.1571982186689969</v>
      </c>
      <c r="N583">
        <v>0.04</v>
      </c>
      <c r="O583">
        <v>0.2034861474157568</v>
      </c>
      <c r="P583" t="s">
        <v>635</v>
      </c>
      <c r="Q583" t="s">
        <v>635</v>
      </c>
      <c r="R583">
        <v>0</v>
      </c>
      <c r="T583">
        <v>21</v>
      </c>
      <c r="U583">
        <v>0.4819047619047619</v>
      </c>
      <c r="V583">
        <v>-3.8487</v>
      </c>
      <c r="W583">
        <v>2.35</v>
      </c>
      <c r="Y583">
        <v>-0.4679</v>
      </c>
      <c r="AA583">
        <v>0.008090614886731393</v>
      </c>
      <c r="AB583">
        <v>0.3182552504038772</v>
      </c>
      <c r="AC583">
        <v>0.9967689822294022</v>
      </c>
      <c r="AD583">
        <v>0.9870759289176091</v>
      </c>
    </row>
    <row r="584" spans="1:30">
      <c r="A584" s="1" t="s">
        <v>591</v>
      </c>
      <c r="B584">
        <f>HYPERLINK("https://www.suredividend.com/sure-analysis-DLPH","Delphi Technologies Plc")</f>
        <v>0</v>
      </c>
      <c r="C584">
        <v>12.7</v>
      </c>
      <c r="D584">
        <v>1093.1144</v>
      </c>
      <c r="E584" t="s">
        <v>663</v>
      </c>
      <c r="F584" t="s">
        <v>629</v>
      </c>
      <c r="G584" t="s">
        <v>677</v>
      </c>
      <c r="H584" t="s">
        <v>703</v>
      </c>
      <c r="I584" t="s">
        <v>1272</v>
      </c>
      <c r="J584" t="s">
        <v>1316</v>
      </c>
      <c r="K584">
        <v>43721</v>
      </c>
      <c r="M584">
        <v>0.07224432617354637</v>
      </c>
      <c r="N584">
        <v>0.04</v>
      </c>
      <c r="O584">
        <v>0.1477901923207978</v>
      </c>
      <c r="P584" t="s">
        <v>635</v>
      </c>
      <c r="Q584" t="s">
        <v>635</v>
      </c>
      <c r="R584">
        <v>1</v>
      </c>
      <c r="T584">
        <v>18</v>
      </c>
      <c r="U584">
        <v>0.7055555555555555</v>
      </c>
      <c r="V584">
        <v>2.1752</v>
      </c>
      <c r="W584">
        <v>3.1</v>
      </c>
      <c r="Y584">
        <v>-0.078374</v>
      </c>
      <c r="AA584">
        <v>0.09223300970873786</v>
      </c>
      <c r="AB584">
        <v>0.3182552504038772</v>
      </c>
      <c r="AC584">
        <v>0.9870759289176091</v>
      </c>
      <c r="AD584">
        <v>0.9676898222940226</v>
      </c>
    </row>
    <row r="585" spans="1:30">
      <c r="A585" s="1" t="s">
        <v>592</v>
      </c>
      <c r="B585">
        <f>HYPERLINK("https://www.suredividend.com/sure-analysis-CELG","Celgene Corp.")</f>
        <v>0</v>
      </c>
      <c r="C585">
        <v>108.24</v>
      </c>
      <c r="D585">
        <v>77001.936</v>
      </c>
      <c r="E585" t="s">
        <v>657</v>
      </c>
      <c r="F585" t="s">
        <v>629</v>
      </c>
      <c r="G585" t="s">
        <v>673</v>
      </c>
      <c r="H585" t="s">
        <v>704</v>
      </c>
      <c r="J585" t="s">
        <v>1315</v>
      </c>
      <c r="K585">
        <v>43731</v>
      </c>
      <c r="M585">
        <v>0.01218992775146499</v>
      </c>
      <c r="N585">
        <v>0.1</v>
      </c>
      <c r="O585">
        <v>0.1134089205266118</v>
      </c>
      <c r="P585" t="s">
        <v>635</v>
      </c>
      <c r="Q585" t="s">
        <v>635</v>
      </c>
      <c r="R585">
        <v>0</v>
      </c>
      <c r="T585">
        <v>115</v>
      </c>
      <c r="U585">
        <v>0.9412173913043478</v>
      </c>
      <c r="V585">
        <v>8.340299999999999</v>
      </c>
      <c r="W585">
        <v>6.06</v>
      </c>
      <c r="Y585">
        <v>0</v>
      </c>
      <c r="AA585">
        <v>0.1682847896440129</v>
      </c>
      <c r="AB585">
        <v>0.931340872374798</v>
      </c>
      <c r="AC585">
        <v>0.8061389337641357</v>
      </c>
      <c r="AD585">
        <v>0.8901453957996769</v>
      </c>
    </row>
    <row r="586" spans="1:30">
      <c r="A586" s="1" t="s">
        <v>593</v>
      </c>
      <c r="B586">
        <f>HYPERLINK("https://www.suredividend.com/sure-analysis-CRM","salesforce.com, inc.")</f>
        <v>0</v>
      </c>
      <c r="C586">
        <v>164.55</v>
      </c>
      <c r="D586">
        <v>128164.3749</v>
      </c>
      <c r="E586" t="s">
        <v>672</v>
      </c>
      <c r="F586" t="s">
        <v>629</v>
      </c>
      <c r="G586" t="s">
        <v>673</v>
      </c>
      <c r="H586" t="s">
        <v>703</v>
      </c>
      <c r="I586" t="s">
        <v>1273</v>
      </c>
      <c r="J586" t="s">
        <v>1320</v>
      </c>
      <c r="K586">
        <v>43723</v>
      </c>
      <c r="M586">
        <v>-0.08593246891714634</v>
      </c>
      <c r="N586">
        <v>0.216</v>
      </c>
      <c r="O586">
        <v>0.11150611779675</v>
      </c>
      <c r="P586" t="s">
        <v>635</v>
      </c>
      <c r="Q586" t="s">
        <v>635</v>
      </c>
      <c r="R586">
        <v>0</v>
      </c>
      <c r="T586">
        <v>105</v>
      </c>
      <c r="U586">
        <v>1.567142857142857</v>
      </c>
      <c r="V586">
        <v>0.9717</v>
      </c>
      <c r="W586">
        <v>21.04</v>
      </c>
      <c r="Y586">
        <v>0.338784</v>
      </c>
      <c r="AA586">
        <v>0.6747572815533981</v>
      </c>
      <c r="AB586">
        <v>0.9903069466882067</v>
      </c>
      <c r="AC586">
        <v>0.1001615508885299</v>
      </c>
      <c r="AD586">
        <v>0.8756058158319872</v>
      </c>
    </row>
    <row r="587" spans="1:30">
      <c r="A587" s="1" t="s">
        <v>594</v>
      </c>
      <c r="B587">
        <f>HYPERLINK("https://www.suredividend.com/sure-analysis-ADBE","Adobe, Inc.")</f>
        <v>0</v>
      </c>
      <c r="C587">
        <v>327.61</v>
      </c>
      <c r="D587">
        <v>158589.12119</v>
      </c>
      <c r="E587" t="s">
        <v>664</v>
      </c>
      <c r="F587" t="s">
        <v>629</v>
      </c>
      <c r="G587" t="s">
        <v>673</v>
      </c>
      <c r="H587" t="s">
        <v>704</v>
      </c>
      <c r="I587" t="s">
        <v>1274</v>
      </c>
      <c r="J587" t="s">
        <v>1320</v>
      </c>
      <c r="K587">
        <v>43818</v>
      </c>
      <c r="M587">
        <v>-0.07487766756610614</v>
      </c>
      <c r="N587">
        <v>0.2</v>
      </c>
      <c r="O587">
        <v>0.1101467989206726</v>
      </c>
      <c r="P587" t="s">
        <v>635</v>
      </c>
      <c r="Q587" t="s">
        <v>635</v>
      </c>
      <c r="R587">
        <v>0</v>
      </c>
      <c r="T587">
        <v>222</v>
      </c>
      <c r="U587">
        <v>1.475720720720721</v>
      </c>
      <c r="V587">
        <v>6.0727</v>
      </c>
      <c r="W587">
        <v>7.4</v>
      </c>
      <c r="Y587">
        <v>0.569013</v>
      </c>
      <c r="AA587">
        <v>0.9174757281553398</v>
      </c>
      <c r="AB587">
        <v>0.9870759289176091</v>
      </c>
      <c r="AC587">
        <v>0.1389337641357027</v>
      </c>
      <c r="AD587">
        <v>0.8691437802907916</v>
      </c>
    </row>
    <row r="588" spans="1:30">
      <c r="A588" s="1" t="s">
        <v>595</v>
      </c>
      <c r="B588">
        <f>HYPERLINK("https://www.suredividend.com/sure-analysis-NCLH","Norwegian Cruise Line Holdings Ltd.")</f>
        <v>0</v>
      </c>
      <c r="C588">
        <v>57.56</v>
      </c>
      <c r="D588">
        <v>12246.35048</v>
      </c>
      <c r="E588" t="s">
        <v>661</v>
      </c>
      <c r="F588" t="s">
        <v>629</v>
      </c>
      <c r="G588" t="s">
        <v>673</v>
      </c>
      <c r="H588" t="s">
        <v>703</v>
      </c>
      <c r="I588" t="s">
        <v>1275</v>
      </c>
      <c r="J588" t="s">
        <v>1324</v>
      </c>
      <c r="K588">
        <v>43784</v>
      </c>
      <c r="M588">
        <v>0.02460982089168318</v>
      </c>
      <c r="N588">
        <v>0.08</v>
      </c>
      <c r="O588">
        <v>0.1065786065630179</v>
      </c>
      <c r="P588" t="s">
        <v>635</v>
      </c>
      <c r="Q588" t="s">
        <v>635</v>
      </c>
      <c r="R588">
        <v>0</v>
      </c>
      <c r="T588">
        <v>65</v>
      </c>
      <c r="U588">
        <v>0.8855384615384616</v>
      </c>
      <c r="V588">
        <v>4.4535</v>
      </c>
      <c r="W588">
        <v>5</v>
      </c>
      <c r="Y588">
        <v>0.4111300000000001</v>
      </c>
      <c r="AA588">
        <v>0.7783171521035598</v>
      </c>
      <c r="AB588">
        <v>0.8182552504038771</v>
      </c>
      <c r="AC588">
        <v>0.8933764135702746</v>
      </c>
      <c r="AD588">
        <v>0.8497576736672052</v>
      </c>
    </row>
    <row r="589" spans="1:30">
      <c r="A589" s="1" t="s">
        <v>596</v>
      </c>
      <c r="B589">
        <f>HYPERLINK("https://www.suredividend.com/sure-analysis-UAL","United Airlines Holdings, Inc.")</f>
        <v>0</v>
      </c>
      <c r="C589">
        <v>89.28</v>
      </c>
      <c r="D589">
        <v>22591.76832</v>
      </c>
      <c r="E589" t="s">
        <v>663</v>
      </c>
      <c r="F589" t="s">
        <v>629</v>
      </c>
      <c r="G589" t="s">
        <v>673</v>
      </c>
      <c r="H589" t="s">
        <v>704</v>
      </c>
      <c r="I589" t="s">
        <v>1276</v>
      </c>
      <c r="J589" t="s">
        <v>1313</v>
      </c>
      <c r="K589">
        <v>43757</v>
      </c>
      <c r="M589">
        <v>0.02293765056316666</v>
      </c>
      <c r="N589">
        <v>0.08</v>
      </c>
      <c r="O589">
        <v>0.1047726626082199</v>
      </c>
      <c r="P589" t="s">
        <v>635</v>
      </c>
      <c r="Q589" t="s">
        <v>635</v>
      </c>
      <c r="R589">
        <v>0</v>
      </c>
      <c r="T589">
        <v>100</v>
      </c>
      <c r="U589">
        <v>0.8928</v>
      </c>
      <c r="V589">
        <v>10.841</v>
      </c>
      <c r="W589">
        <v>11.75</v>
      </c>
      <c r="Y589">
        <v>0.09586399999999999</v>
      </c>
      <c r="AA589">
        <v>0.2799352750809062</v>
      </c>
      <c r="AB589">
        <v>0.8182552504038771</v>
      </c>
      <c r="AC589">
        <v>0.8836833602584814</v>
      </c>
      <c r="AD589">
        <v>0.838449111470113</v>
      </c>
    </row>
    <row r="590" spans="1:30">
      <c r="A590" s="1" t="s">
        <v>597</v>
      </c>
      <c r="B590">
        <f>HYPERLINK("https://www.suredividend.com/sure-analysis-MU","Micron Technology, Inc.")</f>
        <v>0</v>
      </c>
      <c r="C590">
        <v>55.06</v>
      </c>
      <c r="D590">
        <v>61017.492</v>
      </c>
      <c r="E590" t="s">
        <v>666</v>
      </c>
      <c r="F590" t="s">
        <v>629</v>
      </c>
      <c r="G590" t="s">
        <v>673</v>
      </c>
      <c r="H590" t="s">
        <v>704</v>
      </c>
      <c r="I590" t="s">
        <v>1277</v>
      </c>
      <c r="J590" t="s">
        <v>1308</v>
      </c>
      <c r="K590">
        <v>43737</v>
      </c>
      <c r="M590">
        <v>-0.04385602246973452</v>
      </c>
      <c r="N590">
        <v>0.15</v>
      </c>
      <c r="O590">
        <v>0.09956557415980516</v>
      </c>
      <c r="P590" t="s">
        <v>635</v>
      </c>
      <c r="Q590" t="s">
        <v>635</v>
      </c>
      <c r="R590">
        <v>0</v>
      </c>
      <c r="T590">
        <v>44</v>
      </c>
      <c r="U590">
        <v>1.251363636363636</v>
      </c>
      <c r="V590">
        <v>3.1652</v>
      </c>
      <c r="W590">
        <v>6.35</v>
      </c>
      <c r="Y590">
        <v>0.815963</v>
      </c>
      <c r="AA590">
        <v>0.970873786407767</v>
      </c>
      <c r="AB590">
        <v>0.9749596122778675</v>
      </c>
      <c r="AC590">
        <v>0.3392568659127626</v>
      </c>
      <c r="AD590">
        <v>0.8045234248788369</v>
      </c>
    </row>
    <row r="591" spans="1:30">
      <c r="A591" s="1" t="s">
        <v>598</v>
      </c>
      <c r="B591">
        <f>HYPERLINK("https://www.suredividend.com/sure-analysis-UBS","UBS Group AG")</f>
        <v>0</v>
      </c>
      <c r="C591">
        <v>12.39</v>
      </c>
      <c r="D591">
        <v>44990.382299</v>
      </c>
      <c r="E591" t="s">
        <v>659</v>
      </c>
      <c r="F591" t="s">
        <v>629</v>
      </c>
      <c r="G591" t="s">
        <v>678</v>
      </c>
      <c r="H591" t="s">
        <v>703</v>
      </c>
      <c r="I591" t="s">
        <v>1278</v>
      </c>
      <c r="J591" t="s">
        <v>1309</v>
      </c>
      <c r="K591">
        <v>43710</v>
      </c>
      <c r="M591">
        <v>0.0389723515130509</v>
      </c>
      <c r="N591">
        <v>0.01</v>
      </c>
      <c r="O591">
        <v>0.09700818157273372</v>
      </c>
      <c r="P591" t="s">
        <v>635</v>
      </c>
      <c r="Q591" t="s">
        <v>635</v>
      </c>
      <c r="R591">
        <v>3</v>
      </c>
      <c r="T591">
        <v>15</v>
      </c>
      <c r="U591">
        <v>0.8260000000000001</v>
      </c>
      <c r="V591">
        <v>1.161</v>
      </c>
      <c r="W591">
        <v>1.27</v>
      </c>
      <c r="Y591">
        <v>0.043808</v>
      </c>
      <c r="AA591">
        <v>0.2119741100323625</v>
      </c>
      <c r="AB591">
        <v>0.05411954765751212</v>
      </c>
      <c r="AC591">
        <v>0.9402261712439419</v>
      </c>
      <c r="AD591">
        <v>0.789983844911147</v>
      </c>
    </row>
    <row r="592" spans="1:30">
      <c r="A592" s="1" t="s">
        <v>599</v>
      </c>
      <c r="B592">
        <f>HYPERLINK("https://www.suredividend.com/sure-analysis-BRK.B","Berkshire Hathaway, Inc.")</f>
        <v>0</v>
      </c>
      <c r="C592">
        <v>226.31</v>
      </c>
      <c r="D592">
        <v>553423.0002</v>
      </c>
      <c r="E592" t="s">
        <v>658</v>
      </c>
      <c r="F592" t="s">
        <v>629</v>
      </c>
      <c r="G592" t="s">
        <v>673</v>
      </c>
      <c r="H592" t="s">
        <v>703</v>
      </c>
      <c r="I592" t="s">
        <v>1279</v>
      </c>
      <c r="J592" t="s">
        <v>1309</v>
      </c>
      <c r="K592">
        <v>43773</v>
      </c>
      <c r="M592">
        <v>0.03746399105202869</v>
      </c>
      <c r="N592">
        <v>0.05</v>
      </c>
      <c r="O592">
        <v>0.08933719060463008</v>
      </c>
      <c r="P592" t="s">
        <v>635</v>
      </c>
      <c r="Q592" t="s">
        <v>635</v>
      </c>
      <c r="R592">
        <v>0</v>
      </c>
      <c r="T592">
        <v>272</v>
      </c>
      <c r="U592">
        <v>0.8320220588235294</v>
      </c>
      <c r="V592">
        <v>10.9887</v>
      </c>
      <c r="W592">
        <v>10.5</v>
      </c>
      <c r="Y592">
        <v>0.178084</v>
      </c>
      <c r="AA592">
        <v>0.4158576051779935</v>
      </c>
      <c r="AB592">
        <v>0.4588045234248789</v>
      </c>
      <c r="AC592">
        <v>0.9305331179321485</v>
      </c>
      <c r="AD592">
        <v>0.7382875605815832</v>
      </c>
    </row>
    <row r="593" spans="1:30">
      <c r="A593" s="1" t="s">
        <v>600</v>
      </c>
      <c r="B593">
        <f>HYPERLINK("https://www.suredividend.com/sure-analysis-BABA","Alibaba Group Holding Ltd.")</f>
        <v>0</v>
      </c>
      <c r="C593">
        <v>212.25</v>
      </c>
      <c r="D593">
        <v>569408.38125</v>
      </c>
      <c r="E593" t="s">
        <v>661</v>
      </c>
      <c r="F593" t="s">
        <v>629</v>
      </c>
      <c r="G593" t="s">
        <v>674</v>
      </c>
      <c r="H593" t="s">
        <v>703</v>
      </c>
      <c r="I593" t="s">
        <v>1280</v>
      </c>
      <c r="J593" t="s">
        <v>1310</v>
      </c>
      <c r="K593">
        <v>43783</v>
      </c>
      <c r="M593">
        <v>-0.09339286908407762</v>
      </c>
      <c r="N593">
        <v>0.2</v>
      </c>
      <c r="O593">
        <v>0.08792855709910685</v>
      </c>
      <c r="P593" t="s">
        <v>635</v>
      </c>
      <c r="Q593" t="s">
        <v>635</v>
      </c>
      <c r="R593">
        <v>0</v>
      </c>
      <c r="T593">
        <v>130</v>
      </c>
      <c r="U593">
        <v>1.632692307692308</v>
      </c>
      <c r="V593">
        <v>8.5154</v>
      </c>
      <c r="W593">
        <v>27</v>
      </c>
      <c r="Y593">
        <v>0.4012</v>
      </c>
      <c r="AA593">
        <v>0.7588996763754046</v>
      </c>
      <c r="AB593">
        <v>0.9870759289176091</v>
      </c>
      <c r="AC593">
        <v>0.07754442649434572</v>
      </c>
      <c r="AD593">
        <v>0.7318255250403877</v>
      </c>
    </row>
    <row r="594" spans="1:30">
      <c r="A594" s="1" t="s">
        <v>601</v>
      </c>
      <c r="B594">
        <f>HYPERLINK("https://www.suredividend.com/sure-analysis-ORC","Orchid Island Capital, Inc.")</f>
        <v>0</v>
      </c>
      <c r="C594">
        <v>5.86</v>
      </c>
      <c r="D594">
        <v>369.51988</v>
      </c>
      <c r="E594" t="s">
        <v>667</v>
      </c>
      <c r="F594" t="s">
        <v>630</v>
      </c>
      <c r="G594" t="s">
        <v>673</v>
      </c>
      <c r="H594" t="s">
        <v>703</v>
      </c>
      <c r="I594" t="s">
        <v>1281</v>
      </c>
      <c r="J594" t="s">
        <v>1309</v>
      </c>
      <c r="K594">
        <v>43790</v>
      </c>
      <c r="L594">
        <v>0.163822525597269</v>
      </c>
      <c r="M594">
        <v>0.01296975912467691</v>
      </c>
      <c r="N594">
        <v>-0.05</v>
      </c>
      <c r="O594">
        <v>0.08689274358314547</v>
      </c>
      <c r="P594" t="s">
        <v>635</v>
      </c>
      <c r="Q594" t="s">
        <v>635</v>
      </c>
      <c r="R594">
        <v>0</v>
      </c>
      <c r="T594">
        <v>6.25</v>
      </c>
      <c r="U594">
        <v>0.9376000000000001</v>
      </c>
      <c r="V594">
        <v>-0.3644</v>
      </c>
      <c r="W594">
        <v>0</v>
      </c>
      <c r="X594">
        <v>0.96</v>
      </c>
      <c r="Y594">
        <v>-0.020067</v>
      </c>
      <c r="Z594">
        <v>0.9965694682675814</v>
      </c>
      <c r="AA594">
        <v>0.1521035598705502</v>
      </c>
      <c r="AB594">
        <v>0.004846526655896607</v>
      </c>
      <c r="AC594">
        <v>0.8077544426494346</v>
      </c>
      <c r="AD594">
        <v>0.7253634894991923</v>
      </c>
    </row>
    <row r="595" spans="1:30">
      <c r="A595" s="1" t="s">
        <v>602</v>
      </c>
      <c r="B595">
        <f>HYPERLINK("https://www.suredividend.com/sure-analysis-SQ","Square, Inc.")</f>
        <v>0</v>
      </c>
      <c r="C595">
        <v>63.63</v>
      </c>
      <c r="D595">
        <v>27052.594579</v>
      </c>
      <c r="E595" t="s">
        <v>670</v>
      </c>
      <c r="F595" t="s">
        <v>629</v>
      </c>
      <c r="G595" t="s">
        <v>673</v>
      </c>
      <c r="H595" t="s">
        <v>703</v>
      </c>
      <c r="I595" t="s">
        <v>1282</v>
      </c>
      <c r="J595" t="s">
        <v>1320</v>
      </c>
      <c r="K595">
        <v>43779</v>
      </c>
      <c r="M595">
        <v>-0.0358984318194191</v>
      </c>
      <c r="N595">
        <v>0.123</v>
      </c>
      <c r="O595">
        <v>0.08268606106679233</v>
      </c>
      <c r="P595" t="s">
        <v>635</v>
      </c>
      <c r="Q595" t="s">
        <v>635</v>
      </c>
      <c r="R595">
        <v>0</v>
      </c>
      <c r="T595">
        <v>53</v>
      </c>
      <c r="U595">
        <v>1.200566037735849</v>
      </c>
      <c r="V595">
        <v>-0.1062</v>
      </c>
      <c r="W595">
        <v>10.43</v>
      </c>
      <c r="Y595">
        <v>0.211769</v>
      </c>
      <c r="AA595">
        <v>0.4822006472491909</v>
      </c>
      <c r="AB595">
        <v>0.9644588045234249</v>
      </c>
      <c r="AC595">
        <v>0.3990306946688207</v>
      </c>
      <c r="AD595">
        <v>0.6946688206785138</v>
      </c>
    </row>
    <row r="596" spans="1:30">
      <c r="A596" s="1" t="s">
        <v>603</v>
      </c>
      <c r="B596">
        <f>HYPERLINK("https://www.suredividend.com/sure-analysis-NSANY","Nissan Motor Co., Ltd.")</f>
        <v>0</v>
      </c>
      <c r="C596">
        <v>12.05</v>
      </c>
      <c r="D596">
        <v>23576.533022</v>
      </c>
      <c r="E596" t="s">
        <v>667</v>
      </c>
      <c r="F596" t="s">
        <v>629</v>
      </c>
      <c r="G596" t="s">
        <v>679</v>
      </c>
      <c r="H596" t="s">
        <v>705</v>
      </c>
      <c r="I596" t="s">
        <v>1283</v>
      </c>
      <c r="J596" t="s">
        <v>1317</v>
      </c>
      <c r="K596">
        <v>43754</v>
      </c>
      <c r="M596">
        <v>0.0304530232420388</v>
      </c>
      <c r="N596">
        <v>-0.02</v>
      </c>
      <c r="O596">
        <v>0.08181757350231256</v>
      </c>
      <c r="P596" t="s">
        <v>635</v>
      </c>
      <c r="Q596" t="s">
        <v>635</v>
      </c>
      <c r="R596">
        <v>6</v>
      </c>
      <c r="T596">
        <v>14</v>
      </c>
      <c r="U596">
        <v>0.8607142857142858</v>
      </c>
      <c r="V596">
        <v>0.6412</v>
      </c>
      <c r="W596">
        <v>1.55</v>
      </c>
      <c r="Y596">
        <v>-0.2732</v>
      </c>
      <c r="AA596">
        <v>0.0372168284789644</v>
      </c>
      <c r="AB596">
        <v>0.01292407108239095</v>
      </c>
      <c r="AC596">
        <v>0.9168012924071083</v>
      </c>
      <c r="AD596">
        <v>0.6833602584814217</v>
      </c>
    </row>
    <row r="597" spans="1:30">
      <c r="A597" s="1" t="s">
        <v>604</v>
      </c>
      <c r="B597">
        <f>HYPERLINK("https://www.suredividend.com/sure-analysis-AMZN","Amazon.com, Inc.")</f>
        <v>0</v>
      </c>
      <c r="C597">
        <v>1786.5</v>
      </c>
      <c r="D597">
        <v>885741.3405</v>
      </c>
      <c r="E597" t="s">
        <v>658</v>
      </c>
      <c r="F597" t="s">
        <v>629</v>
      </c>
      <c r="G597" t="s">
        <v>673</v>
      </c>
      <c r="H597" t="s">
        <v>704</v>
      </c>
      <c r="I597" t="s">
        <v>1284</v>
      </c>
      <c r="J597" t="s">
        <v>1310</v>
      </c>
      <c r="K597">
        <v>43763</v>
      </c>
      <c r="M597">
        <v>-0.0343546629301843</v>
      </c>
      <c r="N597">
        <v>0.12</v>
      </c>
      <c r="O597">
        <v>0.0815227775181937</v>
      </c>
      <c r="P597" t="s">
        <v>635</v>
      </c>
      <c r="Q597" t="s">
        <v>635</v>
      </c>
      <c r="R597">
        <v>0</v>
      </c>
      <c r="T597">
        <v>1500</v>
      </c>
      <c r="U597">
        <v>1.191</v>
      </c>
      <c r="V597">
        <v>23.0682</v>
      </c>
      <c r="W597">
        <v>60</v>
      </c>
      <c r="Y597">
        <v>0.296962</v>
      </c>
      <c r="AA597">
        <v>0.6229773462783171</v>
      </c>
      <c r="AB597">
        <v>0.9571890145395799</v>
      </c>
      <c r="AC597">
        <v>0.4087237479806138</v>
      </c>
      <c r="AD597">
        <v>0.6801292407108239</v>
      </c>
    </row>
    <row r="598" spans="1:30">
      <c r="A598" s="1" t="s">
        <v>605</v>
      </c>
      <c r="B598">
        <f>HYPERLINK("https://www.suredividend.com/sure-analysis-ORLY","O'Reilly Automotive, Inc.")</f>
        <v>0</v>
      </c>
      <c r="C598">
        <v>441.16</v>
      </c>
      <c r="D598">
        <v>33377.72444</v>
      </c>
      <c r="E598" t="s">
        <v>662</v>
      </c>
      <c r="F598" t="s">
        <v>629</v>
      </c>
      <c r="G598" t="s">
        <v>673</v>
      </c>
      <c r="H598" t="s">
        <v>704</v>
      </c>
      <c r="I598" t="s">
        <v>1285</v>
      </c>
      <c r="J598" t="s">
        <v>1310</v>
      </c>
      <c r="K598">
        <v>43768</v>
      </c>
      <c r="M598">
        <v>-0.03249081908431195</v>
      </c>
      <c r="N598">
        <v>0.11</v>
      </c>
      <c r="O598">
        <v>0.07393519081641386</v>
      </c>
      <c r="P598" t="s">
        <v>635</v>
      </c>
      <c r="Q598" t="s">
        <v>635</v>
      </c>
      <c r="R598">
        <v>0</v>
      </c>
      <c r="T598">
        <v>374</v>
      </c>
      <c r="U598">
        <v>1.179572192513369</v>
      </c>
      <c r="V598">
        <v>17.547</v>
      </c>
      <c r="W598">
        <v>17.8</v>
      </c>
      <c r="Y598">
        <v>0.334543</v>
      </c>
      <c r="AA598">
        <v>0.6699029126213593</v>
      </c>
      <c r="AB598">
        <v>0.949919224555735</v>
      </c>
      <c r="AC598">
        <v>0.4345718901453958</v>
      </c>
      <c r="AD598">
        <v>0.592891760904685</v>
      </c>
    </row>
    <row r="599" spans="1:30">
      <c r="A599" s="1" t="s">
        <v>606</v>
      </c>
      <c r="B599">
        <f>HYPERLINK("https://www.suredividend.com/sure-analysis-FB","Facebook, Inc.")</f>
        <v>0</v>
      </c>
      <c r="C599">
        <v>206.3</v>
      </c>
      <c r="D599">
        <v>588464.561</v>
      </c>
      <c r="E599" t="s">
        <v>658</v>
      </c>
      <c r="F599" t="s">
        <v>629</v>
      </c>
      <c r="G599" t="s">
        <v>673</v>
      </c>
      <c r="H599" t="s">
        <v>704</v>
      </c>
      <c r="I599" t="s">
        <v>1286</v>
      </c>
      <c r="J599" t="s">
        <v>1320</v>
      </c>
      <c r="K599">
        <v>43769</v>
      </c>
      <c r="M599">
        <v>-0.01945286358348308</v>
      </c>
      <c r="N599">
        <v>0.09</v>
      </c>
      <c r="O599">
        <v>0.06879637869400357</v>
      </c>
      <c r="P599" t="s">
        <v>635</v>
      </c>
      <c r="Q599" t="s">
        <v>635</v>
      </c>
      <c r="R599">
        <v>0</v>
      </c>
      <c r="T599">
        <v>187</v>
      </c>
      <c r="U599">
        <v>1.103208556149733</v>
      </c>
      <c r="V599">
        <v>6.2972</v>
      </c>
      <c r="W599">
        <v>8.5</v>
      </c>
      <c r="Y599">
        <v>0.6510600000000001</v>
      </c>
      <c r="AA599">
        <v>0.941747572815534</v>
      </c>
      <c r="AB599">
        <v>0.8877221324717286</v>
      </c>
      <c r="AC599">
        <v>0.568659127625202</v>
      </c>
      <c r="AD599">
        <v>0.5508885298869144</v>
      </c>
    </row>
    <row r="600" spans="1:30">
      <c r="A600" s="1" t="s">
        <v>607</v>
      </c>
      <c r="B600">
        <f>HYPERLINK("https://www.suredividend.com/sure-analysis-GOOG","Alphabet, Inc.")</f>
        <v>0</v>
      </c>
      <c r="C600">
        <v>1349.59</v>
      </c>
      <c r="D600">
        <v>930843.646854</v>
      </c>
      <c r="E600" t="s">
        <v>658</v>
      </c>
      <c r="F600" t="s">
        <v>629</v>
      </c>
      <c r="G600" t="s">
        <v>673</v>
      </c>
      <c r="H600" t="s">
        <v>704</v>
      </c>
      <c r="I600" t="s">
        <v>1287</v>
      </c>
      <c r="J600" t="s">
        <v>1320</v>
      </c>
      <c r="K600">
        <v>43767</v>
      </c>
      <c r="M600">
        <v>-0.03251367634222024</v>
      </c>
      <c r="N600">
        <v>0.1</v>
      </c>
      <c r="O600">
        <v>0.06483501186178442</v>
      </c>
      <c r="P600" t="s">
        <v>635</v>
      </c>
      <c r="Q600" t="s">
        <v>635</v>
      </c>
      <c r="R600">
        <v>0</v>
      </c>
      <c r="T600">
        <v>1144</v>
      </c>
      <c r="U600">
        <v>1.179711538461538</v>
      </c>
      <c r="V600">
        <v>46.9812</v>
      </c>
      <c r="W600">
        <v>52</v>
      </c>
      <c r="Y600">
        <v>0.377779</v>
      </c>
      <c r="AA600">
        <v>0.7281553398058253</v>
      </c>
      <c r="AB600">
        <v>0.931340872374798</v>
      </c>
      <c r="AC600">
        <v>0.4329563812600969</v>
      </c>
      <c r="AD600">
        <v>0.5169628432956381</v>
      </c>
    </row>
    <row r="601" spans="1:30">
      <c r="A601" s="1" t="s">
        <v>608</v>
      </c>
      <c r="B601">
        <f>HYPERLINK("https://www.suredividend.com/sure-analysis-TMUS","T-Mobile US, Inc.")</f>
        <v>0</v>
      </c>
      <c r="C601">
        <v>77.40000000000001</v>
      </c>
      <c r="D601">
        <v>66221.505</v>
      </c>
      <c r="E601" t="s">
        <v>658</v>
      </c>
      <c r="F601" t="s">
        <v>629</v>
      </c>
      <c r="G601" t="s">
        <v>673</v>
      </c>
      <c r="H601" t="s">
        <v>704</v>
      </c>
      <c r="I601" t="s">
        <v>1288</v>
      </c>
      <c r="J601" t="s">
        <v>1318</v>
      </c>
      <c r="K601">
        <v>43767</v>
      </c>
      <c r="M601">
        <v>-0.01436002927853708</v>
      </c>
      <c r="N601">
        <v>0.08</v>
      </c>
      <c r="O601">
        <v>0.06449116837918001</v>
      </c>
      <c r="P601" t="s">
        <v>635</v>
      </c>
      <c r="Q601" t="s">
        <v>635</v>
      </c>
      <c r="R601">
        <v>0</v>
      </c>
      <c r="T601">
        <v>72</v>
      </c>
      <c r="U601">
        <v>1.075</v>
      </c>
      <c r="V601">
        <v>3.9376</v>
      </c>
      <c r="W601">
        <v>4</v>
      </c>
      <c r="Y601">
        <v>0.249798</v>
      </c>
      <c r="AA601">
        <v>0.5533980582524272</v>
      </c>
      <c r="AB601">
        <v>0.8182552504038771</v>
      </c>
      <c r="AC601">
        <v>0.6042003231017771</v>
      </c>
      <c r="AD601">
        <v>0.5137318255250404</v>
      </c>
    </row>
    <row r="602" spans="1:30">
      <c r="A602" s="1" t="s">
        <v>609</v>
      </c>
      <c r="B602">
        <f>HYPERLINK("https://www.suredividend.com/sure-analysis-S","Sprint Corp.")</f>
        <v>0</v>
      </c>
      <c r="C602">
        <v>5.39</v>
      </c>
      <c r="D602">
        <v>22135.9754</v>
      </c>
      <c r="E602" t="s">
        <v>661</v>
      </c>
      <c r="F602" t="s">
        <v>629</v>
      </c>
      <c r="G602" t="s">
        <v>673</v>
      </c>
      <c r="H602" t="s">
        <v>703</v>
      </c>
      <c r="I602" t="s">
        <v>1289</v>
      </c>
      <c r="J602" t="s">
        <v>1318</v>
      </c>
      <c r="K602">
        <v>43783</v>
      </c>
      <c r="M602">
        <v>0.034947314015636</v>
      </c>
      <c r="N602">
        <v>0.02</v>
      </c>
      <c r="O602">
        <v>0.05564626029594888</v>
      </c>
      <c r="P602" t="s">
        <v>635</v>
      </c>
      <c r="Q602" t="s">
        <v>635</v>
      </c>
      <c r="R602">
        <v>0</v>
      </c>
      <c r="T602">
        <v>6.4</v>
      </c>
      <c r="U602">
        <v>0.8421874999999999</v>
      </c>
      <c r="V602">
        <v>-0.6614</v>
      </c>
      <c r="W602">
        <v>-0.1</v>
      </c>
      <c r="Y602">
        <v>-0.06908499999999999</v>
      </c>
      <c r="AA602">
        <v>0.09546925566343041</v>
      </c>
      <c r="AB602">
        <v>0.1219709208400646</v>
      </c>
      <c r="AC602">
        <v>0.925686591276252</v>
      </c>
      <c r="AD602">
        <v>0.4474959612277868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390.07</v>
      </c>
      <c r="D603">
        <v>45208.051229</v>
      </c>
      <c r="E603" t="s">
        <v>664</v>
      </c>
      <c r="F603" t="s">
        <v>629</v>
      </c>
      <c r="G603" t="s">
        <v>675</v>
      </c>
      <c r="H603" t="s">
        <v>703</v>
      </c>
      <c r="I603" t="s">
        <v>1290</v>
      </c>
      <c r="J603" t="s">
        <v>1320</v>
      </c>
      <c r="K603">
        <v>43771</v>
      </c>
      <c r="M603">
        <v>-0.1580849387969524</v>
      </c>
      <c r="N603">
        <v>0.25</v>
      </c>
      <c r="O603">
        <v>0.05239382650380953</v>
      </c>
      <c r="P603" t="s">
        <v>635</v>
      </c>
      <c r="Q603" t="s">
        <v>635</v>
      </c>
      <c r="R603">
        <v>0</v>
      </c>
      <c r="T603">
        <v>165</v>
      </c>
      <c r="U603">
        <v>2.364060606060606</v>
      </c>
      <c r="V603">
        <v>-1.1314</v>
      </c>
      <c r="W603">
        <v>13.75</v>
      </c>
      <c r="Y603">
        <v>2.186586</v>
      </c>
      <c r="AA603">
        <v>0.9983818770226537</v>
      </c>
      <c r="AB603">
        <v>0.994345718901454</v>
      </c>
      <c r="AC603">
        <v>0.01777059773828756</v>
      </c>
      <c r="AD603">
        <v>0.4232633279483037</v>
      </c>
    </row>
    <row r="604" spans="1:30">
      <c r="A604" s="1" t="s">
        <v>611</v>
      </c>
      <c r="B604">
        <f>HYPERLINK("https://www.suredividend.com/sure-analysis-MKL","Markel Corp.")</f>
        <v>0</v>
      </c>
      <c r="C604">
        <v>1138.33</v>
      </c>
      <c r="D604">
        <v>15722.61396</v>
      </c>
      <c r="E604" t="s">
        <v>666</v>
      </c>
      <c r="F604" t="s">
        <v>629</v>
      </c>
      <c r="G604" t="s">
        <v>673</v>
      </c>
      <c r="H604" t="s">
        <v>703</v>
      </c>
      <c r="I604" t="s">
        <v>1291</v>
      </c>
      <c r="J604" t="s">
        <v>1309</v>
      </c>
      <c r="K604">
        <v>43748</v>
      </c>
      <c r="M604">
        <v>-0.02792952447445185</v>
      </c>
      <c r="N604">
        <v>0.08</v>
      </c>
      <c r="O604">
        <v>0.04983611356759199</v>
      </c>
      <c r="P604" t="s">
        <v>635</v>
      </c>
      <c r="Q604" t="s">
        <v>635</v>
      </c>
      <c r="R604">
        <v>0</v>
      </c>
      <c r="T604">
        <v>988</v>
      </c>
      <c r="U604">
        <v>1.152155870445344</v>
      </c>
      <c r="V604">
        <v>38.9994</v>
      </c>
      <c r="W604">
        <v>37.15</v>
      </c>
      <c r="Y604">
        <v>0.167937</v>
      </c>
      <c r="AA604">
        <v>0.3915857605177994</v>
      </c>
      <c r="AB604">
        <v>0.8182552504038771</v>
      </c>
      <c r="AC604">
        <v>0.4846526655896607</v>
      </c>
      <c r="AD604">
        <v>0.4022617124394184</v>
      </c>
    </row>
    <row r="605" spans="1:30">
      <c r="A605" s="1" t="s">
        <v>612</v>
      </c>
      <c r="B605">
        <f>HYPERLINK("https://www.suredividend.com/sure-analysis-NBR","Nabors Industries Ltd.")</f>
        <v>0</v>
      </c>
      <c r="C605">
        <v>2.98</v>
      </c>
      <c r="D605">
        <v>1082.97968</v>
      </c>
      <c r="E605" t="s">
        <v>659</v>
      </c>
      <c r="F605" t="s">
        <v>629</v>
      </c>
      <c r="G605" t="s">
        <v>684</v>
      </c>
      <c r="H605" t="s">
        <v>703</v>
      </c>
      <c r="I605" t="s">
        <v>1292</v>
      </c>
      <c r="J605" t="s">
        <v>1325</v>
      </c>
      <c r="K605">
        <v>43776</v>
      </c>
      <c r="L605">
        <v>0.030201342281879</v>
      </c>
      <c r="M605">
        <v>0.01749766059747238</v>
      </c>
      <c r="N605">
        <v>0.015</v>
      </c>
      <c r="O605">
        <v>0.04429842870802858</v>
      </c>
      <c r="P605" t="s">
        <v>635</v>
      </c>
      <c r="Q605" t="s">
        <v>635</v>
      </c>
      <c r="R605">
        <v>4</v>
      </c>
      <c r="T605">
        <v>3.25</v>
      </c>
      <c r="U605">
        <v>0.916923076923077</v>
      </c>
      <c r="V605">
        <v>-1.8839</v>
      </c>
      <c r="W605">
        <v>0</v>
      </c>
      <c r="X605">
        <v>0.09</v>
      </c>
      <c r="Y605">
        <v>0.497487</v>
      </c>
      <c r="Z605">
        <v>0.5111492281303601</v>
      </c>
      <c r="AA605">
        <v>0.872168284789644</v>
      </c>
      <c r="AB605">
        <v>0.07592891760904685</v>
      </c>
      <c r="AC605">
        <v>0.8416801292407108</v>
      </c>
      <c r="AD605">
        <v>0.3505654281098546</v>
      </c>
    </row>
    <row r="606" spans="1:30">
      <c r="A606" s="1" t="s">
        <v>613</v>
      </c>
      <c r="B606">
        <f>HYPERLINK("https://www.suredividend.com/sure-analysis-AZO","AutoZone, Inc.")</f>
        <v>0</v>
      </c>
      <c r="C606">
        <v>1226.74</v>
      </c>
      <c r="D606">
        <v>29018.5347</v>
      </c>
      <c r="E606" t="s">
        <v>658</v>
      </c>
      <c r="F606" t="s">
        <v>629</v>
      </c>
      <c r="G606" t="s">
        <v>673</v>
      </c>
      <c r="H606" t="s">
        <v>703</v>
      </c>
      <c r="I606" t="s">
        <v>1293</v>
      </c>
      <c r="J606" t="s">
        <v>1310</v>
      </c>
      <c r="K606">
        <v>43735</v>
      </c>
      <c r="M606">
        <v>-0.03909001318543148</v>
      </c>
      <c r="N606">
        <v>0.08</v>
      </c>
      <c r="O606">
        <v>0.03778278575973393</v>
      </c>
      <c r="P606" t="s">
        <v>635</v>
      </c>
      <c r="Q606" t="s">
        <v>635</v>
      </c>
      <c r="R606">
        <v>0</v>
      </c>
      <c r="T606">
        <v>1005</v>
      </c>
      <c r="U606">
        <v>1.220636815920398</v>
      </c>
      <c r="V606">
        <v>65.8828</v>
      </c>
      <c r="W606">
        <v>67</v>
      </c>
      <c r="Y606">
        <v>0.485085</v>
      </c>
      <c r="AA606">
        <v>0.8624595469255664</v>
      </c>
      <c r="AB606">
        <v>0.8182552504038771</v>
      </c>
      <c r="AC606">
        <v>0.3747980613893377</v>
      </c>
      <c r="AD606">
        <v>0.3004846526655897</v>
      </c>
    </row>
    <row r="607" spans="1:30">
      <c r="A607" s="1" t="s">
        <v>614</v>
      </c>
      <c r="B607">
        <f>HYPERLINK("https://www.suredividend.com/sure-analysis-PTEN","Patterson-UTI Energy, Inc.")</f>
        <v>0</v>
      </c>
      <c r="C607">
        <v>10.08</v>
      </c>
      <c r="D607">
        <v>1960.98336</v>
      </c>
      <c r="E607" t="s">
        <v>659</v>
      </c>
      <c r="F607" t="s">
        <v>629</v>
      </c>
      <c r="G607" t="s">
        <v>673</v>
      </c>
      <c r="H607" t="s">
        <v>704</v>
      </c>
      <c r="I607" t="s">
        <v>1294</v>
      </c>
      <c r="J607" t="s">
        <v>1325</v>
      </c>
      <c r="K607">
        <v>43767</v>
      </c>
      <c r="L607">
        <v>0.015873015873015</v>
      </c>
      <c r="M607">
        <v>0.008197818497166498</v>
      </c>
      <c r="N607">
        <v>0.013</v>
      </c>
      <c r="O607">
        <v>0.03749561488113407</v>
      </c>
      <c r="P607" t="s">
        <v>635</v>
      </c>
      <c r="Q607" t="s">
        <v>635</v>
      </c>
      <c r="R607">
        <v>0</v>
      </c>
      <c r="T607">
        <v>10.5</v>
      </c>
      <c r="U607">
        <v>0.96</v>
      </c>
      <c r="V607">
        <v>-2.6193</v>
      </c>
      <c r="W607">
        <v>0</v>
      </c>
      <c r="X607">
        <v>0.16</v>
      </c>
      <c r="Y607">
        <v>0.008</v>
      </c>
      <c r="Z607">
        <v>0.1955403087478559</v>
      </c>
      <c r="AA607">
        <v>0.1812297734627832</v>
      </c>
      <c r="AB607">
        <v>0.06623586429725363</v>
      </c>
      <c r="AC607">
        <v>0.7754442649434572</v>
      </c>
      <c r="AD607">
        <v>0.2924071082390953</v>
      </c>
    </row>
    <row r="608" spans="1:30">
      <c r="A608" s="1" t="s">
        <v>615</v>
      </c>
      <c r="B608">
        <f>HYPERLINK("https://www.suredividend.com/sure-analysis-VALE","Vale SA")</f>
        <v>0</v>
      </c>
      <c r="C608">
        <v>13.27</v>
      </c>
      <c r="D608">
        <v>68052.37760599999</v>
      </c>
      <c r="E608" t="s">
        <v>663</v>
      </c>
      <c r="F608" t="s">
        <v>629</v>
      </c>
      <c r="G608" t="s">
        <v>683</v>
      </c>
      <c r="H608" t="s">
        <v>703</v>
      </c>
      <c r="I608" t="s">
        <v>1295</v>
      </c>
      <c r="J608" t="s">
        <v>1323</v>
      </c>
      <c r="K608">
        <v>43743</v>
      </c>
      <c r="M608">
        <v>0.0107678567904117</v>
      </c>
      <c r="N608">
        <v>0.016</v>
      </c>
      <c r="O608">
        <v>0.02694014249905829</v>
      </c>
      <c r="P608" t="s">
        <v>635</v>
      </c>
      <c r="Q608" t="s">
        <v>635</v>
      </c>
      <c r="R608">
        <v>0</v>
      </c>
      <c r="T608">
        <v>14</v>
      </c>
      <c r="U608">
        <v>0.9478571428571428</v>
      </c>
      <c r="V608">
        <v>0.7125</v>
      </c>
      <c r="W608">
        <v>1.72</v>
      </c>
      <c r="Y608">
        <v>0.0176</v>
      </c>
      <c r="AA608">
        <v>0.1893203883495146</v>
      </c>
      <c r="AB608">
        <v>0.0840064620355412</v>
      </c>
      <c r="AC608">
        <v>0.7964458804523424</v>
      </c>
      <c r="AD608">
        <v>0.2326332794830371</v>
      </c>
    </row>
    <row r="609" spans="1:30">
      <c r="A609" s="1" t="s">
        <v>616</v>
      </c>
      <c r="B609">
        <f>HYPERLINK("https://www.suredividend.com/sure-analysis-NOV","National Oilwell Varco, Inc.")</f>
        <v>0</v>
      </c>
      <c r="C609">
        <v>24.33</v>
      </c>
      <c r="D609">
        <v>9387.29256</v>
      </c>
      <c r="E609" t="s">
        <v>659</v>
      </c>
      <c r="F609" t="s">
        <v>629</v>
      </c>
      <c r="G609" t="s">
        <v>673</v>
      </c>
      <c r="H609" t="s">
        <v>703</v>
      </c>
      <c r="I609" t="s">
        <v>1296</v>
      </c>
      <c r="J609" t="s">
        <v>1325</v>
      </c>
      <c r="K609">
        <v>43768</v>
      </c>
      <c r="L609">
        <v>0.008220304151253001</v>
      </c>
      <c r="M609">
        <v>-0.01118021974268413</v>
      </c>
      <c r="N609">
        <v>0.018</v>
      </c>
      <c r="O609">
        <v>0.02571838662016512</v>
      </c>
      <c r="P609" t="s">
        <v>635</v>
      </c>
      <c r="Q609" t="s">
        <v>635</v>
      </c>
      <c r="R609">
        <v>0</v>
      </c>
      <c r="T609">
        <v>23</v>
      </c>
      <c r="U609">
        <v>1.057826086956522</v>
      </c>
      <c r="V609">
        <v>-14.9187</v>
      </c>
      <c r="W609">
        <v>0</v>
      </c>
      <c r="X609">
        <v>0.2</v>
      </c>
      <c r="Y609">
        <v>-0.036054</v>
      </c>
      <c r="Z609">
        <v>0.03945111492281304</v>
      </c>
      <c r="AA609">
        <v>0.1310679611650485</v>
      </c>
      <c r="AB609">
        <v>0.09127625201938611</v>
      </c>
      <c r="AC609">
        <v>0.6203554119547657</v>
      </c>
      <c r="AD609">
        <v>0.2197092084006462</v>
      </c>
    </row>
    <row r="610" spans="1:30">
      <c r="A610" s="1" t="s">
        <v>617</v>
      </c>
      <c r="B610">
        <f>HYPERLINK("https://www.suredividend.com/sure-analysis-PEAK","Healthpeak Properties, Inc.")</f>
        <v>0</v>
      </c>
      <c r="C610">
        <v>33.66</v>
      </c>
      <c r="D610">
        <v>16660.15164</v>
      </c>
      <c r="E610" t="s">
        <v>659</v>
      </c>
      <c r="F610" t="s">
        <v>630</v>
      </c>
      <c r="G610" t="s">
        <v>673</v>
      </c>
      <c r="H610" t="s">
        <v>703</v>
      </c>
      <c r="I610" t="s">
        <v>1297</v>
      </c>
      <c r="J610" t="s">
        <v>1309</v>
      </c>
      <c r="K610">
        <v>43782</v>
      </c>
      <c r="M610">
        <v>-0.05775209739339926</v>
      </c>
      <c r="N610">
        <v>0.03</v>
      </c>
      <c r="O610">
        <v>0.01700067828765439</v>
      </c>
      <c r="P610" t="s">
        <v>635</v>
      </c>
      <c r="Q610" t="s">
        <v>635</v>
      </c>
      <c r="R610">
        <v>0</v>
      </c>
      <c r="T610">
        <v>25</v>
      </c>
      <c r="U610">
        <v>1.3464</v>
      </c>
      <c r="V610">
        <v>1.7577</v>
      </c>
      <c r="W610">
        <v>1.76</v>
      </c>
      <c r="Y610">
        <v>0.190661</v>
      </c>
      <c r="AA610">
        <v>0.4401294498381877</v>
      </c>
      <c r="AB610">
        <v>0.2003231017770598</v>
      </c>
      <c r="AC610">
        <v>0.2294022617124394</v>
      </c>
      <c r="AD610">
        <v>0.1760904684975768</v>
      </c>
    </row>
    <row r="611" spans="1:30">
      <c r="A611" s="1" t="s">
        <v>618</v>
      </c>
      <c r="B611">
        <f>HYPERLINK("https://www.suredividend.com/sure-analysis-KTOS","Kratos Defense &amp; Security Solutions, Inc.")</f>
        <v>0</v>
      </c>
      <c r="C611">
        <v>18.14</v>
      </c>
      <c r="D611">
        <v>1927.7378</v>
      </c>
      <c r="E611" t="s">
        <v>657</v>
      </c>
      <c r="F611" t="s">
        <v>629</v>
      </c>
      <c r="G611" t="s">
        <v>673</v>
      </c>
      <c r="H611" t="s">
        <v>704</v>
      </c>
      <c r="I611" t="s">
        <v>1298</v>
      </c>
      <c r="J611" t="s">
        <v>1308</v>
      </c>
      <c r="K611">
        <v>43759</v>
      </c>
      <c r="M611">
        <v>-0.05049304420770206</v>
      </c>
      <c r="N611">
        <v>0.06</v>
      </c>
      <c r="O611">
        <v>0.006477373139835763</v>
      </c>
      <c r="P611" t="s">
        <v>635</v>
      </c>
      <c r="Q611" t="s">
        <v>635</v>
      </c>
      <c r="R611">
        <v>0</v>
      </c>
      <c r="T611">
        <v>14</v>
      </c>
      <c r="U611">
        <v>1.295714285714286</v>
      </c>
      <c r="V611">
        <v>0.135</v>
      </c>
      <c r="W611">
        <v>7</v>
      </c>
      <c r="Y611">
        <v>0.410575</v>
      </c>
      <c r="AA611">
        <v>0.7750809061488673</v>
      </c>
      <c r="AB611">
        <v>0.6130856219709209</v>
      </c>
      <c r="AC611">
        <v>0.284329563812601</v>
      </c>
      <c r="AD611">
        <v>0.1324717285945073</v>
      </c>
    </row>
    <row r="612" spans="1:30">
      <c r="A612" s="1" t="s">
        <v>619</v>
      </c>
      <c r="B612">
        <f>HYPERLINK("https://www.suredividend.com/sure-analysis-JCP","J. C. Penney Co., Inc.")</f>
        <v>0</v>
      </c>
      <c r="C612">
        <v>1.08</v>
      </c>
      <c r="D612">
        <v>345.59568</v>
      </c>
      <c r="E612" t="s">
        <v>661</v>
      </c>
      <c r="F612" t="s">
        <v>629</v>
      </c>
      <c r="G612" t="s">
        <v>673</v>
      </c>
      <c r="H612" t="s">
        <v>703</v>
      </c>
      <c r="I612" t="s">
        <v>1299</v>
      </c>
      <c r="J612" t="s">
        <v>1310</v>
      </c>
      <c r="K612">
        <v>43710</v>
      </c>
      <c r="M612">
        <v>-0.03367430588112674</v>
      </c>
      <c r="N612">
        <v>0.04</v>
      </c>
      <c r="O612">
        <v>0.004978721883628134</v>
      </c>
      <c r="P612" t="s">
        <v>635</v>
      </c>
      <c r="Q612" t="s">
        <v>635</v>
      </c>
      <c r="R612">
        <v>0</v>
      </c>
      <c r="T612">
        <v>0.91</v>
      </c>
      <c r="U612">
        <v>1.186813186813187</v>
      </c>
      <c r="V612">
        <v>-0.6882</v>
      </c>
      <c r="W612">
        <v>0</v>
      </c>
      <c r="Y612">
        <v>-0.009174</v>
      </c>
      <c r="AA612">
        <v>0.1585760517799353</v>
      </c>
      <c r="AB612">
        <v>0.3182552504038772</v>
      </c>
      <c r="AC612">
        <v>0.4168012924071083</v>
      </c>
      <c r="AD612">
        <v>0.1211631663974152</v>
      </c>
    </row>
    <row r="613" spans="1:30">
      <c r="A613" s="1" t="s">
        <v>620</v>
      </c>
      <c r="B613">
        <f>HYPERLINK("https://www.suredividend.com/sure-analysis-TTM","Tata Motors Ltd.")</f>
        <v>0</v>
      </c>
      <c r="C613">
        <v>12.49</v>
      </c>
      <c r="D613">
        <v>7212.6003</v>
      </c>
      <c r="E613" t="s">
        <v>659</v>
      </c>
      <c r="F613" t="s">
        <v>629</v>
      </c>
      <c r="G613" t="s">
        <v>696</v>
      </c>
      <c r="H613" t="s">
        <v>703</v>
      </c>
      <c r="I613" t="s">
        <v>1300</v>
      </c>
      <c r="J613" t="s">
        <v>1317</v>
      </c>
      <c r="K613">
        <v>43795</v>
      </c>
      <c r="M613">
        <v>-0.08524348824543948</v>
      </c>
      <c r="N613">
        <v>0.07000000000000001</v>
      </c>
      <c r="O613">
        <v>-0.02121053242262028</v>
      </c>
      <c r="P613" t="s">
        <v>635</v>
      </c>
      <c r="Q613" t="s">
        <v>635</v>
      </c>
      <c r="R613">
        <v>0</v>
      </c>
      <c r="T613">
        <v>8</v>
      </c>
      <c r="U613">
        <v>1.56125</v>
      </c>
      <c r="V613">
        <v>-6.0592</v>
      </c>
      <c r="W613">
        <v>1</v>
      </c>
      <c r="Y613">
        <v>0.0786</v>
      </c>
      <c r="AA613">
        <v>0.2540453074433657</v>
      </c>
      <c r="AB613">
        <v>0.7245557350565428</v>
      </c>
      <c r="AC613">
        <v>0.1017770597738288</v>
      </c>
      <c r="AD613">
        <v>0.05492730210016156</v>
      </c>
    </row>
    <row r="614" spans="1:30">
      <c r="A614" s="1" t="s">
        <v>621</v>
      </c>
      <c r="B614">
        <f>HYPERLINK("https://www.suredividend.com/sure-analysis-LPL","LG Display Co., Ltd.")</f>
        <v>0</v>
      </c>
      <c r="C614">
        <v>6.95</v>
      </c>
      <c r="D614">
        <v>4973.6424</v>
      </c>
      <c r="E614" t="s">
        <v>664</v>
      </c>
      <c r="F614" t="s">
        <v>629</v>
      </c>
      <c r="G614" t="s">
        <v>680</v>
      </c>
      <c r="H614" t="s">
        <v>703</v>
      </c>
      <c r="I614" t="s">
        <v>1301</v>
      </c>
      <c r="J614" t="s">
        <v>1311</v>
      </c>
      <c r="K614">
        <v>43778</v>
      </c>
      <c r="M614">
        <v>-0.06373876987400073</v>
      </c>
      <c r="N614">
        <v>0.027</v>
      </c>
      <c r="O614">
        <v>-0.03845971666059889</v>
      </c>
      <c r="P614" t="s">
        <v>635</v>
      </c>
      <c r="Q614" t="s">
        <v>635</v>
      </c>
      <c r="R614">
        <v>0</v>
      </c>
      <c r="T614">
        <v>5</v>
      </c>
      <c r="U614">
        <v>1.39</v>
      </c>
      <c r="V614">
        <v>-1.0416</v>
      </c>
      <c r="W614">
        <v>-0.97</v>
      </c>
      <c r="Y614">
        <v>-0.143</v>
      </c>
      <c r="AA614">
        <v>0.06957928802588997</v>
      </c>
      <c r="AB614">
        <v>0.1567043618739903</v>
      </c>
      <c r="AC614">
        <v>0.1793214862681745</v>
      </c>
      <c r="AD614">
        <v>0.03554119547657512</v>
      </c>
    </row>
    <row r="615" spans="1:30">
      <c r="A615" s="1" t="s">
        <v>622</v>
      </c>
      <c r="B615">
        <f>HYPERLINK("https://www.suredividend.com/sure-analysis-CMG","Chipotle Mexican Grill, Inc.")</f>
        <v>0</v>
      </c>
      <c r="C615">
        <v>834.53</v>
      </c>
      <c r="D615">
        <v>23195.76135</v>
      </c>
      <c r="E615" t="s">
        <v>661</v>
      </c>
      <c r="F615" t="s">
        <v>629</v>
      </c>
      <c r="G615" t="s">
        <v>673</v>
      </c>
      <c r="H615" t="s">
        <v>703</v>
      </c>
      <c r="I615" t="s">
        <v>1302</v>
      </c>
      <c r="J615" t="s">
        <v>1324</v>
      </c>
      <c r="K615">
        <v>43763</v>
      </c>
      <c r="M615">
        <v>-0.1529054530643911</v>
      </c>
      <c r="N615">
        <v>0.13</v>
      </c>
      <c r="O615">
        <v>-0.042783161962762</v>
      </c>
      <c r="P615" t="s">
        <v>635</v>
      </c>
      <c r="Q615" t="s">
        <v>635</v>
      </c>
      <c r="R615">
        <v>0</v>
      </c>
      <c r="T615">
        <v>364</v>
      </c>
      <c r="U615">
        <v>2.292664835164835</v>
      </c>
      <c r="V615">
        <v>11.1653</v>
      </c>
      <c r="W615">
        <v>14</v>
      </c>
      <c r="Y615">
        <v>1.115841</v>
      </c>
      <c r="AA615">
        <v>0.9935275080906149</v>
      </c>
      <c r="AB615">
        <v>0.9676898222940226</v>
      </c>
      <c r="AC615">
        <v>0.02584814216478191</v>
      </c>
      <c r="AD615">
        <v>0.03392568659127625</v>
      </c>
    </row>
    <row r="616" spans="1:30">
      <c r="A616" s="1" t="s">
        <v>623</v>
      </c>
      <c r="B616">
        <f>HYPERLINK("https://www.suredividend.com/sure-analysis-TSLA","Tesla, Inc.")</f>
        <v>0</v>
      </c>
      <c r="C616">
        <v>405.59</v>
      </c>
      <c r="D616">
        <v>73105.56955</v>
      </c>
      <c r="E616" t="s">
        <v>661</v>
      </c>
      <c r="F616" t="s">
        <v>629</v>
      </c>
      <c r="G616" t="s">
        <v>673</v>
      </c>
      <c r="H616" t="s">
        <v>704</v>
      </c>
      <c r="I616" t="s">
        <v>1303</v>
      </c>
      <c r="J616" t="s">
        <v>1317</v>
      </c>
      <c r="K616">
        <v>43763</v>
      </c>
      <c r="M616">
        <v>-0.1576584149633089</v>
      </c>
      <c r="N616">
        <v>0.12</v>
      </c>
      <c r="O616">
        <v>-0.05657742475890581</v>
      </c>
      <c r="P616" t="s">
        <v>635</v>
      </c>
      <c r="Q616" t="s">
        <v>635</v>
      </c>
      <c r="R616">
        <v>0</v>
      </c>
      <c r="T616">
        <v>172</v>
      </c>
      <c r="U616">
        <v>2.358081395348837</v>
      </c>
      <c r="V616">
        <v>-4.7606</v>
      </c>
      <c r="W616">
        <v>0</v>
      </c>
      <c r="Y616">
        <v>0.26838</v>
      </c>
      <c r="AA616">
        <v>0.5857605177993528</v>
      </c>
      <c r="AB616">
        <v>0.9571890145395799</v>
      </c>
      <c r="AC616">
        <v>0.0210016155088853</v>
      </c>
      <c r="AD616">
        <v>0.02584814216478191</v>
      </c>
    </row>
    <row r="617" spans="1:30">
      <c r="A617" s="1" t="s">
        <v>624</v>
      </c>
      <c r="B617">
        <f>HYPERLINK("https://www.suredividend.com/sure-analysis-AMD","Advanced Micro Devices, Inc.")</f>
        <v>0</v>
      </c>
      <c r="C617">
        <v>44.15</v>
      </c>
      <c r="D617">
        <v>49166.7645</v>
      </c>
      <c r="E617" t="s">
        <v>661</v>
      </c>
      <c r="F617" t="s">
        <v>629</v>
      </c>
      <c r="G617" t="s">
        <v>673</v>
      </c>
      <c r="H617" t="s">
        <v>704</v>
      </c>
      <c r="I617" t="s">
        <v>1304</v>
      </c>
      <c r="J617" t="s">
        <v>1308</v>
      </c>
      <c r="K617">
        <v>43773</v>
      </c>
      <c r="M617">
        <v>-0.1837224450331145</v>
      </c>
      <c r="N617">
        <v>0.15</v>
      </c>
      <c r="O617">
        <v>-0.06128081178808176</v>
      </c>
      <c r="P617" t="s">
        <v>635</v>
      </c>
      <c r="Q617" t="s">
        <v>635</v>
      </c>
      <c r="R617">
        <v>0</v>
      </c>
      <c r="T617">
        <v>16</v>
      </c>
      <c r="U617">
        <v>2.759375</v>
      </c>
      <c r="V617">
        <v>0.197</v>
      </c>
      <c r="W617">
        <v>0.65</v>
      </c>
      <c r="Y617">
        <v>1.607797</v>
      </c>
      <c r="AA617">
        <v>0.9967637540453075</v>
      </c>
      <c r="AB617">
        <v>0.9749596122778675</v>
      </c>
      <c r="AC617">
        <v>0.01130856219709209</v>
      </c>
      <c r="AD617">
        <v>0.01938610662358643</v>
      </c>
    </row>
    <row r="618" spans="1:30">
      <c r="A618" s="1" t="s">
        <v>625</v>
      </c>
      <c r="B618">
        <f>HYPERLINK("https://www.suredividend.com/sure-analysis-NFLX","Netflix, Inc.")</f>
        <v>0</v>
      </c>
      <c r="C618">
        <v>336.9</v>
      </c>
      <c r="D618">
        <v>147646.7619</v>
      </c>
      <c r="E618" t="s">
        <v>668</v>
      </c>
      <c r="F618" t="s">
        <v>629</v>
      </c>
      <c r="G618" t="s">
        <v>673</v>
      </c>
      <c r="H618" t="s">
        <v>704</v>
      </c>
      <c r="I618" t="s">
        <v>1305</v>
      </c>
      <c r="J618" t="s">
        <v>1324</v>
      </c>
      <c r="K618">
        <v>43763</v>
      </c>
      <c r="M618">
        <v>-0.112978506305313</v>
      </c>
      <c r="N618">
        <v>0.051</v>
      </c>
      <c r="O618">
        <v>-0.06774041012688403</v>
      </c>
      <c r="P618" t="s">
        <v>635</v>
      </c>
      <c r="Q618" t="s">
        <v>635</v>
      </c>
      <c r="R618">
        <v>0</v>
      </c>
      <c r="T618">
        <v>185</v>
      </c>
      <c r="U618">
        <v>1.821081081081081</v>
      </c>
      <c r="V618">
        <v>3.2385</v>
      </c>
      <c r="W618">
        <v>3.7</v>
      </c>
      <c r="Y618">
        <v>0.367344</v>
      </c>
      <c r="AA618">
        <v>0.7103559870550161</v>
      </c>
      <c r="AB618">
        <v>0.5282714054927302</v>
      </c>
      <c r="AC618">
        <v>0.05008077544426495</v>
      </c>
      <c r="AD618">
        <v>0.01777059773828756</v>
      </c>
    </row>
    <row r="619" spans="1:30">
      <c r="A619" s="1" t="s">
        <v>626</v>
      </c>
      <c r="B619">
        <f>HYPERLINK("https://www.suredividend.com/sure-analysis-APY","Apergy Corp.")</f>
        <v>0</v>
      </c>
      <c r="C619">
        <v>32.8</v>
      </c>
      <c r="D619">
        <v>2540.688</v>
      </c>
      <c r="E619" t="s">
        <v>669</v>
      </c>
      <c r="F619" t="s">
        <v>629</v>
      </c>
      <c r="G619" t="s">
        <v>673</v>
      </c>
      <c r="H619" t="s">
        <v>703</v>
      </c>
      <c r="I619" t="s">
        <v>1306</v>
      </c>
      <c r="J619" t="s">
        <v>1325</v>
      </c>
      <c r="K619">
        <v>43710</v>
      </c>
      <c r="M619">
        <v>-0.1565665159212306</v>
      </c>
      <c r="N619">
        <v>0</v>
      </c>
      <c r="O619">
        <v>-0.1565665159212306</v>
      </c>
      <c r="P619" t="s">
        <v>635</v>
      </c>
      <c r="Q619" t="s">
        <v>635</v>
      </c>
      <c r="R619">
        <v>0</v>
      </c>
      <c r="T619">
        <v>14</v>
      </c>
      <c r="U619">
        <v>2.342857142857143</v>
      </c>
      <c r="V619">
        <v>1.019</v>
      </c>
      <c r="W619">
        <v>1.52</v>
      </c>
      <c r="Y619">
        <v>0.193161</v>
      </c>
      <c r="AA619">
        <v>0.4449838187702265</v>
      </c>
      <c r="AB619">
        <v>0.02988691437802908</v>
      </c>
      <c r="AC619">
        <v>0.02423263327948304</v>
      </c>
      <c r="AD619">
        <v>0.004846526655896607</v>
      </c>
    </row>
    <row r="620" spans="1:30">
      <c r="A620" s="1" t="s">
        <v>627</v>
      </c>
      <c r="B620">
        <f>HYPERLINK("https://www.suredividend.com/sure-analysis-SSI","Stage Stores, Inc.")</f>
        <v>0</v>
      </c>
      <c r="C620">
        <v>6.76</v>
      </c>
      <c r="D620">
        <v>195.43836</v>
      </c>
      <c r="E620" t="s">
        <v>663</v>
      </c>
      <c r="F620" t="s">
        <v>629</v>
      </c>
      <c r="G620" t="s">
        <v>673</v>
      </c>
      <c r="H620" t="s">
        <v>703</v>
      </c>
      <c r="I620" t="s">
        <v>1307</v>
      </c>
      <c r="J620" t="s">
        <v>1310</v>
      </c>
      <c r="K620">
        <v>43742</v>
      </c>
      <c r="M620">
        <v>-0.3646247862494261</v>
      </c>
      <c r="N620">
        <v>-0.138</v>
      </c>
      <c r="O620">
        <v>-0.3470011530976079</v>
      </c>
      <c r="P620" t="s">
        <v>635</v>
      </c>
      <c r="Q620" t="s">
        <v>635</v>
      </c>
      <c r="R620">
        <v>0</v>
      </c>
      <c r="T620">
        <v>0.7</v>
      </c>
      <c r="U620">
        <v>9.657142857142857</v>
      </c>
      <c r="V620">
        <v>-3.3278</v>
      </c>
      <c r="W620">
        <v>0</v>
      </c>
      <c r="Y620">
        <v>5.145455</v>
      </c>
      <c r="AA620">
        <v>1</v>
      </c>
      <c r="AB620">
        <v>0.001615508885298869</v>
      </c>
      <c r="AC620">
        <v>0.001615508885298869</v>
      </c>
      <c r="AD620">
        <v>0.001615508885298869</v>
      </c>
    </row>
  </sheetData>
  <autoFilter ref="A1:AD620"/>
  <conditionalFormatting sqref="A1:AD1">
    <cfRule type="cellIs" dxfId="6" priority="31" operator="notEqual">
      <formula>-13.345</formula>
    </cfRule>
  </conditionalFormatting>
  <conditionalFormatting sqref="A2:A620">
    <cfRule type="cellIs" dxfId="0" priority="1" operator="notEqual">
      <formula>-13.345</formula>
    </cfRule>
  </conditionalFormatting>
  <conditionalFormatting sqref="AA2:AA620">
    <cfRule type="cellIs" dxfId="5" priority="27" operator="notEqual">
      <formula>-13.345</formula>
    </cfRule>
  </conditionalFormatting>
  <conditionalFormatting sqref="AB2:AB620">
    <cfRule type="cellIs" dxfId="5" priority="28" operator="notEqual">
      <formula>-13.345</formula>
    </cfRule>
  </conditionalFormatting>
  <conditionalFormatting sqref="AC2:AC620">
    <cfRule type="cellIs" dxfId="5" priority="29" operator="notEqual">
      <formula>-13.345</formula>
    </cfRule>
  </conditionalFormatting>
  <conditionalFormatting sqref="AD2:AD620">
    <cfRule type="cellIs" dxfId="5" priority="30" operator="notEqual">
      <formula>-13.345</formula>
    </cfRule>
  </conditionalFormatting>
  <conditionalFormatting sqref="B2:B620">
    <cfRule type="cellIs" dxfId="1" priority="2" operator="notEqual">
      <formula>-13.345</formula>
    </cfRule>
  </conditionalFormatting>
  <conditionalFormatting sqref="C2:C620">
    <cfRule type="cellIs" dxfId="2" priority="3" operator="notEqual">
      <formula>-13.345</formula>
    </cfRule>
  </conditionalFormatting>
  <conditionalFormatting sqref="C621:AD621">
    <cfRule type="cellIs" dxfId="7" priority="32" operator="notEqual">
      <formula>-13.345</formula>
    </cfRule>
  </conditionalFormatting>
  <conditionalFormatting sqref="D2:D620">
    <cfRule type="cellIs" dxfId="3" priority="4" operator="notEqual">
      <formula>-13.345</formula>
    </cfRule>
  </conditionalFormatting>
  <conditionalFormatting sqref="E2:E620">
    <cfRule type="cellIs" dxfId="0" priority="5" operator="notEqual">
      <formula>-13.345</formula>
    </cfRule>
  </conditionalFormatting>
  <conditionalFormatting sqref="F2:F620">
    <cfRule type="cellIs" dxfId="0" priority="6" operator="notEqual">
      <formula>-13.345</formula>
    </cfRule>
  </conditionalFormatting>
  <conditionalFormatting sqref="G2:G620">
    <cfRule type="cellIs" dxfId="0" priority="7" operator="notEqual">
      <formula>-13.345</formula>
    </cfRule>
  </conditionalFormatting>
  <conditionalFormatting sqref="H2:H620">
    <cfRule type="cellIs" dxfId="0" priority="8" operator="notEqual">
      <formula>-13.345</formula>
    </cfRule>
  </conditionalFormatting>
  <conditionalFormatting sqref="I2:I620">
    <cfRule type="cellIs" dxfId="0" priority="9" operator="notEqual">
      <formula>-13.345</formula>
    </cfRule>
  </conditionalFormatting>
  <conditionalFormatting sqref="J2:J620">
    <cfRule type="cellIs" dxfId="0" priority="10" operator="notEqual">
      <formula>-13.345</formula>
    </cfRule>
  </conditionalFormatting>
  <conditionalFormatting sqref="K2:K620">
    <cfRule type="cellIs" dxfId="4" priority="11" operator="notEqual">
      <formula>-13.345</formula>
    </cfRule>
  </conditionalFormatting>
  <conditionalFormatting sqref="L2:L620">
    <cfRule type="cellIs" dxfId="5" priority="12" operator="notEqual">
      <formula>-13.345</formula>
    </cfRule>
  </conditionalFormatting>
  <conditionalFormatting sqref="M2:M620">
    <cfRule type="cellIs" dxfId="5" priority="13" operator="notEqual">
      <formula>-13.345</formula>
    </cfRule>
  </conditionalFormatting>
  <conditionalFormatting sqref="N2:N620">
    <cfRule type="cellIs" dxfId="5" priority="14" operator="notEqual">
      <formula>-13.345</formula>
    </cfRule>
  </conditionalFormatting>
  <conditionalFormatting sqref="O2:O620">
    <cfRule type="cellIs" dxfId="5" priority="15" operator="notEqual">
      <formula>-13.345</formula>
    </cfRule>
  </conditionalFormatting>
  <conditionalFormatting sqref="P2:P620">
    <cfRule type="cellIs" dxfId="0" priority="16" operator="notEqual">
      <formula>-13.345</formula>
    </cfRule>
  </conditionalFormatting>
  <conditionalFormatting sqref="Q2:Q620">
    <cfRule type="cellIs" dxfId="0" priority="17" operator="notEqual">
      <formula>-13.345</formula>
    </cfRule>
  </conditionalFormatting>
  <conditionalFormatting sqref="R2:R620">
    <cfRule type="cellIs" dxfId="0" priority="18" operator="notEqual">
      <formula>-13.345</formula>
    </cfRule>
  </conditionalFormatting>
  <conditionalFormatting sqref="S2:S620">
    <cfRule type="cellIs" dxfId="5" priority="19" operator="notEqual">
      <formula>-13.345</formula>
    </cfRule>
  </conditionalFormatting>
  <conditionalFormatting sqref="T2:T620">
    <cfRule type="cellIs" dxfId="3" priority="20" operator="notEqual">
      <formula>-13.345</formula>
    </cfRule>
  </conditionalFormatting>
  <conditionalFormatting sqref="U2:U620">
    <cfRule type="cellIs" dxfId="5" priority="21" operator="notEqual">
      <formula>-13.345</formula>
    </cfRule>
  </conditionalFormatting>
  <conditionalFormatting sqref="V2:V620">
    <cfRule type="cellIs" dxfId="2" priority="22" operator="notEqual">
      <formula>-13.345</formula>
    </cfRule>
  </conditionalFormatting>
  <conditionalFormatting sqref="W2:W620">
    <cfRule type="cellIs" dxfId="2" priority="23" operator="notEqual">
      <formula>-13.345</formula>
    </cfRule>
  </conditionalFormatting>
  <conditionalFormatting sqref="X2:X620">
    <cfRule type="cellIs" dxfId="2" priority="24" operator="notEqual">
      <formula>-13.345</formula>
    </cfRule>
  </conditionalFormatting>
  <conditionalFormatting sqref="Y2:Y620">
    <cfRule type="cellIs" dxfId="5" priority="25" operator="notEqual">
      <formula>-13.345</formula>
    </cfRule>
  </conditionalFormatting>
  <conditionalFormatting sqref="Z2:Z620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1328</v>
      </c>
      <c r="B1" s="1"/>
    </row>
    <row r="2" spans="1:2">
      <c r="A2" s="1" t="s">
        <v>1329</v>
      </c>
    </row>
    <row r="3" spans="1:2">
      <c r="A3" s="1" t="s">
        <v>1330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2019-12-21T11:12:53Z</dcterms:created>
  <dcterms:modified xsi:type="dcterms:W3CDTF">2019-12-21T11:12:53Z</dcterms:modified>
</cp:coreProperties>
</file>